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2.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drawings/drawing3.xml" ContentType="application/vnd.openxmlformats-officedocument.drawing+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drawings/drawing4.xml" ContentType="application/vnd.openxmlformats-officedocument.drawing+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charts/chart31.xml" ContentType="application/vnd.openxmlformats-officedocument.drawingml.chart+xml"/>
  <Override PartName="/xl/charts/style31.xml" ContentType="application/vnd.ms-office.chartstyle+xml"/>
  <Override PartName="/xl/charts/colors31.xml" ContentType="application/vnd.ms-office.chartcolorstyle+xml"/>
  <Override PartName="/xl/charts/chart32.xml" ContentType="application/vnd.openxmlformats-officedocument.drawingml.chart+xml"/>
  <Override PartName="/xl/charts/style32.xml" ContentType="application/vnd.ms-office.chartstyle+xml"/>
  <Override PartName="/xl/charts/colors32.xml" ContentType="application/vnd.ms-office.chartcolorstyle+xml"/>
  <Override PartName="/xl/charts/chart33.xml" ContentType="application/vnd.openxmlformats-officedocument.drawingml.chart+xml"/>
  <Override PartName="/xl/charts/style33.xml" ContentType="application/vnd.ms-office.chartstyle+xml"/>
  <Override PartName="/xl/charts/colors33.xml" ContentType="application/vnd.ms-office.chartcolorstyle+xml"/>
  <Override PartName="/xl/charts/chart34.xml" ContentType="application/vnd.openxmlformats-officedocument.drawingml.chart+xml"/>
  <Override PartName="/xl/charts/style34.xml" ContentType="application/vnd.ms-office.chartstyle+xml"/>
  <Override PartName="/xl/charts/colors34.xml" ContentType="application/vnd.ms-office.chartcolorstyle+xml"/>
  <Override PartName="/xl/charts/chart35.xml" ContentType="application/vnd.openxmlformats-officedocument.drawingml.chart+xml"/>
  <Override PartName="/xl/charts/style35.xml" ContentType="application/vnd.ms-office.chartstyle+xml"/>
  <Override PartName="/xl/charts/colors35.xml" ContentType="application/vnd.ms-office.chartcolorstyle+xml"/>
  <Override PartName="/xl/drawings/drawing5.xml" ContentType="application/vnd.openxmlformats-officedocument.drawing+xml"/>
  <Override PartName="/xl/charts/chart36.xml" ContentType="application/vnd.openxmlformats-officedocument.drawingml.chart+xml"/>
  <Override PartName="/xl/charts/style36.xml" ContentType="application/vnd.ms-office.chartstyle+xml"/>
  <Override PartName="/xl/charts/colors36.xml" ContentType="application/vnd.ms-office.chartcolorstyle+xml"/>
  <Override PartName="/xl/charts/chart37.xml" ContentType="application/vnd.openxmlformats-officedocument.drawingml.chart+xml"/>
  <Override PartName="/xl/charts/style37.xml" ContentType="application/vnd.ms-office.chartstyle+xml"/>
  <Override PartName="/xl/charts/colors37.xml" ContentType="application/vnd.ms-office.chartcolorstyle+xml"/>
  <Override PartName="/xl/charts/chart38.xml" ContentType="application/vnd.openxmlformats-officedocument.drawingml.chart+xml"/>
  <Override PartName="/xl/charts/style38.xml" ContentType="application/vnd.ms-office.chartstyle+xml"/>
  <Override PartName="/xl/charts/colors38.xml" ContentType="application/vnd.ms-office.chartcolorstyle+xml"/>
  <Override PartName="/xl/theme/themeOverride1.xml" ContentType="application/vnd.openxmlformats-officedocument.themeOverride+xml"/>
  <Override PartName="/xl/drawings/drawing6.xml" ContentType="application/vnd.openxmlformats-officedocument.drawing+xml"/>
  <Override PartName="/xl/charts/chart39.xml" ContentType="application/vnd.openxmlformats-officedocument.drawingml.chart+xml"/>
  <Override PartName="/xl/charts/style39.xml" ContentType="application/vnd.ms-office.chartstyle+xml"/>
  <Override PartName="/xl/charts/colors39.xml" ContentType="application/vnd.ms-office.chartcolorstyle+xml"/>
  <Override PartName="/xl/charts/chart40.xml" ContentType="application/vnd.openxmlformats-officedocument.drawingml.chart+xml"/>
  <Override PartName="/xl/charts/style40.xml" ContentType="application/vnd.ms-office.chartstyle+xml"/>
  <Override PartName="/xl/charts/colors40.xml" ContentType="application/vnd.ms-office.chartcolorstyle+xml"/>
  <Override PartName="/xl/theme/themeOverride2.xml" ContentType="application/vnd.openxmlformats-officedocument.themeOverride+xml"/>
  <Override PartName="/xl/charts/chart41.xml" ContentType="application/vnd.openxmlformats-officedocument.drawingml.chart+xml"/>
  <Override PartName="/xl/charts/style41.xml" ContentType="application/vnd.ms-office.chartstyle+xml"/>
  <Override PartName="/xl/charts/colors41.xml" ContentType="application/vnd.ms-office.chartcolorstyle+xml"/>
  <Override PartName="/xl/theme/themeOverride3.xml" ContentType="application/vnd.openxmlformats-officedocument.themeOverride+xml"/>
  <Override PartName="/xl/charts/chart42.xml" ContentType="application/vnd.openxmlformats-officedocument.drawingml.chart+xml"/>
  <Override PartName="/xl/charts/style42.xml" ContentType="application/vnd.ms-office.chartstyle+xml"/>
  <Override PartName="/xl/charts/colors42.xml" ContentType="application/vnd.ms-office.chartcolorstyle+xml"/>
  <Override PartName="/xl/drawings/drawing7.xml" ContentType="application/vnd.openxmlformats-officedocument.drawing+xml"/>
  <Override PartName="/xl/charts/chart43.xml" ContentType="application/vnd.openxmlformats-officedocument.drawingml.chart+xml"/>
  <Override PartName="/xl/charts/style43.xml" ContentType="application/vnd.ms-office.chartstyle+xml"/>
  <Override PartName="/xl/charts/colors43.xml" ContentType="application/vnd.ms-office.chartcolorstyle+xml"/>
  <Override PartName="/xl/charts/chart44.xml" ContentType="application/vnd.openxmlformats-officedocument.drawingml.chart+xml"/>
  <Override PartName="/xl/charts/style44.xml" ContentType="application/vnd.ms-office.chartstyle+xml"/>
  <Override PartName="/xl/charts/colors44.xml" ContentType="application/vnd.ms-office.chartcolorstyle+xml"/>
  <Override PartName="/xl/charts/chart45.xml" ContentType="application/vnd.openxmlformats-officedocument.drawingml.chart+xml"/>
  <Override PartName="/xl/charts/style45.xml" ContentType="application/vnd.ms-office.chartstyle+xml"/>
  <Override PartName="/xl/charts/colors45.xml" ContentType="application/vnd.ms-office.chartcolorstyle+xml"/>
  <Override PartName="/xl/charts/chart46.xml" ContentType="application/vnd.openxmlformats-officedocument.drawingml.chart+xml"/>
  <Override PartName="/xl/charts/style46.xml" ContentType="application/vnd.ms-office.chartstyle+xml"/>
  <Override PartName="/xl/charts/colors46.xml" ContentType="application/vnd.ms-office.chartcolorstyle+xml"/>
  <Override PartName="/xl/charts/chart47.xml" ContentType="application/vnd.openxmlformats-officedocument.drawingml.chart+xml"/>
  <Override PartName="/xl/charts/style47.xml" ContentType="application/vnd.ms-office.chartstyle+xml"/>
  <Override PartName="/xl/charts/colors47.xml" ContentType="application/vnd.ms-office.chartcolorstyle+xml"/>
  <Override PartName="/xl/theme/themeOverride4.xml" ContentType="application/vnd.openxmlformats-officedocument.themeOverride+xml"/>
  <Override PartName="/xl/drawings/drawing8.xml" ContentType="application/vnd.openxmlformats-officedocument.drawing+xml"/>
  <Override PartName="/xl/charts/chart48.xml" ContentType="application/vnd.openxmlformats-officedocument.drawingml.chart+xml"/>
  <Override PartName="/xl/charts/style48.xml" ContentType="application/vnd.ms-office.chartstyle+xml"/>
  <Override PartName="/xl/charts/colors48.xml" ContentType="application/vnd.ms-office.chartcolorstyle+xml"/>
  <Override PartName="/xl/theme/themeOverride5.xml" ContentType="application/vnd.openxmlformats-officedocument.themeOverride+xml"/>
  <Override PartName="/xl/drawings/drawing9.xml" ContentType="application/vnd.openxmlformats-officedocument.drawing+xml"/>
  <Override PartName="/xl/charts/chart49.xml" ContentType="application/vnd.openxmlformats-officedocument.drawingml.chart+xml"/>
  <Override PartName="/xl/charts/style49.xml" ContentType="application/vnd.ms-office.chartstyle+xml"/>
  <Override PartName="/xl/charts/colors49.xml" ContentType="application/vnd.ms-office.chartcolorstyle+xml"/>
  <Override PartName="/xl/charts/chart50.xml" ContentType="application/vnd.openxmlformats-officedocument.drawingml.chart+xml"/>
  <Override PartName="/xl/charts/style50.xml" ContentType="application/vnd.ms-office.chartstyle+xml"/>
  <Override PartName="/xl/charts/colors50.xml" ContentType="application/vnd.ms-office.chartcolorstyle+xml"/>
  <Override PartName="/xl/theme/themeOverride6.xml" ContentType="application/vnd.openxmlformats-officedocument.themeOverrid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Dice\query-aware\results\"/>
    </mc:Choice>
  </mc:AlternateContent>
  <bookViews>
    <workbookView xWindow="0" yWindow="0" windowWidth="8820" windowHeight="4740" firstSheet="5" activeTab="6"/>
  </bookViews>
  <sheets>
    <sheet name="Fedx Results" sheetId="1" r:id="rId1"/>
    <sheet name="SemagrowResults" sheetId="5" r:id="rId2"/>
    <sheet name="Koral Results" sheetId="9" r:id="rId3"/>
    <sheet name="benchmark-execution" sheetId="3" r:id="rId4"/>
    <sheet name="average-execution-time" sheetId="6" r:id="rId5"/>
    <sheet name="query-mix-per-hour" sheetId="13" r:id="rId6"/>
    <sheet name="query-per-second" sheetId="14" r:id="rId7"/>
    <sheet name="scores" sheetId="4" r:id="rId8"/>
    <sheet name="timeout queries" sheetId="8" r:id="rId9"/>
    <sheet name="partition time" sheetId="2" r:id="rId10"/>
    <sheet name="Partition-sizes" sheetId="10" r:id="rId11"/>
    <sheet name="Gini-coefficient" sheetId="12" r:id="rId12"/>
    <sheet name="Standard-deviation" sheetId="11" r:id="rId13"/>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10" i="12" l="1"/>
  <c r="H11" i="12" s="1"/>
  <c r="F10" i="12"/>
  <c r="F11" i="12" s="1"/>
  <c r="E20" i="12"/>
  <c r="G10" i="12" s="1"/>
  <c r="F12" i="12" l="1"/>
  <c r="G11" i="12"/>
  <c r="H12" i="12"/>
  <c r="C29" i="10"/>
  <c r="F13" i="12" l="1"/>
  <c r="G12" i="12"/>
  <c r="H13" i="12"/>
  <c r="AE77" i="4"/>
  <c r="AE78" i="4"/>
  <c r="AE79" i="4"/>
  <c r="AE80" i="4"/>
  <c r="AE81" i="4"/>
  <c r="AE82" i="4"/>
  <c r="AE83" i="4"/>
  <c r="AE84" i="4"/>
  <c r="AE85" i="4"/>
  <c r="AE76" i="4"/>
  <c r="AO63" i="4"/>
  <c r="F14" i="12" l="1"/>
  <c r="G13" i="12"/>
  <c r="H14" i="12"/>
  <c r="AO64" i="4"/>
  <c r="AO65" i="4"/>
  <c r="AO66" i="4"/>
  <c r="AO67" i="4"/>
  <c r="AO68" i="4"/>
  <c r="AO69" i="4"/>
  <c r="AO70" i="4"/>
  <c r="AO71" i="4"/>
  <c r="AO72" i="4"/>
  <c r="AE64" i="4"/>
  <c r="AE65" i="4"/>
  <c r="AE66" i="4"/>
  <c r="AE67" i="4"/>
  <c r="AE68" i="4"/>
  <c r="AE69" i="4"/>
  <c r="AE70" i="4"/>
  <c r="AE71" i="4"/>
  <c r="AE72" i="4"/>
  <c r="AE63" i="4"/>
  <c r="AM64" i="4"/>
  <c r="AM65" i="4"/>
  <c r="AM66" i="4"/>
  <c r="AM67" i="4"/>
  <c r="AM73" i="4" s="1"/>
  <c r="AM68" i="4"/>
  <c r="AM69" i="4"/>
  <c r="AM70" i="4"/>
  <c r="AM71" i="4"/>
  <c r="AM72" i="4"/>
  <c r="AM63" i="4"/>
  <c r="AL64" i="4"/>
  <c r="AL65" i="4"/>
  <c r="AL66" i="4"/>
  <c r="AL67" i="4"/>
  <c r="AL73" i="4" s="1"/>
  <c r="AL68" i="4"/>
  <c r="AL69" i="4"/>
  <c r="AL70" i="4"/>
  <c r="AL71" i="4"/>
  <c r="AL72" i="4"/>
  <c r="AL63" i="4"/>
  <c r="AK64" i="4"/>
  <c r="AK65" i="4"/>
  <c r="AK66" i="4"/>
  <c r="AK67" i="4"/>
  <c r="AK73" i="4" s="1"/>
  <c r="AK68" i="4"/>
  <c r="AK69" i="4"/>
  <c r="AK70" i="4"/>
  <c r="AK71" i="4"/>
  <c r="AK72" i="4"/>
  <c r="AK63" i="4"/>
  <c r="AJ64" i="4"/>
  <c r="AJ65" i="4"/>
  <c r="AJ66" i="4"/>
  <c r="AJ67" i="4"/>
  <c r="AJ73" i="4" s="1"/>
  <c r="AJ68" i="4"/>
  <c r="AJ69" i="4"/>
  <c r="AJ70" i="4"/>
  <c r="AJ71" i="4"/>
  <c r="AJ72" i="4"/>
  <c r="AJ63" i="4"/>
  <c r="AI64" i="4"/>
  <c r="AI65" i="4"/>
  <c r="AI66" i="4"/>
  <c r="AI67" i="4"/>
  <c r="AI73" i="4" s="1"/>
  <c r="AI68" i="4"/>
  <c r="AI69" i="4"/>
  <c r="AI70" i="4"/>
  <c r="AI71" i="4"/>
  <c r="AI72" i="4"/>
  <c r="AI63" i="4"/>
  <c r="AH64" i="4"/>
  <c r="AH65" i="4"/>
  <c r="AH66" i="4"/>
  <c r="AH67" i="4"/>
  <c r="AH73" i="4" s="1"/>
  <c r="AH68" i="4"/>
  <c r="AH69" i="4"/>
  <c r="AH70" i="4"/>
  <c r="AH71" i="4"/>
  <c r="AH72" i="4"/>
  <c r="AH63" i="4"/>
  <c r="AG64" i="4"/>
  <c r="AG65" i="4"/>
  <c r="AG66" i="4"/>
  <c r="AG67" i="4"/>
  <c r="AG73" i="4" s="1"/>
  <c r="AG68" i="4"/>
  <c r="AG69" i="4"/>
  <c r="AG70" i="4"/>
  <c r="AG71" i="4"/>
  <c r="AG72" i="4"/>
  <c r="AG63" i="4"/>
  <c r="AF64" i="4"/>
  <c r="AF65" i="4"/>
  <c r="AF73" i="4" s="1"/>
  <c r="AF66" i="4"/>
  <c r="AF67" i="4"/>
  <c r="AF68" i="4"/>
  <c r="AF69" i="4"/>
  <c r="AF70" i="4"/>
  <c r="AF71" i="4"/>
  <c r="AF72" i="4"/>
  <c r="AF63" i="4"/>
  <c r="AN73" i="4"/>
  <c r="AN64" i="4"/>
  <c r="AN65" i="4"/>
  <c r="AN66" i="4"/>
  <c r="AN67" i="4"/>
  <c r="AN68" i="4"/>
  <c r="AN69" i="4"/>
  <c r="AN70" i="4"/>
  <c r="AN71" i="4"/>
  <c r="AN72" i="4"/>
  <c r="AN63" i="4"/>
  <c r="AB64" i="4"/>
  <c r="AB65" i="4"/>
  <c r="AB66" i="4"/>
  <c r="AB67" i="4"/>
  <c r="AB68" i="4"/>
  <c r="AB69" i="4"/>
  <c r="AB70" i="4"/>
  <c r="AB71" i="4"/>
  <c r="AB72" i="4"/>
  <c r="AB63" i="4"/>
  <c r="X73" i="4"/>
  <c r="Y73" i="4"/>
  <c r="Z73" i="4"/>
  <c r="AA73" i="4"/>
  <c r="W73" i="4"/>
  <c r="F19" i="14"/>
  <c r="K6" i="14"/>
  <c r="M6" i="14"/>
  <c r="L5" i="14"/>
  <c r="S73" i="4"/>
  <c r="T73" i="4"/>
  <c r="U73" i="4"/>
  <c r="V73" i="4"/>
  <c r="R73" i="4"/>
  <c r="M29" i="14"/>
  <c r="M18" i="14"/>
  <c r="M5" i="14"/>
  <c r="L6" i="14"/>
  <c r="L19" i="14"/>
  <c r="L29" i="14"/>
  <c r="L18" i="14"/>
  <c r="X19" i="14"/>
  <c r="X6" i="14"/>
  <c r="X5" i="14"/>
  <c r="M8" i="14"/>
  <c r="M21" i="14"/>
  <c r="M31" i="14"/>
  <c r="M28" i="14"/>
  <c r="M17" i="14"/>
  <c r="F15" i="12" l="1"/>
  <c r="G14" i="12"/>
  <c r="H15" i="12"/>
  <c r="AE73" i="4"/>
  <c r="F16" i="12" l="1"/>
  <c r="G15" i="12"/>
  <c r="H16" i="12"/>
  <c r="M28" i="13"/>
  <c r="M17" i="13"/>
  <c r="F17" i="12" l="1"/>
  <c r="G16" i="12"/>
  <c r="H17" i="12"/>
  <c r="X19" i="13"/>
  <c r="X6" i="13"/>
  <c r="L18" i="13"/>
  <c r="L29" i="13"/>
  <c r="L19" i="13"/>
  <c r="L6" i="13"/>
  <c r="X5" i="13"/>
  <c r="L5" i="13"/>
  <c r="F18" i="12" l="1"/>
  <c r="G17" i="12"/>
  <c r="H18" i="12"/>
  <c r="K22" i="14"/>
  <c r="K23" i="14"/>
  <c r="K19" i="14"/>
  <c r="G18" i="14"/>
  <c r="I10" i="14"/>
  <c r="C10" i="14"/>
  <c r="G10" i="14"/>
  <c r="J10" i="14"/>
  <c r="K10" i="14"/>
  <c r="E9" i="14"/>
  <c r="I9" i="14"/>
  <c r="M24" i="14"/>
  <c r="M25" i="14"/>
  <c r="M26" i="14"/>
  <c r="M27" i="14"/>
  <c r="M30" i="14"/>
  <c r="M7" i="14"/>
  <c r="M11" i="14"/>
  <c r="M12" i="14"/>
  <c r="M13" i="14"/>
  <c r="M14" i="14"/>
  <c r="M15" i="14"/>
  <c r="M16" i="14"/>
  <c r="M20" i="14"/>
  <c r="E5" i="14"/>
  <c r="H5" i="14"/>
  <c r="C6" i="14"/>
  <c r="F19" i="12" l="1"/>
  <c r="G19" i="12" s="1"/>
  <c r="G18" i="12"/>
  <c r="H22" i="12" s="1"/>
  <c r="H19" i="12"/>
  <c r="L18" i="12" s="1"/>
  <c r="C9" i="13"/>
  <c r="M31" i="13"/>
  <c r="M7" i="13"/>
  <c r="M8" i="13"/>
  <c r="M11" i="13"/>
  <c r="M12" i="13"/>
  <c r="M13" i="13"/>
  <c r="M14" i="13"/>
  <c r="M15" i="13"/>
  <c r="M16" i="13"/>
  <c r="M20" i="13"/>
  <c r="M21" i="13"/>
  <c r="M24" i="13"/>
  <c r="M25" i="13"/>
  <c r="M26" i="13"/>
  <c r="M27" i="13"/>
  <c r="M30" i="13"/>
  <c r="I32" i="14"/>
  <c r="C9" i="14"/>
  <c r="D10" i="14"/>
  <c r="H10" i="14"/>
  <c r="M18" i="12" l="1"/>
  <c r="L19" i="12"/>
  <c r="L10" i="12"/>
  <c r="M10" i="12" s="1"/>
  <c r="L11" i="12"/>
  <c r="M11" i="12" s="1"/>
  <c r="H20" i="12"/>
  <c r="L12" i="12"/>
  <c r="M12" i="12" s="1"/>
  <c r="L13" i="12"/>
  <c r="M13" i="12" s="1"/>
  <c r="L14" i="12"/>
  <c r="M14" i="12" s="1"/>
  <c r="L15" i="12"/>
  <c r="M15" i="12" s="1"/>
  <c r="L16" i="12"/>
  <c r="M16" i="12" s="1"/>
  <c r="L17" i="12"/>
  <c r="M17" i="12" s="1"/>
  <c r="G5" i="2"/>
  <c r="G6" i="2"/>
  <c r="G7" i="2"/>
  <c r="G8" i="2"/>
  <c r="G9" i="2"/>
  <c r="G10" i="2"/>
  <c r="G11" i="2"/>
  <c r="G12" i="2"/>
  <c r="G4" i="2"/>
  <c r="G22" i="12" l="1"/>
  <c r="L22" i="12" s="1"/>
  <c r="K32" i="14"/>
  <c r="J32" i="14"/>
  <c r="H32" i="14"/>
  <c r="G32" i="14"/>
  <c r="F32" i="14"/>
  <c r="E32" i="14"/>
  <c r="D32" i="14"/>
  <c r="C32" i="14"/>
  <c r="M32" i="14" s="1"/>
  <c r="K29" i="14"/>
  <c r="J29" i="14"/>
  <c r="I29" i="14"/>
  <c r="H29" i="14"/>
  <c r="G29" i="14"/>
  <c r="F29" i="14"/>
  <c r="E29" i="14"/>
  <c r="D29" i="14"/>
  <c r="C29" i="14"/>
  <c r="J23" i="14"/>
  <c r="I23" i="14"/>
  <c r="H23" i="14"/>
  <c r="G23" i="14"/>
  <c r="F23" i="14"/>
  <c r="E23" i="14"/>
  <c r="D23" i="14"/>
  <c r="C23" i="14"/>
  <c r="J22" i="14"/>
  <c r="I22" i="14"/>
  <c r="H22" i="14"/>
  <c r="G22" i="14"/>
  <c r="F22" i="14"/>
  <c r="E22" i="14"/>
  <c r="D22" i="14"/>
  <c r="C22" i="14"/>
  <c r="J19" i="14"/>
  <c r="I19" i="14"/>
  <c r="H19" i="14"/>
  <c r="G19" i="14"/>
  <c r="E19" i="14"/>
  <c r="D19" i="14"/>
  <c r="C19" i="14"/>
  <c r="D18" i="14"/>
  <c r="E18" i="14"/>
  <c r="F18" i="14"/>
  <c r="H18" i="14"/>
  <c r="I18" i="14"/>
  <c r="J18" i="14"/>
  <c r="K18" i="14"/>
  <c r="C18" i="14"/>
  <c r="E10" i="14"/>
  <c r="F10" i="14"/>
  <c r="D9" i="14"/>
  <c r="F9" i="14"/>
  <c r="G9" i="14"/>
  <c r="H9" i="14"/>
  <c r="J9" i="14"/>
  <c r="K9" i="14"/>
  <c r="D6" i="14"/>
  <c r="E6" i="14"/>
  <c r="E48" i="14" s="1"/>
  <c r="F6" i="14"/>
  <c r="G6" i="14"/>
  <c r="H6" i="14"/>
  <c r="I6" i="14"/>
  <c r="J6" i="14"/>
  <c r="D5" i="14"/>
  <c r="F5" i="14"/>
  <c r="G5" i="14"/>
  <c r="I5" i="14"/>
  <c r="J5" i="14"/>
  <c r="K5" i="14"/>
  <c r="C5" i="14"/>
  <c r="D32" i="13"/>
  <c r="E32" i="13"/>
  <c r="F32" i="13"/>
  <c r="G32" i="13"/>
  <c r="H32" i="13"/>
  <c r="I32" i="13"/>
  <c r="J32" i="13"/>
  <c r="K32" i="13"/>
  <c r="C32" i="13"/>
  <c r="D29" i="13"/>
  <c r="E29" i="13"/>
  <c r="F29" i="13"/>
  <c r="G29" i="13"/>
  <c r="H29" i="13"/>
  <c r="I29" i="13"/>
  <c r="J29" i="13"/>
  <c r="K29" i="13"/>
  <c r="C29" i="13"/>
  <c r="D23" i="13"/>
  <c r="E23" i="13"/>
  <c r="F23" i="13"/>
  <c r="G23" i="13"/>
  <c r="H23" i="13"/>
  <c r="I23" i="13"/>
  <c r="J23" i="13"/>
  <c r="K23" i="13"/>
  <c r="C23" i="13"/>
  <c r="D22" i="13"/>
  <c r="E22" i="13"/>
  <c r="F22" i="13"/>
  <c r="G22" i="13"/>
  <c r="H22" i="13"/>
  <c r="I22" i="13"/>
  <c r="J22" i="13"/>
  <c r="K22" i="13"/>
  <c r="C22" i="13"/>
  <c r="D19" i="13"/>
  <c r="E19" i="13"/>
  <c r="F19" i="13"/>
  <c r="G19" i="13"/>
  <c r="H19" i="13"/>
  <c r="I19" i="13"/>
  <c r="J19" i="13"/>
  <c r="K19" i="13"/>
  <c r="C19" i="13"/>
  <c r="D18" i="13"/>
  <c r="E18" i="13"/>
  <c r="F18" i="13"/>
  <c r="G18" i="13"/>
  <c r="H18" i="13"/>
  <c r="I18" i="13"/>
  <c r="J18" i="13"/>
  <c r="K18" i="13"/>
  <c r="C18" i="13"/>
  <c r="D10" i="13"/>
  <c r="E10" i="13"/>
  <c r="F10" i="13"/>
  <c r="G10" i="13"/>
  <c r="H10" i="13"/>
  <c r="I10" i="13"/>
  <c r="J10" i="13"/>
  <c r="K10" i="13"/>
  <c r="C10" i="13"/>
  <c r="D9" i="13"/>
  <c r="E9" i="13"/>
  <c r="F9" i="13"/>
  <c r="G9" i="13"/>
  <c r="H9" i="13"/>
  <c r="I9" i="13"/>
  <c r="J9" i="13"/>
  <c r="K9" i="13"/>
  <c r="D6" i="13"/>
  <c r="E6" i="13"/>
  <c r="F6" i="13"/>
  <c r="G6" i="13"/>
  <c r="H6" i="13"/>
  <c r="I6" i="13"/>
  <c r="J6" i="13"/>
  <c r="K6" i="13"/>
  <c r="D5" i="13"/>
  <c r="E5" i="13"/>
  <c r="F5" i="13"/>
  <c r="G5" i="13"/>
  <c r="H5" i="13"/>
  <c r="I5" i="13"/>
  <c r="J5" i="13"/>
  <c r="K5" i="13"/>
  <c r="C5" i="13"/>
  <c r="C6" i="13"/>
  <c r="C38" i="14" l="1"/>
  <c r="C48" i="14"/>
  <c r="C39" i="14"/>
  <c r="E42" i="14"/>
  <c r="E41" i="14"/>
  <c r="I49" i="14"/>
  <c r="I41" i="14"/>
  <c r="I42" i="14"/>
  <c r="H48" i="14"/>
  <c r="M19" i="14"/>
  <c r="M22" i="14"/>
  <c r="C42" i="14"/>
  <c r="C49" i="14"/>
  <c r="C41" i="14"/>
  <c r="M23" i="14"/>
  <c r="I39" i="14"/>
  <c r="I38" i="14"/>
  <c r="I48" i="14"/>
  <c r="J42" i="14"/>
  <c r="J41" i="14"/>
  <c r="J49" i="14"/>
  <c r="M9" i="14"/>
  <c r="D49" i="14"/>
  <c r="D42" i="14"/>
  <c r="D41" i="14"/>
  <c r="G48" i="14"/>
  <c r="G39" i="14"/>
  <c r="G38" i="14"/>
  <c r="H49" i="14"/>
  <c r="H42" i="14"/>
  <c r="H41" i="14"/>
  <c r="E39" i="14"/>
  <c r="E38" i="14"/>
  <c r="K48" i="14"/>
  <c r="K39" i="14"/>
  <c r="K38" i="14"/>
  <c r="F39" i="14"/>
  <c r="F38" i="14"/>
  <c r="F48" i="14"/>
  <c r="G49" i="14"/>
  <c r="G42" i="14"/>
  <c r="G41" i="14"/>
  <c r="E49" i="14"/>
  <c r="M10" i="14"/>
  <c r="J39" i="14"/>
  <c r="J38" i="14"/>
  <c r="J48" i="14"/>
  <c r="D39" i="14"/>
  <c r="D38" i="14"/>
  <c r="D48" i="14"/>
  <c r="K42" i="14"/>
  <c r="K41" i="14"/>
  <c r="K49" i="14"/>
  <c r="F42" i="14"/>
  <c r="F41" i="14"/>
  <c r="F49" i="14"/>
  <c r="H39" i="14"/>
  <c r="H38" i="14"/>
  <c r="M5" i="13"/>
  <c r="M10" i="13"/>
  <c r="M23" i="13"/>
  <c r="M19" i="13"/>
  <c r="M32" i="13"/>
  <c r="M6" i="13"/>
  <c r="M9" i="13"/>
  <c r="M22" i="13"/>
  <c r="M18" i="13"/>
  <c r="M29" i="13"/>
  <c r="I11" i="2"/>
  <c r="I12" i="2"/>
  <c r="AF14" i="10" l="1"/>
  <c r="AG14" i="10"/>
  <c r="AJ14" i="10"/>
  <c r="AK14" i="10"/>
  <c r="C72" i="8" l="1"/>
  <c r="D72" i="8"/>
  <c r="E72" i="8"/>
  <c r="F72" i="8"/>
  <c r="G72" i="8"/>
  <c r="H72" i="8"/>
  <c r="I72" i="8"/>
  <c r="J72" i="8"/>
  <c r="B72" i="8"/>
  <c r="H13" i="8"/>
  <c r="R49" i="4" l="1"/>
  <c r="S49" i="4"/>
  <c r="T49" i="4"/>
  <c r="U49" i="4"/>
  <c r="V49" i="4"/>
  <c r="W49" i="4"/>
  <c r="X49" i="4"/>
  <c r="Y49" i="4"/>
  <c r="Z49" i="4"/>
  <c r="R50" i="4"/>
  <c r="S50" i="4"/>
  <c r="T50" i="4"/>
  <c r="U50" i="4"/>
  <c r="V50" i="4"/>
  <c r="W50" i="4"/>
  <c r="X50" i="4"/>
  <c r="Y50" i="4"/>
  <c r="Z50" i="4"/>
  <c r="R51" i="4"/>
  <c r="S51" i="4"/>
  <c r="T51" i="4"/>
  <c r="U51" i="4"/>
  <c r="V51" i="4"/>
  <c r="W51" i="4"/>
  <c r="X51" i="4"/>
  <c r="Y51" i="4"/>
  <c r="Z51" i="4"/>
  <c r="R52" i="4"/>
  <c r="S52" i="4"/>
  <c r="T52" i="4"/>
  <c r="U52" i="4"/>
  <c r="V52" i="4"/>
  <c r="W52" i="4"/>
  <c r="X52" i="4"/>
  <c r="Y52" i="4"/>
  <c r="Z52" i="4"/>
  <c r="R53" i="4"/>
  <c r="S53" i="4"/>
  <c r="T53" i="4"/>
  <c r="U53" i="4"/>
  <c r="V53" i="4"/>
  <c r="W53" i="4"/>
  <c r="X53" i="4"/>
  <c r="Y53" i="4"/>
  <c r="Z53" i="4"/>
  <c r="R54" i="4"/>
  <c r="S54" i="4"/>
  <c r="T54" i="4"/>
  <c r="U54" i="4"/>
  <c r="V54" i="4"/>
  <c r="W54" i="4"/>
  <c r="X54" i="4"/>
  <c r="Y54" i="4"/>
  <c r="Z54" i="4"/>
  <c r="R55" i="4"/>
  <c r="S55" i="4"/>
  <c r="T55" i="4"/>
  <c r="U55" i="4"/>
  <c r="V55" i="4"/>
  <c r="W55" i="4"/>
  <c r="X55" i="4"/>
  <c r="Y55" i="4"/>
  <c r="Z55" i="4"/>
  <c r="R56" i="4"/>
  <c r="S56" i="4"/>
  <c r="T56" i="4"/>
  <c r="U56" i="4"/>
  <c r="V56" i="4"/>
  <c r="W56" i="4"/>
  <c r="X56" i="4"/>
  <c r="Y56" i="4"/>
  <c r="Z56" i="4"/>
  <c r="S48" i="4"/>
  <c r="T48" i="4"/>
  <c r="U48" i="4"/>
  <c r="V48" i="4"/>
  <c r="W48" i="4"/>
  <c r="X48" i="4"/>
  <c r="Y48" i="4"/>
  <c r="Z48" i="4"/>
  <c r="R48" i="4"/>
  <c r="K83" i="4"/>
  <c r="J83" i="4"/>
  <c r="I83" i="4"/>
  <c r="H83" i="4"/>
  <c r="G83" i="4"/>
  <c r="F83" i="4"/>
  <c r="E83" i="4"/>
  <c r="D83" i="4"/>
  <c r="C83" i="4"/>
  <c r="L82" i="4"/>
  <c r="L81" i="4"/>
  <c r="L80" i="4"/>
  <c r="L79" i="4"/>
  <c r="L78" i="4"/>
  <c r="L77" i="4"/>
  <c r="L76" i="4"/>
  <c r="L75" i="4"/>
  <c r="L74" i="4"/>
  <c r="K70" i="4"/>
  <c r="J70" i="4"/>
  <c r="I70" i="4"/>
  <c r="H70" i="4"/>
  <c r="G70" i="4"/>
  <c r="F70" i="4"/>
  <c r="E70" i="4"/>
  <c r="D70" i="4"/>
  <c r="C70" i="4"/>
  <c r="L69" i="4"/>
  <c r="L68" i="4"/>
  <c r="L67" i="4"/>
  <c r="L66" i="4"/>
  <c r="L65" i="4"/>
  <c r="L64" i="4"/>
  <c r="L63" i="4"/>
  <c r="L62" i="4"/>
  <c r="L61" i="4"/>
  <c r="L49" i="4"/>
  <c r="L50" i="4"/>
  <c r="L51" i="4"/>
  <c r="L52" i="4"/>
  <c r="L53" i="4"/>
  <c r="L54" i="4"/>
  <c r="L55" i="4"/>
  <c r="L56" i="4"/>
  <c r="D57" i="4"/>
  <c r="E57" i="4"/>
  <c r="F57" i="4"/>
  <c r="G57" i="4"/>
  <c r="H57" i="4"/>
  <c r="I57" i="4"/>
  <c r="J57" i="4"/>
  <c r="K57" i="4"/>
  <c r="L48" i="4"/>
  <c r="C57" i="4"/>
  <c r="E121" i="3"/>
  <c r="F121" i="3"/>
  <c r="G121" i="3"/>
  <c r="H121" i="3"/>
  <c r="I121" i="3"/>
  <c r="J121" i="3"/>
  <c r="K121" i="3"/>
  <c r="L121" i="3"/>
  <c r="L115" i="3"/>
  <c r="K115" i="3"/>
  <c r="J115" i="3"/>
  <c r="I115" i="3"/>
  <c r="H115" i="3"/>
  <c r="G115" i="3"/>
  <c r="F115" i="3"/>
  <c r="E115" i="3"/>
  <c r="L114" i="3"/>
  <c r="K114" i="3"/>
  <c r="J114" i="3"/>
  <c r="I114" i="3"/>
  <c r="H114" i="3"/>
  <c r="G114" i="3"/>
  <c r="F114" i="3"/>
  <c r="E114" i="3"/>
  <c r="L113" i="3"/>
  <c r="K113" i="3"/>
  <c r="J113" i="3"/>
  <c r="I113" i="3"/>
  <c r="H113" i="3"/>
  <c r="G113" i="3"/>
  <c r="F113" i="3"/>
  <c r="E113" i="3"/>
  <c r="L112" i="3"/>
  <c r="K112" i="3"/>
  <c r="J112" i="3"/>
  <c r="I112" i="3"/>
  <c r="H112" i="3"/>
  <c r="G112" i="3"/>
  <c r="F112" i="3"/>
  <c r="E112" i="3"/>
  <c r="X57" i="4" l="1"/>
  <c r="AA50" i="4"/>
  <c r="S57" i="4"/>
  <c r="AA49" i="4"/>
  <c r="W57" i="4"/>
  <c r="AA53" i="4"/>
  <c r="AA52" i="4"/>
  <c r="AA54" i="4"/>
  <c r="AA55" i="4"/>
  <c r="AA56" i="4"/>
  <c r="AA51" i="4"/>
  <c r="R57" i="4"/>
  <c r="T57" i="4"/>
  <c r="U57" i="4"/>
  <c r="AA48" i="4"/>
  <c r="Y57" i="4"/>
  <c r="Z57" i="4"/>
  <c r="V57" i="4"/>
  <c r="F56" i="6"/>
  <c r="H56" i="6"/>
  <c r="I56" i="6"/>
  <c r="F57" i="6"/>
  <c r="H57" i="6"/>
  <c r="I57" i="6"/>
  <c r="F58" i="6"/>
  <c r="H58" i="6"/>
  <c r="I58" i="6"/>
  <c r="F55" i="6"/>
  <c r="H55" i="6"/>
  <c r="I55" i="6"/>
  <c r="B64" i="6"/>
  <c r="C64" i="6"/>
  <c r="D64" i="6"/>
  <c r="E64" i="6"/>
  <c r="F64" i="6"/>
  <c r="G64" i="6"/>
  <c r="H64" i="6"/>
  <c r="I64" i="6"/>
  <c r="B65" i="6"/>
  <c r="C65" i="6"/>
  <c r="D65" i="6"/>
  <c r="E65" i="6"/>
  <c r="F65" i="6"/>
  <c r="G65" i="6"/>
  <c r="H65" i="6"/>
  <c r="I65" i="6"/>
  <c r="B66" i="6"/>
  <c r="C66" i="6"/>
  <c r="D66" i="6"/>
  <c r="E66" i="6"/>
  <c r="F66" i="6"/>
  <c r="G66" i="6"/>
  <c r="H66" i="6"/>
  <c r="I66" i="6"/>
  <c r="B67" i="6"/>
  <c r="C67" i="6"/>
  <c r="D67" i="6"/>
  <c r="E67" i="6"/>
  <c r="F67" i="6"/>
  <c r="G67" i="6"/>
  <c r="H67" i="6"/>
  <c r="I67" i="6"/>
  <c r="B73" i="6"/>
  <c r="C73" i="6"/>
  <c r="D73" i="6"/>
  <c r="E73" i="6"/>
  <c r="F73" i="6"/>
  <c r="G73" i="6"/>
  <c r="H73" i="6"/>
  <c r="I73" i="6"/>
  <c r="B74" i="6"/>
  <c r="C74" i="6"/>
  <c r="D74" i="6"/>
  <c r="E74" i="6"/>
  <c r="F74" i="6"/>
  <c r="G74" i="6"/>
  <c r="H74" i="6"/>
  <c r="I74" i="6"/>
  <c r="F101" i="3" l="1"/>
  <c r="E101" i="3"/>
  <c r="F100" i="3"/>
  <c r="E100" i="3"/>
  <c r="F99" i="3"/>
  <c r="E99" i="3"/>
  <c r="F98" i="3"/>
  <c r="E98" i="3"/>
  <c r="F97" i="3"/>
  <c r="E97" i="3"/>
  <c r="F96" i="3"/>
  <c r="E96" i="3"/>
  <c r="F95" i="3"/>
  <c r="E95" i="3"/>
  <c r="H87" i="3"/>
  <c r="G87" i="3"/>
  <c r="F87" i="3"/>
  <c r="E87" i="3"/>
  <c r="H86" i="3"/>
  <c r="G86" i="3"/>
  <c r="F86" i="3"/>
  <c r="E86" i="3"/>
  <c r="H85" i="3"/>
  <c r="G85" i="3"/>
  <c r="F85" i="3"/>
  <c r="E85" i="3"/>
  <c r="H84" i="3"/>
  <c r="G84" i="3"/>
  <c r="F84" i="3"/>
  <c r="E84" i="3"/>
  <c r="H83" i="3"/>
  <c r="G83" i="3"/>
  <c r="F83" i="3"/>
  <c r="E83" i="3"/>
  <c r="H82" i="3"/>
  <c r="G82" i="3"/>
  <c r="F82" i="3"/>
  <c r="E82" i="3"/>
  <c r="H81" i="3"/>
  <c r="G81" i="3"/>
  <c r="F81" i="3"/>
  <c r="E81" i="3"/>
  <c r="H70" i="3"/>
  <c r="G70" i="3"/>
  <c r="F70" i="3"/>
  <c r="E70" i="3"/>
  <c r="H69" i="3"/>
  <c r="G69" i="3"/>
  <c r="F69" i="3"/>
  <c r="E69" i="3"/>
  <c r="H68" i="3"/>
  <c r="G68" i="3"/>
  <c r="F68" i="3"/>
  <c r="E68" i="3"/>
  <c r="H67" i="3"/>
  <c r="G67" i="3"/>
  <c r="F67" i="3"/>
  <c r="E67" i="3"/>
  <c r="H66" i="3"/>
  <c r="G66" i="3"/>
  <c r="F66" i="3"/>
  <c r="E66" i="3"/>
  <c r="H65" i="3"/>
  <c r="G65" i="3"/>
  <c r="F65" i="3"/>
  <c r="E65" i="3"/>
  <c r="H64" i="3"/>
  <c r="G64" i="3"/>
  <c r="F64" i="3"/>
  <c r="E64" i="3"/>
  <c r="H72" i="3" l="1"/>
  <c r="G72" i="3"/>
  <c r="F72" i="3"/>
  <c r="E72" i="3"/>
  <c r="F89" i="3"/>
  <c r="G89" i="3"/>
  <c r="H89" i="3"/>
  <c r="E89" i="3"/>
  <c r="F103" i="3"/>
  <c r="E103" i="3"/>
  <c r="E14" i="6"/>
  <c r="F14" i="6"/>
  <c r="H88" i="3"/>
  <c r="G88" i="3"/>
  <c r="F88" i="3"/>
  <c r="J74" i="6" l="1"/>
  <c r="J73" i="6"/>
  <c r="J58" i="6"/>
  <c r="J57" i="6"/>
  <c r="J56" i="6"/>
  <c r="J55" i="6"/>
  <c r="M124" i="3"/>
  <c r="M123" i="3"/>
  <c r="M122" i="3"/>
  <c r="M121" i="3"/>
  <c r="L131" i="3" l="1"/>
  <c r="K131" i="3"/>
  <c r="J131" i="3"/>
  <c r="I131" i="3"/>
  <c r="H131" i="3"/>
  <c r="G131" i="3"/>
  <c r="F131" i="3"/>
  <c r="E131" i="3"/>
  <c r="L130" i="3"/>
  <c r="K130" i="3"/>
  <c r="J130" i="3"/>
  <c r="I130" i="3"/>
  <c r="H130" i="3"/>
  <c r="G130" i="3"/>
  <c r="F130" i="3"/>
  <c r="E130" i="3"/>
  <c r="E28" i="6" l="1"/>
  <c r="D28" i="6"/>
  <c r="C28" i="6"/>
  <c r="C27" i="6"/>
  <c r="B28" i="6"/>
  <c r="E88" i="3"/>
  <c r="E12" i="6"/>
  <c r="H71" i="3"/>
  <c r="D12" i="6"/>
  <c r="G71" i="3"/>
  <c r="F12" i="6"/>
  <c r="C12" i="6"/>
  <c r="F71" i="3"/>
  <c r="B12" i="6"/>
  <c r="E71" i="3"/>
  <c r="H29" i="8"/>
  <c r="H12" i="8"/>
  <c r="F76" i="3"/>
  <c r="F77" i="3" s="1"/>
  <c r="G76" i="3"/>
  <c r="G77" i="3" s="1"/>
  <c r="H76" i="3"/>
  <c r="H77" i="3" s="1"/>
  <c r="E76" i="3"/>
  <c r="E77" i="3" s="1"/>
  <c r="C44" i="6"/>
  <c r="D44" i="6"/>
  <c r="E44" i="6"/>
  <c r="E43" i="6"/>
  <c r="B44" i="6"/>
  <c r="B43" i="6"/>
  <c r="B42" i="6"/>
  <c r="E102" i="3"/>
  <c r="F102" i="3"/>
  <c r="D29" i="2"/>
  <c r="C29" i="2"/>
  <c r="G102" i="3" l="1"/>
  <c r="I4" i="4" l="1"/>
  <c r="I68" i="3" l="1"/>
  <c r="G28" i="2"/>
  <c r="G27" i="2"/>
  <c r="G26" i="2"/>
  <c r="G24" i="2"/>
  <c r="G22" i="2"/>
  <c r="G23" i="2"/>
  <c r="G25" i="2"/>
  <c r="E23" i="2" l="1"/>
  <c r="E24" i="2"/>
  <c r="E25" i="2"/>
  <c r="E26" i="2"/>
  <c r="E27" i="2"/>
  <c r="E28" i="2"/>
  <c r="C23" i="2"/>
  <c r="D23" i="2"/>
  <c r="C24" i="2"/>
  <c r="D24" i="2"/>
  <c r="C25" i="2"/>
  <c r="D25" i="2"/>
  <c r="C26" i="2"/>
  <c r="D26" i="2"/>
  <c r="C27" i="2"/>
  <c r="D27" i="2"/>
  <c r="C28" i="2"/>
  <c r="D28" i="2"/>
  <c r="E22" i="2"/>
  <c r="AH14" i="4" l="1"/>
  <c r="AH15" i="4"/>
  <c r="AH16" i="4"/>
  <c r="AH17" i="4"/>
  <c r="AH18" i="4"/>
  <c r="AH19" i="4"/>
  <c r="AH13" i="4"/>
  <c r="AD23" i="4"/>
  <c r="AD24" i="4"/>
  <c r="AD25" i="4"/>
  <c r="AD26" i="4"/>
  <c r="AD27" i="4"/>
  <c r="AD28" i="4"/>
  <c r="AD22" i="4"/>
  <c r="S6" i="4"/>
  <c r="S14" i="4" s="1"/>
  <c r="T6" i="4"/>
  <c r="T14" i="4" s="1"/>
  <c r="AC14" i="4" s="1"/>
  <c r="U6" i="4"/>
  <c r="U14" i="4" s="1"/>
  <c r="AD14" i="4" s="1"/>
  <c r="V6" i="4"/>
  <c r="V14" i="4" s="1"/>
  <c r="AE14" i="4" s="1"/>
  <c r="W6" i="4"/>
  <c r="W14" i="4" s="1"/>
  <c r="AF14" i="4" s="1"/>
  <c r="X6" i="4"/>
  <c r="X14" i="4" s="1"/>
  <c r="AG14" i="4" s="1"/>
  <c r="Y6" i="4"/>
  <c r="S7" i="4"/>
  <c r="S15" i="4" s="1"/>
  <c r="T7" i="4"/>
  <c r="T15" i="4" s="1"/>
  <c r="AC15" i="4" s="1"/>
  <c r="U7" i="4"/>
  <c r="U15" i="4" s="1"/>
  <c r="AD15" i="4" s="1"/>
  <c r="V7" i="4"/>
  <c r="V15" i="4" s="1"/>
  <c r="AE15" i="4" s="1"/>
  <c r="W7" i="4"/>
  <c r="W15" i="4" s="1"/>
  <c r="AF15" i="4" s="1"/>
  <c r="X7" i="4"/>
  <c r="X15" i="4" s="1"/>
  <c r="AG15" i="4" s="1"/>
  <c r="Y7" i="4"/>
  <c r="S8" i="4"/>
  <c r="S16" i="4" s="1"/>
  <c r="T8" i="4"/>
  <c r="T16" i="4" s="1"/>
  <c r="AC16" i="4" s="1"/>
  <c r="U8" i="4"/>
  <c r="U16" i="4" s="1"/>
  <c r="AD16" i="4" s="1"/>
  <c r="V8" i="4"/>
  <c r="V16" i="4" s="1"/>
  <c r="AE16" i="4" s="1"/>
  <c r="W8" i="4"/>
  <c r="W16" i="4" s="1"/>
  <c r="AF16" i="4" s="1"/>
  <c r="X8" i="4"/>
  <c r="X16" i="4" s="1"/>
  <c r="AG16" i="4" s="1"/>
  <c r="Y8" i="4"/>
  <c r="S9" i="4"/>
  <c r="S17" i="4" s="1"/>
  <c r="T9" i="4"/>
  <c r="T17" i="4" s="1"/>
  <c r="AC17" i="4" s="1"/>
  <c r="U9" i="4"/>
  <c r="U17" i="4" s="1"/>
  <c r="AD17" i="4" s="1"/>
  <c r="V9" i="4"/>
  <c r="V17" i="4" s="1"/>
  <c r="AE17" i="4" s="1"/>
  <c r="W9" i="4"/>
  <c r="W17" i="4" s="1"/>
  <c r="AF17" i="4" s="1"/>
  <c r="X9" i="4"/>
  <c r="X17" i="4" s="1"/>
  <c r="AG17" i="4" s="1"/>
  <c r="Y9" i="4"/>
  <c r="S10" i="4"/>
  <c r="S18" i="4" s="1"/>
  <c r="T10" i="4"/>
  <c r="T18" i="4" s="1"/>
  <c r="AC18" i="4" s="1"/>
  <c r="U10" i="4"/>
  <c r="U18" i="4" s="1"/>
  <c r="AD18" i="4" s="1"/>
  <c r="V10" i="4"/>
  <c r="V18" i="4" s="1"/>
  <c r="AE18" i="4" s="1"/>
  <c r="W10" i="4"/>
  <c r="W18" i="4" s="1"/>
  <c r="AF18" i="4" s="1"/>
  <c r="X10" i="4"/>
  <c r="X18" i="4" s="1"/>
  <c r="AG18" i="4" s="1"/>
  <c r="Y10" i="4"/>
  <c r="S11" i="4"/>
  <c r="S19" i="4" s="1"/>
  <c r="T11" i="4"/>
  <c r="T19" i="4" s="1"/>
  <c r="AC19" i="4" s="1"/>
  <c r="U11" i="4"/>
  <c r="U19" i="4" s="1"/>
  <c r="AD19" i="4" s="1"/>
  <c r="V11" i="4"/>
  <c r="V19" i="4" s="1"/>
  <c r="AE19" i="4" s="1"/>
  <c r="W11" i="4"/>
  <c r="W19" i="4" s="1"/>
  <c r="AF19" i="4" s="1"/>
  <c r="X11" i="4"/>
  <c r="X19" i="4" s="1"/>
  <c r="AG19" i="4" s="1"/>
  <c r="Y11" i="4"/>
  <c r="T5" i="4"/>
  <c r="T13" i="4" s="1"/>
  <c r="AC13" i="4" s="1"/>
  <c r="U5" i="4"/>
  <c r="U13" i="4" s="1"/>
  <c r="V5" i="4"/>
  <c r="W5" i="4"/>
  <c r="W13" i="4" s="1"/>
  <c r="AF13" i="4" s="1"/>
  <c r="X5" i="4"/>
  <c r="X13" i="4" s="1"/>
  <c r="AG13" i="4" s="1"/>
  <c r="Y5" i="4"/>
  <c r="S5" i="4"/>
  <c r="S13" i="4" s="1"/>
  <c r="AB13" i="4" s="1"/>
  <c r="Z17" i="4" l="1"/>
  <c r="Z14" i="4"/>
  <c r="Z19" i="4"/>
  <c r="Z15" i="4"/>
  <c r="V13" i="4"/>
  <c r="AE13" i="4" s="1"/>
  <c r="AB18" i="4"/>
  <c r="AI18" i="4" s="1"/>
  <c r="Z18" i="4"/>
  <c r="Z16" i="4"/>
  <c r="AB19" i="4"/>
  <c r="AI19" i="4" s="1"/>
  <c r="AB15" i="4"/>
  <c r="AI15" i="4" s="1"/>
  <c r="AB16" i="4"/>
  <c r="AI16" i="4" s="1"/>
  <c r="AB17" i="4"/>
  <c r="AI17" i="4" s="1"/>
  <c r="AB14" i="4"/>
  <c r="AI14" i="4" s="1"/>
  <c r="AD13" i="4"/>
  <c r="D22" i="2"/>
  <c r="Z13" i="4" l="1"/>
  <c r="AI13" i="4"/>
  <c r="AC14" i="10"/>
  <c r="AB14" i="10"/>
  <c r="Y14" i="10"/>
  <c r="X14" i="10"/>
  <c r="U14" i="10"/>
  <c r="T14" i="10"/>
  <c r="Q14" i="10"/>
  <c r="P14" i="10"/>
  <c r="M14" i="10"/>
  <c r="L14" i="10"/>
  <c r="I14" i="10"/>
  <c r="H14" i="10"/>
  <c r="F14" i="10"/>
  <c r="D14" i="10"/>
  <c r="C14" i="10"/>
  <c r="H23" i="8" l="1"/>
  <c r="H24" i="8"/>
  <c r="H25" i="8"/>
  <c r="H26" i="8"/>
  <c r="H27" i="8"/>
  <c r="H28" i="8"/>
  <c r="H22" i="8"/>
  <c r="H6" i="8"/>
  <c r="H7" i="8"/>
  <c r="H8" i="8"/>
  <c r="H9" i="8"/>
  <c r="H10" i="8"/>
  <c r="H11" i="8"/>
  <c r="H5" i="8"/>
  <c r="D38" i="6"/>
  <c r="D40" i="6"/>
  <c r="D39" i="6"/>
  <c r="D41" i="6"/>
  <c r="D42" i="6"/>
  <c r="D43" i="6"/>
  <c r="D37" i="6"/>
  <c r="H8" i="6"/>
  <c r="H22" i="6"/>
  <c r="H23" i="6"/>
  <c r="H24" i="6"/>
  <c r="H25" i="6"/>
  <c r="H26" i="6"/>
  <c r="H27" i="6"/>
  <c r="H21" i="6"/>
  <c r="G101" i="3" l="1"/>
  <c r="G100" i="3"/>
  <c r="G95" i="3"/>
  <c r="C22" i="2"/>
  <c r="C43" i="6"/>
  <c r="C42" i="6"/>
  <c r="C41" i="6"/>
  <c r="B41" i="6"/>
  <c r="C40" i="6"/>
  <c r="B40" i="6"/>
  <c r="C39" i="6"/>
  <c r="B39" i="6"/>
  <c r="C38" i="6"/>
  <c r="B38" i="6"/>
  <c r="C37" i="6"/>
  <c r="B37" i="6"/>
  <c r="E27" i="6"/>
  <c r="D27" i="6"/>
  <c r="B27" i="6"/>
  <c r="E26" i="6"/>
  <c r="D26" i="6"/>
  <c r="C26" i="6"/>
  <c r="B26" i="6"/>
  <c r="E25" i="6"/>
  <c r="D25" i="6"/>
  <c r="C25" i="6"/>
  <c r="B25" i="6"/>
  <c r="E24" i="6"/>
  <c r="D24" i="6"/>
  <c r="C24" i="6"/>
  <c r="B24" i="6"/>
  <c r="E23" i="6"/>
  <c r="D23" i="6"/>
  <c r="C23" i="6"/>
  <c r="B23" i="6"/>
  <c r="E22" i="6"/>
  <c r="D22" i="6"/>
  <c r="C22" i="6"/>
  <c r="B22" i="6"/>
  <c r="E21" i="6"/>
  <c r="D21" i="6"/>
  <c r="C21" i="6"/>
  <c r="B21" i="6"/>
  <c r="E11" i="6"/>
  <c r="D11" i="6"/>
  <c r="C11" i="6"/>
  <c r="B11" i="6"/>
  <c r="E9" i="6"/>
  <c r="D9" i="6"/>
  <c r="C9" i="6"/>
  <c r="B9" i="6"/>
  <c r="R12" i="6"/>
  <c r="R10" i="6"/>
  <c r="G96" i="3" l="1"/>
  <c r="G98" i="3"/>
  <c r="G97" i="3"/>
  <c r="G99" i="3"/>
  <c r="I81" i="3"/>
  <c r="I82" i="3"/>
  <c r="I83" i="3"/>
  <c r="I84" i="3"/>
  <c r="I85" i="3"/>
  <c r="I86" i="3"/>
  <c r="I87" i="3"/>
  <c r="O10" i="4"/>
  <c r="N10" i="4"/>
  <c r="M10" i="4"/>
  <c r="O8" i="4"/>
  <c r="N8" i="4"/>
  <c r="M8" i="4"/>
  <c r="A14" i="1" l="1"/>
  <c r="F15" i="9"/>
  <c r="F16" i="9" s="1"/>
  <c r="C37" i="4" l="1"/>
  <c r="D37" i="4"/>
  <c r="E37" i="4"/>
  <c r="F37" i="4"/>
  <c r="G37" i="4"/>
  <c r="H37" i="4"/>
  <c r="B37" i="4"/>
  <c r="I31" i="4"/>
  <c r="I32" i="4"/>
  <c r="I33" i="4"/>
  <c r="I34" i="4"/>
  <c r="I35" i="4"/>
  <c r="I36" i="4"/>
  <c r="I30" i="4"/>
  <c r="C24" i="4"/>
  <c r="D24" i="4"/>
  <c r="E24" i="4"/>
  <c r="F24" i="4"/>
  <c r="G24" i="4"/>
  <c r="H24" i="4"/>
  <c r="B24" i="4"/>
  <c r="I18" i="4"/>
  <c r="I19" i="4"/>
  <c r="I20" i="4"/>
  <c r="I21" i="4"/>
  <c r="I22" i="4"/>
  <c r="I23" i="4"/>
  <c r="I17" i="4"/>
  <c r="I5" i="4"/>
  <c r="I6" i="4"/>
  <c r="I7" i="4"/>
  <c r="I8" i="4"/>
  <c r="I9" i="4"/>
  <c r="I10" i="4"/>
  <c r="B11" i="4"/>
  <c r="C11" i="4"/>
  <c r="D11" i="4"/>
  <c r="E11" i="4"/>
  <c r="F11" i="4"/>
  <c r="G11" i="4"/>
  <c r="H11" i="4"/>
  <c r="X59" i="8" l="1"/>
  <c r="W59" i="8"/>
  <c r="V59" i="8"/>
  <c r="U59" i="8"/>
  <c r="T59" i="8"/>
  <c r="S59" i="8"/>
  <c r="R59" i="8"/>
  <c r="Q59" i="8"/>
  <c r="P59" i="8"/>
  <c r="O59" i="8"/>
  <c r="N59" i="8"/>
  <c r="M59" i="8"/>
  <c r="L59" i="8"/>
  <c r="K59" i="8"/>
  <c r="J59" i="8"/>
  <c r="I59" i="8"/>
  <c r="H59" i="8"/>
  <c r="G59" i="8"/>
  <c r="F59" i="8"/>
  <c r="E59" i="8"/>
  <c r="D59" i="8"/>
  <c r="C59" i="8"/>
  <c r="B59" i="8"/>
  <c r="A59" i="8"/>
  <c r="G10" i="6"/>
  <c r="G6" i="6"/>
  <c r="G7" i="6"/>
  <c r="G8" i="6"/>
  <c r="G9" i="6"/>
  <c r="G11" i="6"/>
  <c r="G5" i="6"/>
  <c r="F6" i="6"/>
  <c r="H6" i="6" s="1"/>
  <c r="F7" i="6"/>
  <c r="F8" i="6"/>
  <c r="J8" i="6" s="1"/>
  <c r="F9" i="6"/>
  <c r="H9" i="6" s="1"/>
  <c r="F10" i="6"/>
  <c r="H10" i="6" s="1"/>
  <c r="F11" i="6"/>
  <c r="F5" i="6"/>
  <c r="J7" i="6"/>
  <c r="J12" i="6"/>
  <c r="J11" i="6"/>
  <c r="L12" i="6"/>
  <c r="L11" i="6"/>
  <c r="K12" i="6"/>
  <c r="K11" i="6"/>
  <c r="E7" i="3"/>
  <c r="H11" i="6" l="1"/>
  <c r="H5" i="6"/>
  <c r="H7" i="6"/>
  <c r="F7" i="3"/>
  <c r="G7" i="3"/>
  <c r="H7" i="3"/>
  <c r="I7" i="3"/>
  <c r="J7" i="3"/>
  <c r="K7" i="3"/>
  <c r="E8" i="3"/>
  <c r="F8" i="3"/>
  <c r="G8" i="3"/>
  <c r="H8" i="3"/>
  <c r="I8" i="3"/>
  <c r="J8" i="3"/>
  <c r="K8" i="3"/>
  <c r="E9" i="3"/>
  <c r="F9" i="3"/>
  <c r="G9" i="3"/>
  <c r="H9" i="3"/>
  <c r="I9" i="3"/>
  <c r="J9" i="3"/>
  <c r="K9" i="3"/>
  <c r="E10" i="3"/>
  <c r="F10" i="3"/>
  <c r="G10" i="3"/>
  <c r="H10" i="3"/>
  <c r="I10" i="3"/>
  <c r="J10" i="3"/>
  <c r="K10" i="3"/>
  <c r="E11" i="3"/>
  <c r="F11" i="3"/>
  <c r="G11" i="3"/>
  <c r="H11" i="3"/>
  <c r="I11" i="3"/>
  <c r="J11" i="3"/>
  <c r="K11" i="3"/>
  <c r="I8" i="2" l="1"/>
  <c r="I10" i="2"/>
  <c r="I7" i="2"/>
  <c r="I5" i="2"/>
  <c r="E60" i="3"/>
  <c r="F60" i="3"/>
  <c r="G60" i="3"/>
  <c r="M98" i="3"/>
  <c r="M97" i="3"/>
  <c r="M96" i="3"/>
  <c r="M95" i="3"/>
  <c r="M94" i="3"/>
  <c r="M93" i="3"/>
  <c r="M92" i="3"/>
  <c r="I6" i="2" l="1"/>
  <c r="I4" i="2"/>
  <c r="I9" i="2"/>
  <c r="J95" i="3"/>
  <c r="U56" i="3" l="1"/>
  <c r="AB58" i="3"/>
  <c r="S58" i="3"/>
  <c r="X58" i="3"/>
  <c r="N58" i="3"/>
  <c r="AE57" i="3"/>
  <c r="V57" i="3"/>
  <c r="AA57" i="3"/>
  <c r="Q57" i="3"/>
  <c r="AD56" i="3"/>
  <c r="Y56" i="3"/>
  <c r="N56" i="3"/>
  <c r="AC55" i="3"/>
  <c r="T55" i="3"/>
  <c r="Z55" i="3"/>
  <c r="N55" i="3"/>
  <c r="R54" i="3"/>
  <c r="O54" i="3"/>
  <c r="W54" i="3"/>
  <c r="P54" i="3"/>
  <c r="J56" i="3" l="1"/>
  <c r="J57" i="3"/>
  <c r="J58" i="3"/>
  <c r="J59" i="3"/>
  <c r="J55" i="3"/>
  <c r="I56" i="3"/>
  <c r="I57" i="3"/>
  <c r="I58" i="3"/>
  <c r="I59" i="3"/>
  <c r="I55" i="3"/>
  <c r="J44" i="3"/>
  <c r="J43" i="3"/>
  <c r="J45" i="3"/>
  <c r="J46" i="3"/>
  <c r="J47" i="3"/>
  <c r="I47" i="3"/>
  <c r="I46" i="3"/>
  <c r="I45" i="3"/>
  <c r="I44" i="3"/>
  <c r="K44" i="3" s="1"/>
  <c r="I43" i="3"/>
  <c r="K43" i="3" s="1"/>
  <c r="F48" i="3"/>
  <c r="G48" i="3"/>
  <c r="H48" i="3"/>
  <c r="E48" i="3"/>
  <c r="K57" i="3" l="1"/>
  <c r="K56" i="3"/>
  <c r="J48" i="3"/>
  <c r="K46" i="3"/>
  <c r="K55" i="3"/>
  <c r="I60" i="3"/>
  <c r="K47" i="3"/>
  <c r="K59" i="3"/>
  <c r="J60" i="3"/>
  <c r="K45" i="3"/>
  <c r="K58" i="3"/>
  <c r="I48" i="3"/>
  <c r="K48" i="3" l="1"/>
  <c r="K60" i="3"/>
</calcChain>
</file>

<file path=xl/sharedStrings.xml><?xml version="1.0" encoding="utf-8"?>
<sst xmlns="http://schemas.openxmlformats.org/spreadsheetml/2006/main" count="1404" uniqueCount="174">
  <si>
    <t>BGP</t>
  </si>
  <si>
    <t>SWDF</t>
  </si>
  <si>
    <t>DBPedia</t>
  </si>
  <si>
    <t>Feasible</t>
  </si>
  <si>
    <t>Predicate Based</t>
  </si>
  <si>
    <t>Subject Based</t>
  </si>
  <si>
    <t>Hierarchical</t>
  </si>
  <si>
    <t>Horizontal</t>
  </si>
  <si>
    <t>MinCut</t>
  </si>
  <si>
    <t>Total Execution time in ms</t>
  </si>
  <si>
    <t>Total timeout queries(*180000) in ms</t>
  </si>
  <si>
    <t>BGP only</t>
  </si>
  <si>
    <t>Fully featured</t>
  </si>
  <si>
    <t>Predicate-based</t>
  </si>
  <si>
    <t>Query Mix time (ms) for the complete 300 queries benchmark including time outs of 3 min</t>
  </si>
  <si>
    <t>Subject-based</t>
  </si>
  <si>
    <t xml:space="preserve">Horizental </t>
  </si>
  <si>
    <t>Min-cut</t>
  </si>
  <si>
    <t>Dbpedia</t>
  </si>
  <si>
    <t>Average query execution time for successfully executed queries, i.e., excluding timeout queries</t>
  </si>
  <si>
    <t>Number of time out (3 min) queries</t>
  </si>
  <si>
    <t>Combined (600 queries)</t>
  </si>
  <si>
    <t>Overall (1200 queries)</t>
  </si>
  <si>
    <t>1st</t>
  </si>
  <si>
    <t>2nd</t>
  </si>
  <si>
    <t>3rd</t>
  </si>
  <si>
    <t>4th</t>
  </si>
  <si>
    <t>5th</t>
  </si>
  <si>
    <t>SWDF+Dbpedia (4 benchmarks)</t>
  </si>
  <si>
    <r>
      <rPr>
        <sz val="11"/>
        <color rgb="FFFF0000"/>
        <rFont val="Calibri"/>
        <family val="2"/>
        <scheme val="minor"/>
      </rPr>
      <t>1st</t>
    </r>
    <r>
      <rPr>
        <sz val="11"/>
        <color theme="1"/>
        <rFont val="Calibri"/>
        <family val="2"/>
        <scheme val="minor"/>
      </rPr>
      <t xml:space="preserve"> </t>
    </r>
    <r>
      <rPr>
        <sz val="11"/>
        <color rgb="FF00B0F0"/>
        <rFont val="Calibri"/>
        <family val="2"/>
        <scheme val="minor"/>
      </rPr>
      <t>2nd</t>
    </r>
    <r>
      <rPr>
        <sz val="11"/>
        <color theme="1"/>
        <rFont val="Calibri"/>
        <family val="2"/>
        <scheme val="minor"/>
      </rPr>
      <t xml:space="preserve"> </t>
    </r>
    <r>
      <rPr>
        <sz val="11"/>
        <color rgb="FF00B050"/>
        <rFont val="Calibri"/>
        <family val="2"/>
        <scheme val="minor"/>
      </rPr>
      <t>3rd</t>
    </r>
    <r>
      <rPr>
        <sz val="11"/>
        <color theme="1"/>
        <rFont val="Calibri"/>
        <family val="2"/>
        <scheme val="minor"/>
      </rPr>
      <t xml:space="preserve"> </t>
    </r>
    <r>
      <rPr>
        <sz val="11"/>
        <color rgb="FF7030A0"/>
        <rFont val="Calibri"/>
        <family val="2"/>
        <scheme val="minor"/>
      </rPr>
      <t>4th</t>
    </r>
    <r>
      <rPr>
        <sz val="11"/>
        <color theme="1"/>
        <rFont val="Calibri"/>
        <family val="2"/>
        <scheme val="minor"/>
      </rPr>
      <t xml:space="preserve"> 5th</t>
    </r>
  </si>
  <si>
    <t>Remarks</t>
  </si>
  <si>
    <t xml:space="preserve"> Either best or worse</t>
  </si>
  <si>
    <t>Good on average</t>
  </si>
  <si>
    <t>mostly good</t>
  </si>
  <si>
    <t>Mostly very good</t>
  </si>
  <si>
    <t>Mostly on low side</t>
  </si>
  <si>
    <t>SWDF+Dbpedia (3 benchmarks)</t>
  </si>
  <si>
    <t>High time outs</t>
  </si>
  <si>
    <t>Lowest timeouts</t>
  </si>
  <si>
    <t>Lower timeouts</t>
  </si>
  <si>
    <t>Reasonably lower timeouts</t>
  </si>
  <si>
    <t>On the low due to lower timeouts for complex queries whose execution time is added in to the average while that is excluded for other techniques since they run into timeoputs for such complex queries</t>
  </si>
  <si>
    <t>Complex queries are timeout and hence not included into the avg. query exeuction time</t>
  </si>
  <si>
    <t xml:space="preserve">Excluded timeout queries which leads to overall good avg. runtimes </t>
  </si>
  <si>
    <t xml:space="preserve">On lower side due to lowest timeouts </t>
  </si>
  <si>
    <t>Average query execution time (ms) for successfully executed queries, i.e., excluding timeout queries</t>
  </si>
  <si>
    <t>Number of tripple pattern-wise souces selected</t>
  </si>
  <si>
    <t>Total distinct source selected</t>
  </si>
  <si>
    <t>Overall</t>
  </si>
  <si>
    <t>Combined (Dbpedia+SWDF)</t>
  </si>
  <si>
    <t>SWDF BGP only</t>
  </si>
  <si>
    <t>Total n</t>
  </si>
  <si>
    <t>x</t>
  </si>
  <si>
    <t>Recursive Bisection</t>
  </si>
  <si>
    <t>FedX Results</t>
  </si>
  <si>
    <t>Semagrow Results</t>
  </si>
  <si>
    <t xml:space="preserve">Horizontal </t>
  </si>
  <si>
    <t>Koral Results</t>
  </si>
  <si>
    <t>SWDF BGP</t>
  </si>
  <si>
    <t>FedX Ranking</t>
  </si>
  <si>
    <t>Semagrow Ranking</t>
  </si>
  <si>
    <t>Koral Ranking</t>
  </si>
  <si>
    <t>6th</t>
  </si>
  <si>
    <t>7th</t>
  </si>
  <si>
    <t>Partitioning time</t>
  </si>
  <si>
    <t>SWDF fully featured</t>
  </si>
  <si>
    <t>Total time out queries</t>
  </si>
  <si>
    <t>total time taken</t>
  </si>
  <si>
    <t>timeout queries</t>
  </si>
  <si>
    <t>kway</t>
  </si>
  <si>
    <t>recursive-bisection</t>
  </si>
  <si>
    <t>Property-based</t>
  </si>
  <si>
    <t>subject-based</t>
  </si>
  <si>
    <t>hierarchical</t>
  </si>
  <si>
    <t>horizontal</t>
  </si>
  <si>
    <t>mincut</t>
  </si>
  <si>
    <t>FedX Remaining Results</t>
  </si>
  <si>
    <t>SWDF-BGP</t>
  </si>
  <si>
    <t>DBPedia-BGP</t>
  </si>
  <si>
    <t>DBpedia BGP only</t>
  </si>
  <si>
    <t>DBpedia fully featured</t>
  </si>
  <si>
    <t>DBpedia BGP</t>
  </si>
  <si>
    <t>Recursive-bisection</t>
  </si>
  <si>
    <t>DBpedia</t>
  </si>
  <si>
    <t>SWDF+DBpedia (2 Benchmarks)</t>
  </si>
  <si>
    <t>total time taken including timeouts</t>
  </si>
  <si>
    <t>Min-Edgecut</t>
  </si>
  <si>
    <t>SWDF+DBpedia (4 Benchmarks)</t>
  </si>
  <si>
    <t>DBpedia fully-featured</t>
  </si>
  <si>
    <t>DBpedia BGP-only</t>
  </si>
  <si>
    <t>SWDF BGP-only</t>
  </si>
  <si>
    <t>SWDF fully-featured</t>
  </si>
  <si>
    <t>Total</t>
  </si>
  <si>
    <t>Partition 0</t>
  </si>
  <si>
    <t>Partition 1</t>
  </si>
  <si>
    <t>Partition 2</t>
  </si>
  <si>
    <t>Partition 3</t>
  </si>
  <si>
    <t>Partition 4</t>
  </si>
  <si>
    <t>Partition 5</t>
  </si>
  <si>
    <t>Partition 6</t>
  </si>
  <si>
    <t>Partition 7</t>
  </si>
  <si>
    <t>Partition 8</t>
  </si>
  <si>
    <t>Partition 9</t>
  </si>
  <si>
    <t>Standard Deviation</t>
  </si>
  <si>
    <t>TCV-Min</t>
  </si>
  <si>
    <t>PB</t>
  </si>
  <si>
    <t>SB</t>
  </si>
  <si>
    <t>Hi</t>
  </si>
  <si>
    <t>Ho</t>
  </si>
  <si>
    <t>ME</t>
  </si>
  <si>
    <t>TC</t>
  </si>
  <si>
    <t>RB</t>
  </si>
  <si>
    <t>Overall rank-wise ranking</t>
  </si>
  <si>
    <t>either best or worst</t>
  </si>
  <si>
    <t>BGP-Only</t>
  </si>
  <si>
    <t>Fully Featured</t>
  </si>
  <si>
    <t>Predicate-Based</t>
  </si>
  <si>
    <t>Subject-Based</t>
  </si>
  <si>
    <t>Recursive-Bisection</t>
  </si>
  <si>
    <t>Rank</t>
  </si>
  <si>
    <t>Total time taken</t>
  </si>
  <si>
    <t>MCL</t>
  </si>
  <si>
    <t>Timeouts</t>
  </si>
  <si>
    <t>Exec  Time</t>
  </si>
  <si>
    <t>SemaGrow  Results</t>
  </si>
  <si>
    <t>Koral  Results</t>
  </si>
  <si>
    <t>PCo</t>
  </si>
  <si>
    <t>Pco</t>
  </si>
  <si>
    <t>8th</t>
  </si>
  <si>
    <t>9th</t>
  </si>
  <si>
    <t>FedX</t>
  </si>
  <si>
    <t>SemaGroow</t>
  </si>
  <si>
    <t>Koral</t>
  </si>
  <si>
    <t>Overall Ranking of 9 techniques</t>
  </si>
  <si>
    <t>Total Timeouts (FedX + SemaGrow + Koral)</t>
  </si>
  <si>
    <t>SW-BGP</t>
  </si>
  <si>
    <t>SW-FF</t>
  </si>
  <si>
    <t>DB-BGP</t>
  </si>
  <si>
    <t>DB-FF</t>
  </si>
  <si>
    <t>Rank Score</t>
  </si>
  <si>
    <t>SemaGrow Results</t>
  </si>
  <si>
    <t>1200 Queries</t>
  </si>
  <si>
    <t>Overall Result</t>
  </si>
  <si>
    <t>Dbpedia - BGP</t>
  </si>
  <si>
    <t>SWDF - BGP</t>
  </si>
  <si>
    <t>SWDF - FF</t>
  </si>
  <si>
    <t>DBpedia - FF</t>
  </si>
  <si>
    <t>PCM</t>
  </si>
  <si>
    <t>PCG</t>
  </si>
  <si>
    <t xml:space="preserve">Average </t>
  </si>
  <si>
    <t>SW BGP</t>
  </si>
  <si>
    <t>SW FF</t>
  </si>
  <si>
    <t>DB BGP</t>
  </si>
  <si>
    <t>DB FF</t>
  </si>
  <si>
    <t>SW both</t>
  </si>
  <si>
    <t>DB both</t>
  </si>
  <si>
    <t>PT</t>
  </si>
  <si>
    <t>Partout</t>
  </si>
  <si>
    <t>10th</t>
  </si>
  <si>
    <t xml:space="preserve">only SWDF dataset with partout 5 bencharks </t>
  </si>
  <si>
    <t>p1</t>
  </si>
  <si>
    <t>p2</t>
  </si>
  <si>
    <t>p3</t>
  </si>
  <si>
    <t>p4</t>
  </si>
  <si>
    <t>p5</t>
  </si>
  <si>
    <t>p6</t>
  </si>
  <si>
    <t>p7</t>
  </si>
  <si>
    <t>p8</t>
  </si>
  <si>
    <t>p9</t>
  </si>
  <si>
    <t>p10</t>
  </si>
  <si>
    <t>Gini index</t>
  </si>
  <si>
    <t>Partition sizes</t>
  </si>
  <si>
    <t>small to big</t>
  </si>
  <si>
    <t xml:space="preserve"> </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</si>
</sst>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164" formatCode="0.000"/>
    <numFmt numFmtId="165" formatCode="0.0"/>
    <numFmt numFmtId="166" formatCode="0.0000000000000"/>
    <numFmt numFmtId="167" formatCode="#.##0"/>
    <numFmt numFmtId="168" formatCode="#.##"/>
    <numFmt numFmtId="169" formatCode="0.0000"/>
    <numFmt numFmtId="170" formatCode="0.00000"/>
  </numFmts>
  <fonts count="13" x14ac:knownFonts="1">
    <font>
      <sz val="11"/>
      <color theme="1"/>
      <name val="Calibri"/>
      <family val="2"/>
      <scheme val="minor"/>
    </font>
    <font>
      <sz val="18"/>
      <color theme="1"/>
      <name val="Calibri"/>
      <family val="2"/>
      <scheme val="minor"/>
    </font>
    <font>
      <sz val="20"/>
      <color theme="1"/>
      <name val="Calibri"/>
      <family val="2"/>
      <scheme val="minor"/>
    </font>
    <font>
      <sz val="11"/>
      <color rgb="FFFF0000"/>
      <name val="Calibri"/>
      <family val="2"/>
      <scheme val="minor"/>
    </font>
    <font>
      <sz val="11"/>
      <color rgb="FF7030A0"/>
      <name val="Calibri"/>
      <family val="2"/>
      <scheme val="minor"/>
    </font>
    <font>
      <sz val="11"/>
      <color rgb="FF00B0F0"/>
      <name val="Calibri"/>
      <family val="2"/>
      <scheme val="minor"/>
    </font>
    <font>
      <sz val="11"/>
      <color rgb="FF00B050"/>
      <name val="Calibri"/>
      <family val="2"/>
      <scheme val="minor"/>
    </font>
    <font>
      <sz val="11"/>
      <name val="Calibri"/>
      <family val="2"/>
      <scheme val="minor"/>
    </font>
    <font>
      <b/>
      <sz val="11"/>
      <color rgb="FFFF0000"/>
      <name val="Calibri"/>
      <family val="2"/>
      <scheme val="minor"/>
    </font>
    <font>
      <b/>
      <sz val="11"/>
      <color theme="1"/>
      <name val="Calibri"/>
      <family val="2"/>
      <scheme val="minor"/>
    </font>
    <font>
      <b/>
      <sz val="11"/>
      <color rgb="FF7030A0"/>
      <name val="Calibri"/>
      <family val="2"/>
      <scheme val="minor"/>
    </font>
    <font>
      <sz val="11"/>
      <color rgb="FFFFC000"/>
      <name val="Calibri"/>
      <family val="2"/>
      <scheme val="minor"/>
    </font>
    <font>
      <b/>
      <sz val="11"/>
      <color rgb="FF00B050"/>
      <name val="Calibri"/>
      <family val="2"/>
      <scheme val="minor"/>
    </font>
  </fonts>
  <fills count="30">
    <fill>
      <patternFill patternType="none"/>
    </fill>
    <fill>
      <patternFill patternType="gray125"/>
    </fill>
    <fill>
      <patternFill patternType="solid">
        <fgColor theme="5" tint="-0.249977111117893"/>
        <bgColor indexed="64"/>
      </patternFill>
    </fill>
    <fill>
      <patternFill patternType="solid">
        <fgColor theme="6" tint="-0.249977111117893"/>
        <bgColor indexed="64"/>
      </patternFill>
    </fill>
    <fill>
      <patternFill patternType="solid">
        <fgColor theme="7" tint="-0.249977111117893"/>
        <bgColor indexed="64"/>
      </patternFill>
    </fill>
    <fill>
      <patternFill patternType="solid">
        <fgColor theme="8" tint="-0.249977111117893"/>
        <bgColor indexed="64"/>
      </patternFill>
    </fill>
    <fill>
      <patternFill patternType="solid">
        <fgColor theme="9" tint="-0.249977111117893"/>
        <bgColor indexed="64"/>
      </patternFill>
    </fill>
    <fill>
      <patternFill patternType="solid">
        <fgColor theme="0"/>
        <bgColor indexed="64"/>
      </patternFill>
    </fill>
    <fill>
      <patternFill patternType="solid">
        <fgColor theme="0" tint="-0.14999847407452621"/>
        <bgColor indexed="64"/>
      </patternFill>
    </fill>
    <fill>
      <patternFill patternType="solid">
        <fgColor theme="7" tint="0.39997558519241921"/>
        <bgColor indexed="64"/>
      </patternFill>
    </fill>
    <fill>
      <patternFill patternType="solid">
        <fgColor theme="6"/>
        <bgColor indexed="64"/>
      </patternFill>
    </fill>
    <fill>
      <patternFill patternType="solid">
        <fgColor rgb="FFFFFF00"/>
        <bgColor indexed="64"/>
      </patternFill>
    </fill>
    <fill>
      <patternFill patternType="solid">
        <fgColor rgb="FFFFC000"/>
        <bgColor indexed="64"/>
      </patternFill>
    </fill>
    <fill>
      <patternFill patternType="solid">
        <fgColor rgb="FFFF0000"/>
        <bgColor indexed="64"/>
      </patternFill>
    </fill>
    <fill>
      <patternFill patternType="solid">
        <fgColor rgb="FF00B050"/>
        <bgColor indexed="64"/>
      </patternFill>
    </fill>
    <fill>
      <patternFill patternType="solid">
        <fgColor rgb="FF00B0F0"/>
        <bgColor indexed="64"/>
      </patternFill>
    </fill>
    <fill>
      <patternFill patternType="solid">
        <fgColor rgb="FF0070C0"/>
        <bgColor indexed="64"/>
      </patternFill>
    </fill>
    <fill>
      <patternFill patternType="solid">
        <fgColor rgb="FF7030A0"/>
        <bgColor indexed="64"/>
      </patternFill>
    </fill>
    <fill>
      <patternFill patternType="solid">
        <fgColor theme="7" tint="0.59999389629810485"/>
        <bgColor indexed="64"/>
      </patternFill>
    </fill>
    <fill>
      <patternFill patternType="solid">
        <fgColor theme="4"/>
        <bgColor indexed="64"/>
      </patternFill>
    </fill>
    <fill>
      <patternFill patternType="solid">
        <fgColor theme="2"/>
        <bgColor indexed="64"/>
      </patternFill>
    </fill>
    <fill>
      <patternFill patternType="solid">
        <fgColor theme="4" tint="0.59999389629810485"/>
        <bgColor indexed="64"/>
      </patternFill>
    </fill>
    <fill>
      <patternFill patternType="solid">
        <fgColor theme="5" tint="0.39997558519241921"/>
        <bgColor indexed="64"/>
      </patternFill>
    </fill>
    <fill>
      <patternFill patternType="solid">
        <fgColor theme="0" tint="-4.9989318521683403E-2"/>
        <bgColor indexed="64"/>
      </patternFill>
    </fill>
    <fill>
      <patternFill patternType="solid">
        <fgColor theme="4" tint="0.39997558519241921"/>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0" tint="-0.499984740745262"/>
        <bgColor indexed="64"/>
      </patternFill>
    </fill>
    <fill>
      <patternFill patternType="solid">
        <fgColor theme="0" tint="-0.34998626667073579"/>
        <bgColor indexed="64"/>
      </patternFill>
    </fill>
    <fill>
      <patternFill patternType="solid">
        <fgColor theme="5" tint="0.79998168889431442"/>
        <bgColor indexed="64"/>
      </patternFill>
    </fill>
  </fills>
  <borders count="36">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right style="medium">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right/>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medium">
        <color indexed="64"/>
      </top>
      <bottom/>
      <diagonal/>
    </border>
  </borders>
  <cellStyleXfs count="1">
    <xf numFmtId="0" fontId="0" fillId="0" borderId="0"/>
  </cellStyleXfs>
  <cellXfs count="450">
    <xf numFmtId="0" fontId="0" fillId="0" borderId="0" xfId="0"/>
    <xf numFmtId="0" fontId="0" fillId="0" borderId="0" xfId="0" applyAlignment="1">
      <alignment horizontal="center" vertical="center"/>
    </xf>
    <xf numFmtId="0" fontId="0" fillId="2" borderId="0" xfId="0" applyFill="1" applyAlignment="1">
      <alignment horizontal="center" vertical="center"/>
    </xf>
    <xf numFmtId="0" fontId="0" fillId="2" borderId="0" xfId="0" applyFill="1"/>
    <xf numFmtId="0" fontId="0" fillId="3" borderId="0" xfId="0" applyFill="1" applyAlignment="1">
      <alignment horizontal="center" vertical="center"/>
    </xf>
    <xf numFmtId="0" fontId="0" fillId="3" borderId="0" xfId="0" applyFill="1"/>
    <xf numFmtId="0" fontId="0" fillId="4" borderId="0" xfId="0" applyFill="1" applyAlignment="1">
      <alignment horizontal="center" vertical="center"/>
    </xf>
    <xf numFmtId="0" fontId="0" fillId="4" borderId="0" xfId="0" applyFill="1"/>
    <xf numFmtId="0" fontId="0" fillId="5" borderId="0" xfId="0" applyFill="1" applyAlignment="1">
      <alignment horizontal="center" vertical="center"/>
    </xf>
    <xf numFmtId="0" fontId="0" fillId="5" borderId="0" xfId="0" applyFill="1"/>
    <xf numFmtId="0" fontId="0" fillId="6" borderId="0" xfId="0" applyFill="1" applyAlignment="1">
      <alignment horizontal="center" vertical="center"/>
    </xf>
    <xf numFmtId="0" fontId="0" fillId="6" borderId="0" xfId="0" applyFill="1"/>
    <xf numFmtId="0" fontId="2" fillId="0" borderId="0" xfId="0" applyFont="1"/>
    <xf numFmtId="0" fontId="1" fillId="2" borderId="0" xfId="0" applyFont="1" applyFill="1" applyAlignment="1"/>
    <xf numFmtId="0" fontId="1" fillId="0" borderId="0" xfId="0" applyFont="1" applyAlignment="1"/>
    <xf numFmtId="0" fontId="1" fillId="3" borderId="0" xfId="0" applyFont="1" applyFill="1" applyAlignment="1"/>
    <xf numFmtId="0" fontId="1" fillId="4" borderId="0" xfId="0" applyFont="1" applyFill="1" applyAlignment="1"/>
    <xf numFmtId="0" fontId="1" fillId="5" borderId="0" xfId="0" applyFont="1" applyFill="1" applyAlignment="1"/>
    <xf numFmtId="0" fontId="1" fillId="6" borderId="0" xfId="0" applyFont="1" applyFill="1" applyAlignment="1"/>
    <xf numFmtId="0" fontId="0" fillId="7" borderId="0" xfId="0" applyFill="1"/>
    <xf numFmtId="0" fontId="0" fillId="0" borderId="3" xfId="0" applyBorder="1"/>
    <xf numFmtId="0" fontId="0" fillId="0" borderId="4" xfId="0" applyBorder="1"/>
    <xf numFmtId="0" fontId="0" fillId="0" borderId="5" xfId="0" applyBorder="1"/>
    <xf numFmtId="0" fontId="0" fillId="0" borderId="0"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3" fillId="0" borderId="6" xfId="0" applyFont="1" applyBorder="1"/>
    <xf numFmtId="0" fontId="3" fillId="0" borderId="0" xfId="0" applyFont="1" applyBorder="1"/>
    <xf numFmtId="0" fontId="3" fillId="0" borderId="5" xfId="0" applyFont="1" applyBorder="1"/>
    <xf numFmtId="0" fontId="0" fillId="0" borderId="5" xfId="0" applyFont="1" applyBorder="1"/>
    <xf numFmtId="0" fontId="0" fillId="0" borderId="7" xfId="0" applyFont="1" applyBorder="1"/>
    <xf numFmtId="0" fontId="0" fillId="0" borderId="0" xfId="0" applyFont="1" applyBorder="1"/>
    <xf numFmtId="0" fontId="5" fillId="0" borderId="5" xfId="0" applyFont="1" applyBorder="1"/>
    <xf numFmtId="0" fontId="5" fillId="0" borderId="6" xfId="0" applyFont="1" applyBorder="1"/>
    <xf numFmtId="0" fontId="5" fillId="0" borderId="0" xfId="0" applyFont="1" applyBorder="1"/>
    <xf numFmtId="0" fontId="0" fillId="0" borderId="11" xfId="0" applyBorder="1" applyAlignment="1">
      <alignment horizontal="center"/>
    </xf>
    <xf numFmtId="0" fontId="0" fillId="0" borderId="13" xfId="0" applyBorder="1"/>
    <xf numFmtId="0" fontId="0" fillId="0" borderId="14" xfId="0" applyBorder="1"/>
    <xf numFmtId="0" fontId="0" fillId="0" borderId="15" xfId="0" applyBorder="1"/>
    <xf numFmtId="0" fontId="0" fillId="0" borderId="1" xfId="0" applyBorder="1"/>
    <xf numFmtId="0" fontId="0" fillId="0" borderId="2" xfId="0" applyBorder="1"/>
    <xf numFmtId="0" fontId="3" fillId="0" borderId="13" xfId="0" applyFont="1" applyBorder="1"/>
    <xf numFmtId="0" fontId="5" fillId="0" borderId="13" xfId="0" applyFont="1" applyBorder="1"/>
    <xf numFmtId="0" fontId="0" fillId="0" borderId="11" xfId="0" applyBorder="1"/>
    <xf numFmtId="0" fontId="0" fillId="0" borderId="12" xfId="0" applyBorder="1"/>
    <xf numFmtId="0" fontId="3" fillId="0" borderId="10" xfId="0" applyFont="1" applyBorder="1"/>
    <xf numFmtId="0" fontId="3" fillId="0" borderId="11" xfId="0" applyFont="1" applyBorder="1"/>
    <xf numFmtId="0" fontId="3" fillId="0" borderId="8" xfId="0" applyFont="1" applyBorder="1"/>
    <xf numFmtId="0" fontId="0" fillId="0" borderId="8" xfId="0" applyFont="1" applyBorder="1"/>
    <xf numFmtId="0" fontId="0" fillId="0" borderId="10" xfId="0" applyBorder="1" applyAlignment="1">
      <alignment horizontal="center"/>
    </xf>
    <xf numFmtId="0" fontId="0" fillId="0" borderId="12" xfId="0" applyBorder="1" applyAlignment="1">
      <alignment horizontal="center"/>
    </xf>
    <xf numFmtId="0" fontId="5" fillId="0" borderId="7" xfId="0" applyFont="1" applyBorder="1"/>
    <xf numFmtId="0" fontId="5" fillId="0" borderId="14" xfId="0" applyFont="1" applyBorder="1"/>
    <xf numFmtId="0" fontId="0" fillId="0" borderId="0" xfId="0" applyFill="1" applyBorder="1"/>
    <xf numFmtId="0" fontId="0" fillId="0" borderId="6" xfId="0" applyFill="1" applyBorder="1"/>
    <xf numFmtId="0" fontId="6" fillId="0" borderId="5" xfId="0" applyFont="1" applyBorder="1"/>
    <xf numFmtId="0" fontId="4" fillId="0" borderId="7" xfId="0" applyFont="1" applyBorder="1"/>
    <xf numFmtId="0" fontId="6" fillId="0" borderId="6" xfId="0" applyFont="1" applyBorder="1"/>
    <xf numFmtId="0" fontId="6" fillId="0" borderId="0" xfId="0" applyFont="1" applyBorder="1"/>
    <xf numFmtId="0" fontId="4" fillId="0" borderId="9" xfId="0" applyFont="1" applyBorder="1"/>
    <xf numFmtId="0" fontId="4" fillId="0" borderId="8" xfId="0" applyFont="1" applyBorder="1"/>
    <xf numFmtId="0" fontId="4" fillId="0" borderId="0" xfId="0" applyFont="1" applyBorder="1"/>
    <xf numFmtId="0" fontId="4" fillId="0" borderId="0" xfId="0" applyFont="1" applyFill="1" applyBorder="1"/>
    <xf numFmtId="0" fontId="0" fillId="0" borderId="6" xfId="0" applyFont="1" applyBorder="1"/>
    <xf numFmtId="0" fontId="0" fillId="0" borderId="9" xfId="0" applyFont="1" applyBorder="1"/>
    <xf numFmtId="0" fontId="0" fillId="0" borderId="0" xfId="0" applyFont="1" applyFill="1" applyBorder="1"/>
    <xf numFmtId="0" fontId="6" fillId="0" borderId="8" xfId="0" applyFont="1" applyBorder="1"/>
    <xf numFmtId="0" fontId="7" fillId="0" borderId="5" xfId="0" applyFont="1" applyBorder="1"/>
    <xf numFmtId="0" fontId="7" fillId="0" borderId="6" xfId="0" applyFont="1" applyBorder="1"/>
    <xf numFmtId="0" fontId="7" fillId="0" borderId="0" xfId="0" applyFont="1" applyBorder="1"/>
    <xf numFmtId="0" fontId="7" fillId="0" borderId="13" xfId="0" applyFont="1" applyBorder="1"/>
    <xf numFmtId="0" fontId="3" fillId="0" borderId="7" xfId="0" applyFont="1" applyBorder="1"/>
    <xf numFmtId="0" fontId="5" fillId="0" borderId="8" xfId="0" applyFont="1" applyBorder="1"/>
    <xf numFmtId="0" fontId="5" fillId="0" borderId="9" xfId="0" applyFont="1" applyBorder="1"/>
    <xf numFmtId="0" fontId="6" fillId="0" borderId="9" xfId="0" applyFont="1" applyBorder="1"/>
    <xf numFmtId="0" fontId="6" fillId="0" borderId="13" xfId="0" applyFont="1" applyBorder="1"/>
    <xf numFmtId="0" fontId="4" fillId="0" borderId="6" xfId="0" applyFont="1" applyBorder="1"/>
    <xf numFmtId="0" fontId="4" fillId="0" borderId="5" xfId="0" applyFont="1" applyBorder="1"/>
    <xf numFmtId="0" fontId="4" fillId="0" borderId="13" xfId="0" applyFont="1" applyBorder="1"/>
    <xf numFmtId="0" fontId="4" fillId="0" borderId="0" xfId="0" applyFont="1"/>
    <xf numFmtId="0" fontId="3" fillId="0" borderId="16" xfId="0" applyFont="1" applyBorder="1"/>
    <xf numFmtId="0" fontId="3" fillId="0" borderId="18" xfId="0" applyFont="1" applyBorder="1"/>
    <xf numFmtId="0" fontId="4" fillId="0" borderId="16" xfId="0" applyFont="1" applyBorder="1"/>
    <xf numFmtId="0" fontId="6" fillId="0" borderId="17" xfId="0" applyFont="1" applyBorder="1"/>
    <xf numFmtId="0" fontId="4" fillId="0" borderId="18" xfId="0" applyFont="1" applyBorder="1"/>
    <xf numFmtId="0" fontId="7" fillId="0" borderId="16" xfId="0" applyFont="1" applyBorder="1"/>
    <xf numFmtId="0" fontId="5" fillId="0" borderId="17" xfId="0" applyFont="1" applyBorder="1"/>
    <xf numFmtId="0" fontId="6" fillId="0" borderId="18" xfId="0" applyFont="1" applyBorder="1"/>
    <xf numFmtId="0" fontId="7" fillId="0" borderId="17" xfId="0" applyFont="1" applyBorder="1"/>
    <xf numFmtId="0" fontId="7" fillId="0" borderId="19" xfId="0" applyFont="1" applyBorder="1"/>
    <xf numFmtId="0" fontId="7" fillId="0" borderId="20" xfId="0" applyFont="1" applyBorder="1"/>
    <xf numFmtId="0" fontId="5" fillId="0" borderId="19" xfId="0" applyFont="1" applyBorder="1"/>
    <xf numFmtId="0" fontId="7" fillId="0" borderId="8" xfId="0" applyFont="1" applyBorder="1"/>
    <xf numFmtId="2" fontId="0" fillId="0" borderId="0" xfId="0" applyNumberFormat="1" applyBorder="1"/>
    <xf numFmtId="0" fontId="0" fillId="8" borderId="0" xfId="0" applyFill="1" applyBorder="1"/>
    <xf numFmtId="0" fontId="0" fillId="0" borderId="0" xfId="0" applyBorder="1" applyAlignment="1">
      <alignment horizontal="right"/>
    </xf>
    <xf numFmtId="0" fontId="0" fillId="0" borderId="3" xfId="0" applyBorder="1" applyAlignment="1"/>
    <xf numFmtId="0" fontId="0" fillId="0" borderId="4" xfId="0" applyBorder="1" applyAlignment="1"/>
    <xf numFmtId="0" fontId="0" fillId="0" borderId="10" xfId="0" applyBorder="1" applyAlignment="1"/>
    <xf numFmtId="0" fontId="0" fillId="0" borderId="11" xfId="0" applyBorder="1" applyAlignment="1"/>
    <xf numFmtId="0" fontId="0" fillId="0" borderId="12" xfId="0" applyBorder="1" applyAlignment="1"/>
    <xf numFmtId="0" fontId="0" fillId="0" borderId="0" xfId="0" applyBorder="1" applyAlignment="1"/>
    <xf numFmtId="0" fontId="3" fillId="0" borderId="2" xfId="0" applyFont="1" applyBorder="1"/>
    <xf numFmtId="0" fontId="0" fillId="0" borderId="12" xfId="0" applyFill="1" applyBorder="1"/>
    <xf numFmtId="0" fontId="0" fillId="0" borderId="11" xfId="0" applyFill="1" applyBorder="1"/>
    <xf numFmtId="0" fontId="0" fillId="0" borderId="2" xfId="0" applyFont="1" applyBorder="1"/>
    <xf numFmtId="0" fontId="0" fillId="0" borderId="3" xfId="0" applyFont="1" applyBorder="1"/>
    <xf numFmtId="0" fontId="0" fillId="0" borderId="3" xfId="0" applyFont="1" applyFill="1" applyBorder="1"/>
    <xf numFmtId="0" fontId="0" fillId="0" borderId="2" xfId="0" applyBorder="1" applyAlignment="1"/>
    <xf numFmtId="0" fontId="0" fillId="0" borderId="1" xfId="0" applyBorder="1" applyAlignment="1"/>
    <xf numFmtId="0" fontId="7" fillId="0" borderId="14" xfId="0" applyFont="1" applyBorder="1"/>
    <xf numFmtId="0" fontId="5" fillId="0" borderId="2" xfId="0" applyFont="1" applyBorder="1"/>
    <xf numFmtId="0" fontId="3" fillId="0" borderId="4" xfId="0" applyFont="1" applyBorder="1"/>
    <xf numFmtId="0" fontId="3" fillId="0" borderId="15" xfId="0" applyFont="1" applyBorder="1"/>
    <xf numFmtId="0" fontId="0" fillId="0" borderId="13" xfId="0" applyFont="1" applyBorder="1"/>
    <xf numFmtId="0" fontId="0" fillId="0" borderId="10" xfId="0" applyBorder="1" applyAlignment="1">
      <alignment horizontal="right"/>
    </xf>
    <xf numFmtId="0" fontId="0" fillId="0" borderId="12" xfId="0" applyBorder="1" applyAlignment="1">
      <alignment horizontal="right"/>
    </xf>
    <xf numFmtId="0" fontId="0" fillId="8" borderId="1" xfId="0" applyFill="1" applyBorder="1"/>
    <xf numFmtId="0" fontId="7" fillId="0" borderId="15" xfId="0" applyFont="1" applyBorder="1"/>
    <xf numFmtId="0" fontId="7" fillId="0" borderId="3" xfId="0" applyFont="1" applyBorder="1"/>
    <xf numFmtId="0" fontId="7" fillId="0" borderId="4" xfId="0" applyFont="1" applyBorder="1"/>
    <xf numFmtId="0" fontId="7" fillId="0" borderId="7" xfId="0" applyFont="1" applyBorder="1"/>
    <xf numFmtId="0" fontId="7" fillId="0" borderId="2" xfId="0" applyFont="1" applyBorder="1"/>
    <xf numFmtId="0" fontId="0" fillId="8" borderId="15" xfId="0" applyFill="1" applyBorder="1"/>
    <xf numFmtId="0" fontId="0" fillId="8" borderId="14" xfId="0" applyFill="1" applyBorder="1"/>
    <xf numFmtId="0" fontId="8" fillId="10" borderId="5" xfId="0" applyFont="1" applyFill="1" applyBorder="1" applyAlignment="1">
      <alignment horizontal="center"/>
    </xf>
    <xf numFmtId="0" fontId="8" fillId="10" borderId="0" xfId="0" applyFont="1" applyFill="1" applyBorder="1" applyAlignment="1">
      <alignment horizontal="center"/>
    </xf>
    <xf numFmtId="0" fontId="8" fillId="10" borderId="6" xfId="0" applyFont="1" applyFill="1" applyBorder="1" applyAlignment="1">
      <alignment horizontal="center"/>
    </xf>
    <xf numFmtId="0" fontId="8" fillId="10" borderId="2" xfId="0" applyFont="1" applyFill="1" applyBorder="1" applyAlignment="1">
      <alignment horizontal="center"/>
    </xf>
    <xf numFmtId="0" fontId="8" fillId="10" borderId="4" xfId="0" applyFont="1" applyFill="1" applyBorder="1" applyAlignment="1">
      <alignment horizontal="center"/>
    </xf>
    <xf numFmtId="0" fontId="0" fillId="9" borderId="10" xfId="0" applyFont="1" applyFill="1" applyBorder="1" applyAlignment="1">
      <alignment horizontal="center"/>
    </xf>
    <xf numFmtId="0" fontId="0" fillId="9" borderId="11" xfId="0" applyFont="1" applyFill="1" applyBorder="1" applyAlignment="1">
      <alignment horizontal="center"/>
    </xf>
    <xf numFmtId="0" fontId="0" fillId="9" borderId="12" xfId="0" applyFont="1" applyFill="1" applyBorder="1" applyAlignment="1">
      <alignment horizontal="center"/>
    </xf>
    <xf numFmtId="0" fontId="0" fillId="2" borderId="10" xfId="0" applyFont="1" applyFill="1" applyBorder="1" applyAlignment="1">
      <alignment horizontal="center"/>
    </xf>
    <xf numFmtId="0" fontId="0" fillId="2" borderId="11" xfId="0" applyFont="1" applyFill="1" applyBorder="1" applyAlignment="1">
      <alignment horizontal="center"/>
    </xf>
    <xf numFmtId="0" fontId="0" fillId="2" borderId="12" xfId="0" applyFont="1" applyFill="1" applyBorder="1" applyAlignment="1">
      <alignment horizontal="center"/>
    </xf>
    <xf numFmtId="0" fontId="8" fillId="10" borderId="10" xfId="0" applyFont="1" applyFill="1" applyBorder="1" applyAlignment="1">
      <alignment horizontal="center"/>
    </xf>
    <xf numFmtId="0" fontId="8" fillId="10" borderId="12" xfId="0" applyFont="1" applyFill="1" applyBorder="1" applyAlignment="1">
      <alignment horizontal="center"/>
    </xf>
    <xf numFmtId="0" fontId="0" fillId="0" borderId="14" xfId="0" applyFont="1" applyBorder="1"/>
    <xf numFmtId="0" fontId="0" fillId="18" borderId="15" xfId="0" applyFill="1" applyBorder="1"/>
    <xf numFmtId="0" fontId="0" fillId="11" borderId="14" xfId="0" applyFill="1" applyBorder="1"/>
    <xf numFmtId="0" fontId="0" fillId="13" borderId="0" xfId="0" applyFont="1" applyFill="1"/>
    <xf numFmtId="0" fontId="0" fillId="0" borderId="0" xfId="0" applyFont="1"/>
    <xf numFmtId="0" fontId="0" fillId="12" borderId="0" xfId="0" applyFont="1" applyFill="1"/>
    <xf numFmtId="0" fontId="0" fillId="14" borderId="0" xfId="0" applyFont="1" applyFill="1"/>
    <xf numFmtId="0" fontId="0" fillId="15" borderId="0" xfId="0" applyFont="1" applyFill="1"/>
    <xf numFmtId="0" fontId="0" fillId="16" borderId="0" xfId="0" applyFont="1" applyFill="1"/>
    <xf numFmtId="0" fontId="0" fillId="17" borderId="0" xfId="0" applyFont="1" applyFill="1"/>
    <xf numFmtId="1" fontId="7" fillId="0" borderId="15" xfId="0" applyNumberFormat="1" applyFont="1" applyBorder="1"/>
    <xf numFmtId="1" fontId="7" fillId="0" borderId="13" xfId="0" applyNumberFormat="1" applyFont="1" applyBorder="1"/>
    <xf numFmtId="1" fontId="7" fillId="0" borderId="14" xfId="0" applyNumberFormat="1" applyFont="1" applyBorder="1"/>
    <xf numFmtId="1" fontId="0" fillId="0" borderId="5" xfId="0" applyNumberFormat="1" applyBorder="1"/>
    <xf numFmtId="1" fontId="0" fillId="0" borderId="2" xfId="0" applyNumberFormat="1" applyBorder="1"/>
    <xf numFmtId="1" fontId="0" fillId="0" borderId="7" xfId="0" applyNumberFormat="1" applyBorder="1"/>
    <xf numFmtId="0" fontId="0" fillId="0" borderId="1" xfId="0" applyBorder="1" applyAlignment="1">
      <alignment horizontal="right"/>
    </xf>
    <xf numFmtId="0" fontId="7" fillId="0" borderId="21" xfId="0" applyFont="1" applyBorder="1"/>
    <xf numFmtId="0" fontId="7" fillId="13" borderId="21" xfId="0" applyFont="1" applyFill="1" applyBorder="1"/>
    <xf numFmtId="0" fontId="7" fillId="12" borderId="21" xfId="0" applyFont="1" applyFill="1" applyBorder="1"/>
    <xf numFmtId="0" fontId="7" fillId="19" borderId="21" xfId="0" applyFont="1" applyFill="1" applyBorder="1"/>
    <xf numFmtId="0" fontId="7" fillId="14" borderId="21" xfId="0" applyFont="1" applyFill="1" applyBorder="1"/>
    <xf numFmtId="0" fontId="7" fillId="16" borderId="21" xfId="0" applyFont="1" applyFill="1" applyBorder="1"/>
    <xf numFmtId="0" fontId="7" fillId="15" borderId="21" xfId="0" applyFont="1" applyFill="1" applyBorder="1"/>
    <xf numFmtId="0" fontId="7" fillId="17" borderId="21" xfId="0" applyFont="1" applyFill="1" applyBorder="1"/>
    <xf numFmtId="1" fontId="0" fillId="0" borderId="6" xfId="0" applyNumberFormat="1" applyBorder="1"/>
    <xf numFmtId="1" fontId="0" fillId="0" borderId="9" xfId="0" applyNumberFormat="1" applyBorder="1"/>
    <xf numFmtId="1" fontId="0" fillId="0" borderId="4" xfId="0" applyNumberFormat="1" applyBorder="1"/>
    <xf numFmtId="165" fontId="0" fillId="0" borderId="0" xfId="0" applyNumberFormat="1"/>
    <xf numFmtId="165" fontId="0" fillId="0" borderId="13" xfId="0" applyNumberFormat="1" applyBorder="1"/>
    <xf numFmtId="0" fontId="0" fillId="0" borderId="1" xfId="0" applyFill="1" applyBorder="1" applyAlignment="1">
      <alignment horizontal="center" vertical="center"/>
    </xf>
    <xf numFmtId="165" fontId="0" fillId="13" borderId="13" xfId="0" applyNumberFormat="1" applyFill="1" applyBorder="1"/>
    <xf numFmtId="165" fontId="0" fillId="11" borderId="14" xfId="0" applyNumberFormat="1" applyFill="1" applyBorder="1"/>
    <xf numFmtId="165" fontId="0" fillId="16" borderId="13" xfId="0" applyNumberFormat="1" applyFill="1" applyBorder="1"/>
    <xf numFmtId="165" fontId="0" fillId="14" borderId="13" xfId="0" applyNumberFormat="1" applyFill="1" applyBorder="1"/>
    <xf numFmtId="165" fontId="0" fillId="17" borderId="13" xfId="0" applyNumberFormat="1" applyFill="1" applyBorder="1"/>
    <xf numFmtId="0" fontId="0" fillId="0" borderId="0" xfId="0" applyFill="1" applyBorder="1" applyAlignment="1">
      <alignment horizontal="center"/>
    </xf>
    <xf numFmtId="165" fontId="0" fillId="13" borderId="0" xfId="0" applyNumberFormat="1" applyFill="1"/>
    <xf numFmtId="165" fontId="0" fillId="11" borderId="0" xfId="0" applyNumberFormat="1" applyFill="1"/>
    <xf numFmtId="165" fontId="0" fillId="14" borderId="0" xfId="0" applyNumberFormat="1" applyFill="1"/>
    <xf numFmtId="165" fontId="0" fillId="15" borderId="0" xfId="0" applyNumberFormat="1" applyFill="1"/>
    <xf numFmtId="165" fontId="0" fillId="16" borderId="0" xfId="0" applyNumberFormat="1" applyFill="1"/>
    <xf numFmtId="165" fontId="0" fillId="17" borderId="0" xfId="0" applyNumberFormat="1" applyFill="1"/>
    <xf numFmtId="1" fontId="0" fillId="0" borderId="14" xfId="0" applyNumberFormat="1" applyBorder="1"/>
    <xf numFmtId="0" fontId="0" fillId="0" borderId="1" xfId="0" applyBorder="1" applyAlignment="1">
      <alignment horizontal="center"/>
    </xf>
    <xf numFmtId="1" fontId="0" fillId="13" borderId="13" xfId="0" applyNumberFormat="1" applyFill="1" applyBorder="1"/>
    <xf numFmtId="1" fontId="0" fillId="11" borderId="13" xfId="0" applyNumberFormat="1" applyFill="1" applyBorder="1"/>
    <xf numFmtId="1" fontId="0" fillId="14" borderId="13" xfId="0" applyNumberFormat="1" applyFill="1" applyBorder="1"/>
    <xf numFmtId="1" fontId="0" fillId="15" borderId="13" xfId="0" applyNumberFormat="1" applyFill="1" applyBorder="1"/>
    <xf numFmtId="1" fontId="0" fillId="16" borderId="13" xfId="0" applyNumberFormat="1" applyFill="1" applyBorder="1"/>
    <xf numFmtId="1" fontId="0" fillId="17" borderId="13" xfId="0" applyNumberFormat="1" applyFill="1" applyBorder="1"/>
    <xf numFmtId="166" fontId="0" fillId="0" borderId="0" xfId="0" applyNumberFormat="1"/>
    <xf numFmtId="164" fontId="7" fillId="0" borderId="13" xfId="0" applyNumberFormat="1" applyFont="1" applyBorder="1"/>
    <xf numFmtId="0" fontId="7" fillId="13" borderId="9" xfId="0" applyFont="1" applyFill="1" applyBorder="1"/>
    <xf numFmtId="0" fontId="7" fillId="11" borderId="6" xfId="0" applyFont="1" applyFill="1" applyBorder="1"/>
    <xf numFmtId="0" fontId="7" fillId="14" borderId="6" xfId="0" applyFont="1" applyFill="1" applyBorder="1"/>
    <xf numFmtId="0" fontId="7" fillId="15" borderId="6" xfId="0" applyFont="1" applyFill="1" applyBorder="1"/>
    <xf numFmtId="0" fontId="7" fillId="16" borderId="6" xfId="0" applyFont="1" applyFill="1" applyBorder="1"/>
    <xf numFmtId="0" fontId="7" fillId="17" borderId="6" xfId="0" applyFont="1" applyFill="1" applyBorder="1"/>
    <xf numFmtId="164" fontId="7" fillId="13" borderId="13" xfId="0" applyNumberFormat="1" applyFont="1" applyFill="1" applyBorder="1"/>
    <xf numFmtId="164" fontId="7" fillId="11" borderId="13" xfId="0" applyNumberFormat="1" applyFont="1" applyFill="1" applyBorder="1"/>
    <xf numFmtId="164" fontId="7" fillId="14" borderId="13" xfId="0" applyNumberFormat="1" applyFont="1" applyFill="1" applyBorder="1"/>
    <xf numFmtId="164" fontId="7" fillId="15" borderId="13" xfId="0" applyNumberFormat="1" applyFont="1" applyFill="1" applyBorder="1"/>
    <xf numFmtId="164" fontId="7" fillId="16" borderId="14" xfId="0" applyNumberFormat="1" applyFont="1" applyFill="1" applyBorder="1"/>
    <xf numFmtId="164" fontId="7" fillId="17" borderId="13" xfId="0" applyNumberFormat="1" applyFont="1" applyFill="1" applyBorder="1"/>
    <xf numFmtId="164" fontId="0" fillId="13" borderId="13" xfId="0" applyNumberFormat="1" applyFill="1" applyBorder="1"/>
    <xf numFmtId="164" fontId="0" fillId="11" borderId="13" xfId="0" applyNumberFormat="1" applyFill="1" applyBorder="1"/>
    <xf numFmtId="164" fontId="0" fillId="14" borderId="13" xfId="0" applyNumberFormat="1" applyFill="1" applyBorder="1"/>
    <xf numFmtId="164" fontId="0" fillId="15" borderId="13" xfId="0" applyNumberFormat="1" applyFill="1" applyBorder="1"/>
    <xf numFmtId="164" fontId="0" fillId="16" borderId="15" xfId="0" applyNumberFormat="1" applyFill="1" applyBorder="1"/>
    <xf numFmtId="164" fontId="0" fillId="17" borderId="13" xfId="0" applyNumberFormat="1" applyFill="1" applyBorder="1"/>
    <xf numFmtId="0" fontId="7" fillId="13" borderId="13" xfId="0" applyFont="1" applyFill="1" applyBorder="1"/>
    <xf numFmtId="0" fontId="7" fillId="14" borderId="13" xfId="0" applyFont="1" applyFill="1" applyBorder="1"/>
    <xf numFmtId="0" fontId="7" fillId="16" borderId="13" xfId="0" applyFont="1" applyFill="1" applyBorder="1"/>
    <xf numFmtId="0" fontId="7" fillId="15" borderId="13" xfId="0" applyFont="1" applyFill="1" applyBorder="1"/>
    <xf numFmtId="0" fontId="7" fillId="17" borderId="13" xfId="0" applyFont="1" applyFill="1" applyBorder="1"/>
    <xf numFmtId="0" fontId="0" fillId="13" borderId="13" xfId="0" applyFill="1" applyBorder="1"/>
    <xf numFmtId="0" fontId="0" fillId="11" borderId="13" xfId="0" applyFill="1" applyBorder="1"/>
    <xf numFmtId="0" fontId="0" fillId="15" borderId="13" xfId="0" applyFill="1" applyBorder="1"/>
    <xf numFmtId="0" fontId="0" fillId="16" borderId="13" xfId="0" applyFill="1" applyBorder="1"/>
    <xf numFmtId="0" fontId="0" fillId="13" borderId="6" xfId="0" applyFill="1" applyBorder="1"/>
    <xf numFmtId="0" fontId="0" fillId="11" borderId="6" xfId="0" applyFill="1" applyBorder="1"/>
    <xf numFmtId="0" fontId="0" fillId="14" borderId="6" xfId="0" applyFill="1" applyBorder="1"/>
    <xf numFmtId="0" fontId="0" fillId="15" borderId="6" xfId="0" applyFill="1" applyBorder="1"/>
    <xf numFmtId="0" fontId="0" fillId="17" borderId="6" xfId="0" applyFill="1" applyBorder="1"/>
    <xf numFmtId="0" fontId="0" fillId="16" borderId="6" xfId="0" applyFill="1" applyBorder="1"/>
    <xf numFmtId="0" fontId="0" fillId="0" borderId="0" xfId="0" applyAlignment="1">
      <alignment horizontal="center"/>
    </xf>
    <xf numFmtId="0" fontId="0" fillId="11" borderId="11" xfId="0" applyFill="1" applyBorder="1" applyAlignment="1">
      <alignment horizontal="center"/>
    </xf>
    <xf numFmtId="0" fontId="0" fillId="11" borderId="1" xfId="0" applyFill="1" applyBorder="1" applyAlignment="1">
      <alignment horizontal="center"/>
    </xf>
    <xf numFmtId="0" fontId="0" fillId="0" borderId="13" xfId="0" applyBorder="1" applyAlignment="1">
      <alignment horizontal="right"/>
    </xf>
    <xf numFmtId="0" fontId="0" fillId="0" borderId="14" xfId="0" applyBorder="1" applyAlignment="1">
      <alignment horizontal="right"/>
    </xf>
    <xf numFmtId="0" fontId="0" fillId="0" borderId="15" xfId="0" applyBorder="1" applyAlignment="1">
      <alignment horizontal="right"/>
    </xf>
    <xf numFmtId="0" fontId="0" fillId="15" borderId="0" xfId="0" applyFill="1"/>
    <xf numFmtId="0" fontId="0" fillId="15" borderId="0" xfId="0" applyFill="1" applyBorder="1" applyAlignment="1">
      <alignment horizontal="right"/>
    </xf>
    <xf numFmtId="0" fontId="11" fillId="0" borderId="7" xfId="0" applyFont="1" applyBorder="1" applyAlignment="1">
      <alignment horizontal="center"/>
    </xf>
    <xf numFmtId="0" fontId="11" fillId="0" borderId="9" xfId="0" applyFont="1" applyBorder="1" applyAlignment="1">
      <alignment horizontal="center"/>
    </xf>
    <xf numFmtId="0" fontId="11" fillId="0" borderId="8" xfId="0" applyFont="1" applyBorder="1" applyAlignment="1">
      <alignment horizontal="center"/>
    </xf>
    <xf numFmtId="11" fontId="0" fillId="0" borderId="8" xfId="0" applyNumberFormat="1" applyBorder="1"/>
    <xf numFmtId="165" fontId="0" fillId="0" borderId="14" xfId="0" applyNumberFormat="1" applyBorder="1"/>
    <xf numFmtId="1" fontId="0" fillId="0" borderId="15" xfId="0" applyNumberFormat="1" applyBorder="1"/>
    <xf numFmtId="1" fontId="0" fillId="0" borderId="13" xfId="0" applyNumberFormat="1" applyBorder="1"/>
    <xf numFmtId="165" fontId="0" fillId="0" borderId="15" xfId="0" applyNumberFormat="1" applyBorder="1"/>
    <xf numFmtId="2" fontId="0" fillId="0" borderId="2" xfId="0" applyNumberFormat="1" applyBorder="1"/>
    <xf numFmtId="2" fontId="0" fillId="0" borderId="4" xfId="0" applyNumberFormat="1" applyBorder="1"/>
    <xf numFmtId="2" fontId="0" fillId="0" borderId="3" xfId="0" applyNumberFormat="1" applyBorder="1"/>
    <xf numFmtId="2" fontId="0" fillId="0" borderId="5" xfId="0" applyNumberFormat="1" applyBorder="1"/>
    <xf numFmtId="2" fontId="0" fillId="0" borderId="6" xfId="0" applyNumberFormat="1" applyBorder="1"/>
    <xf numFmtId="2" fontId="0" fillId="0" borderId="7" xfId="0" applyNumberFormat="1" applyBorder="1"/>
    <xf numFmtId="2" fontId="0" fillId="0" borderId="9" xfId="0" applyNumberFormat="1" applyBorder="1"/>
    <xf numFmtId="2" fontId="0" fillId="0" borderId="8" xfId="0" applyNumberFormat="1" applyBorder="1"/>
    <xf numFmtId="1" fontId="0" fillId="0" borderId="3" xfId="0" applyNumberFormat="1" applyBorder="1"/>
    <xf numFmtId="1" fontId="0" fillId="0" borderId="0" xfId="0" applyNumberFormat="1" applyBorder="1"/>
    <xf numFmtId="1" fontId="0" fillId="0" borderId="8" xfId="0" applyNumberFormat="1" applyBorder="1"/>
    <xf numFmtId="2" fontId="0" fillId="0" borderId="0" xfId="0" applyNumberFormat="1"/>
    <xf numFmtId="0" fontId="0" fillId="0" borderId="0" xfId="0" applyFill="1" applyBorder="1" applyAlignment="1">
      <alignment horizontal="right"/>
    </xf>
    <xf numFmtId="1" fontId="0" fillId="0" borderId="0" xfId="0" applyNumberFormat="1"/>
    <xf numFmtId="0" fontId="7" fillId="0" borderId="10" xfId="0" applyFont="1" applyFill="1" applyBorder="1"/>
    <xf numFmtId="1" fontId="0" fillId="0" borderId="1" xfId="0" applyNumberFormat="1" applyBorder="1"/>
    <xf numFmtId="1" fontId="0" fillId="0" borderId="12" xfId="0" applyNumberFormat="1" applyBorder="1"/>
    <xf numFmtId="0" fontId="0" fillId="0" borderId="1" xfId="0" applyFill="1" applyBorder="1"/>
    <xf numFmtId="1" fontId="0" fillId="0" borderId="10" xfId="0" applyNumberFormat="1" applyBorder="1"/>
    <xf numFmtId="1" fontId="0" fillId="7" borderId="12" xfId="0" applyNumberFormat="1" applyFill="1" applyBorder="1" applyAlignment="1">
      <alignment horizontal="right"/>
    </xf>
    <xf numFmtId="165" fontId="0" fillId="0" borderId="11" xfId="0" applyNumberFormat="1" applyBorder="1" applyAlignment="1"/>
    <xf numFmtId="165" fontId="0" fillId="0" borderId="1" xfId="0" applyNumberFormat="1" applyBorder="1"/>
    <xf numFmtId="165" fontId="0" fillId="0" borderId="12" xfId="0" applyNumberFormat="1" applyBorder="1"/>
    <xf numFmtId="165" fontId="0" fillId="7" borderId="12" xfId="0" applyNumberFormat="1" applyFill="1" applyBorder="1" applyAlignment="1">
      <alignment horizontal="right"/>
    </xf>
    <xf numFmtId="0" fontId="0" fillId="0" borderId="1" xfId="0" applyBorder="1" applyAlignment="1">
      <alignment horizontal="left"/>
    </xf>
    <xf numFmtId="1" fontId="0" fillId="0" borderId="11" xfId="0" applyNumberFormat="1" applyBorder="1" applyAlignment="1">
      <alignment horizontal="right"/>
    </xf>
    <xf numFmtId="1" fontId="0" fillId="0" borderId="10" xfId="0" applyNumberFormat="1" applyBorder="1" applyAlignment="1">
      <alignment horizontal="right"/>
    </xf>
    <xf numFmtId="1" fontId="0" fillId="0" borderId="12" xfId="0" applyNumberFormat="1" applyBorder="1" applyAlignment="1">
      <alignment horizontal="right"/>
    </xf>
    <xf numFmtId="2" fontId="0" fillId="0" borderId="11" xfId="0" applyNumberFormat="1" applyBorder="1"/>
    <xf numFmtId="2" fontId="0" fillId="0" borderId="12" xfId="0" applyNumberFormat="1" applyBorder="1"/>
    <xf numFmtId="1" fontId="0" fillId="0" borderId="11" xfId="0" applyNumberFormat="1" applyBorder="1"/>
    <xf numFmtId="2" fontId="0" fillId="0" borderId="10" xfId="0" applyNumberFormat="1" applyBorder="1"/>
    <xf numFmtId="0" fontId="8" fillId="0" borderId="8" xfId="0" applyFont="1" applyBorder="1" applyAlignment="1"/>
    <xf numFmtId="0" fontId="0" fillId="0" borderId="21" xfId="0" applyBorder="1"/>
    <xf numFmtId="1" fontId="0" fillId="0" borderId="21" xfId="0" applyNumberFormat="1" applyBorder="1"/>
    <xf numFmtId="2" fontId="0" fillId="0" borderId="21" xfId="0" applyNumberFormat="1" applyBorder="1"/>
    <xf numFmtId="165" fontId="0" fillId="0" borderId="21" xfId="0" applyNumberFormat="1" applyBorder="1"/>
    <xf numFmtId="165" fontId="0" fillId="0" borderId="21" xfId="0" applyNumberFormat="1" applyBorder="1" applyAlignment="1"/>
    <xf numFmtId="165" fontId="0" fillId="6" borderId="10" xfId="0" applyNumberFormat="1" applyFill="1" applyBorder="1"/>
    <xf numFmtId="165" fontId="0" fillId="6" borderId="12" xfId="0" applyNumberFormat="1" applyFill="1" applyBorder="1"/>
    <xf numFmtId="1" fontId="0" fillId="6" borderId="12" xfId="0" applyNumberFormat="1" applyFill="1" applyBorder="1"/>
    <xf numFmtId="2" fontId="0" fillId="6" borderId="10" xfId="0" applyNumberFormat="1" applyFill="1" applyBorder="1" applyAlignment="1">
      <alignment horizontal="right"/>
    </xf>
    <xf numFmtId="165" fontId="0" fillId="6" borderId="12" xfId="0" applyNumberFormat="1" applyFill="1" applyBorder="1" applyAlignment="1">
      <alignment horizontal="right"/>
    </xf>
    <xf numFmtId="0" fontId="0" fillId="6" borderId="11" xfId="0" applyFill="1" applyBorder="1"/>
    <xf numFmtId="1" fontId="0" fillId="6" borderId="1" xfId="0" applyNumberFormat="1" applyFill="1" applyBorder="1"/>
    <xf numFmtId="0" fontId="0" fillId="0" borderId="22" xfId="0" applyBorder="1"/>
    <xf numFmtId="0" fontId="0" fillId="0" borderId="23" xfId="0" applyBorder="1"/>
    <xf numFmtId="165" fontId="0" fillId="6" borderId="11" xfId="0" applyNumberFormat="1" applyFill="1" applyBorder="1"/>
    <xf numFmtId="1" fontId="0" fillId="6" borderId="11" xfId="0" applyNumberFormat="1" applyFill="1" applyBorder="1"/>
    <xf numFmtId="1" fontId="0" fillId="0" borderId="21" xfId="0" applyNumberFormat="1" applyBorder="1" applyAlignment="1">
      <alignment horizontal="right"/>
    </xf>
    <xf numFmtId="0" fontId="3" fillId="0" borderId="1" xfId="0" applyFont="1" applyBorder="1" applyAlignment="1"/>
    <xf numFmtId="0" fontId="0" fillId="7" borderId="11" xfId="0" applyFont="1" applyFill="1" applyBorder="1" applyAlignment="1">
      <alignment horizontal="right"/>
    </xf>
    <xf numFmtId="0" fontId="0" fillId="7" borderId="1" xfId="0" applyFill="1" applyBorder="1" applyAlignment="1">
      <alignment horizontal="right"/>
    </xf>
    <xf numFmtId="0" fontId="0" fillId="7" borderId="12" xfId="0" applyFill="1" applyBorder="1" applyAlignment="1">
      <alignment horizontal="right"/>
    </xf>
    <xf numFmtId="0" fontId="0" fillId="0" borderId="0" xfId="0" applyAlignment="1">
      <alignment horizontal="right"/>
    </xf>
    <xf numFmtId="0" fontId="0" fillId="7" borderId="11" xfId="0" applyFill="1" applyBorder="1" applyAlignment="1">
      <alignment horizontal="right"/>
    </xf>
    <xf numFmtId="0" fontId="0" fillId="20" borderId="1" xfId="0" applyFill="1" applyBorder="1"/>
    <xf numFmtId="0" fontId="3" fillId="20" borderId="13" xfId="0" applyFont="1" applyFill="1" applyBorder="1"/>
    <xf numFmtId="0" fontId="3" fillId="20" borderId="11" xfId="0" applyFont="1" applyFill="1" applyBorder="1"/>
    <xf numFmtId="0" fontId="3" fillId="20" borderId="15" xfId="0" applyFont="1" applyFill="1" applyBorder="1"/>
    <xf numFmtId="0" fontId="0" fillId="20" borderId="4" xfId="0" applyFill="1" applyBorder="1"/>
    <xf numFmtId="0" fontId="7" fillId="0" borderId="1" xfId="0" applyFont="1" applyFill="1" applyBorder="1"/>
    <xf numFmtId="0" fontId="0" fillId="14" borderId="13" xfId="0" applyFill="1" applyBorder="1"/>
    <xf numFmtId="0" fontId="0" fillId="0" borderId="21" xfId="0" applyFont="1" applyBorder="1"/>
    <xf numFmtId="0" fontId="0" fillId="0" borderId="21" xfId="0" applyFont="1" applyFill="1" applyBorder="1"/>
    <xf numFmtId="0" fontId="7" fillId="11" borderId="13" xfId="0" applyFont="1" applyFill="1" applyBorder="1"/>
    <xf numFmtId="0" fontId="0" fillId="11" borderId="24" xfId="0" applyFill="1" applyBorder="1"/>
    <xf numFmtId="0" fontId="0" fillId="11" borderId="11" xfId="0" applyFill="1" applyBorder="1"/>
    <xf numFmtId="0" fontId="0" fillId="11" borderId="12" xfId="0" applyFill="1" applyBorder="1"/>
    <xf numFmtId="11" fontId="0" fillId="0" borderId="0" xfId="0" applyNumberFormat="1"/>
    <xf numFmtId="3" fontId="0" fillId="0" borderId="7" xfId="0" applyNumberFormat="1" applyBorder="1"/>
    <xf numFmtId="167" fontId="0" fillId="0" borderId="8" xfId="0" applyNumberFormat="1" applyBorder="1"/>
    <xf numFmtId="0" fontId="0" fillId="0" borderId="28" xfId="0" applyBorder="1"/>
    <xf numFmtId="0" fontId="0" fillId="0" borderId="29" xfId="0" applyBorder="1"/>
    <xf numFmtId="168" fontId="0" fillId="0" borderId="29" xfId="0" applyNumberFormat="1" applyBorder="1"/>
    <xf numFmtId="0" fontId="0" fillId="0" borderId="30" xfId="0" applyBorder="1"/>
    <xf numFmtId="0" fontId="0" fillId="0" borderId="24" xfId="0" applyBorder="1"/>
    <xf numFmtId="0" fontId="0" fillId="0" borderId="26" xfId="0" applyBorder="1"/>
    <xf numFmtId="0" fontId="0" fillId="0" borderId="26" xfId="0" applyFill="1" applyBorder="1"/>
    <xf numFmtId="0" fontId="0" fillId="0" borderId="27" xfId="0" applyFill="1" applyBorder="1"/>
    <xf numFmtId="0" fontId="7" fillId="0" borderId="15" xfId="0" applyFont="1" applyFill="1" applyBorder="1"/>
    <xf numFmtId="0" fontId="7" fillId="0" borderId="14" xfId="0" applyFont="1" applyFill="1" applyBorder="1"/>
    <xf numFmtId="0" fontId="0" fillId="0" borderId="31" xfId="0" applyBorder="1"/>
    <xf numFmtId="0" fontId="0" fillId="21" borderId="22" xfId="0" applyFill="1" applyBorder="1"/>
    <xf numFmtId="0" fontId="0" fillId="22" borderId="22" xfId="0" applyFill="1" applyBorder="1"/>
    <xf numFmtId="0" fontId="0" fillId="0" borderId="21" xfId="0" applyBorder="1" applyAlignment="1">
      <alignment horizontal="right"/>
    </xf>
    <xf numFmtId="0" fontId="0" fillId="0" borderId="32" xfId="0" applyBorder="1" applyAlignment="1">
      <alignment horizontal="right"/>
    </xf>
    <xf numFmtId="0" fontId="0" fillId="0" borderId="23" xfId="0" applyBorder="1" applyAlignment="1">
      <alignment horizontal="right"/>
    </xf>
    <xf numFmtId="164" fontId="0" fillId="0" borderId="21" xfId="0" applyNumberFormat="1" applyBorder="1"/>
    <xf numFmtId="169" fontId="0" fillId="0" borderId="21" xfId="0" applyNumberFormat="1" applyBorder="1"/>
    <xf numFmtId="164" fontId="0" fillId="0" borderId="0" xfId="0" applyNumberFormat="1"/>
    <xf numFmtId="169" fontId="0" fillId="0" borderId="0" xfId="0" applyNumberFormat="1"/>
    <xf numFmtId="0" fontId="8" fillId="0" borderId="0" xfId="0" applyFont="1" applyBorder="1" applyAlignment="1">
      <alignment horizontal="center"/>
    </xf>
    <xf numFmtId="170" fontId="0" fillId="0" borderId="21" xfId="0" applyNumberFormat="1" applyBorder="1"/>
    <xf numFmtId="0" fontId="0" fillId="0" borderId="33" xfId="0" applyBorder="1" applyAlignment="1">
      <alignment horizontal="right"/>
    </xf>
    <xf numFmtId="0" fontId="0" fillId="0" borderId="34" xfId="0" applyBorder="1" applyAlignment="1">
      <alignment horizontal="right"/>
    </xf>
    <xf numFmtId="164" fontId="0" fillId="0" borderId="3" xfId="0" applyNumberFormat="1" applyBorder="1"/>
    <xf numFmtId="164" fontId="0" fillId="0" borderId="8" xfId="0" applyNumberFormat="1" applyBorder="1"/>
    <xf numFmtId="0" fontId="0" fillId="0" borderId="35" xfId="0" applyBorder="1" applyAlignment="1">
      <alignment horizontal="right"/>
    </xf>
    <xf numFmtId="164" fontId="0" fillId="0" borderId="2" xfId="0" applyNumberFormat="1" applyBorder="1"/>
    <xf numFmtId="164" fontId="0" fillId="0" borderId="4" xfId="0" applyNumberFormat="1" applyBorder="1"/>
    <xf numFmtId="164" fontId="0" fillId="0" borderId="7" xfId="0" applyNumberFormat="1" applyBorder="1"/>
    <xf numFmtId="164" fontId="0" fillId="0" borderId="9" xfId="0" applyNumberFormat="1" applyBorder="1"/>
    <xf numFmtId="2" fontId="0" fillId="0" borderId="1" xfId="0" applyNumberFormat="1" applyBorder="1"/>
    <xf numFmtId="170" fontId="0" fillId="0" borderId="0" xfId="0" applyNumberFormat="1"/>
    <xf numFmtId="169" fontId="0" fillId="0" borderId="0" xfId="0" applyNumberFormat="1" applyBorder="1"/>
    <xf numFmtId="0" fontId="8" fillId="0" borderId="0" xfId="0" applyFont="1" applyBorder="1" applyAlignment="1">
      <alignment horizontal="center"/>
    </xf>
    <xf numFmtId="0" fontId="0" fillId="0" borderId="0" xfId="0" applyAlignment="1">
      <alignment horizontal="center"/>
    </xf>
    <xf numFmtId="0" fontId="7" fillId="0" borderId="13" xfId="0" applyFont="1" applyFill="1" applyBorder="1"/>
    <xf numFmtId="164" fontId="0" fillId="0" borderId="0" xfId="0" applyNumberFormat="1" applyBorder="1"/>
    <xf numFmtId="170" fontId="0" fillId="0" borderId="0" xfId="0" applyNumberFormat="1" applyBorder="1"/>
    <xf numFmtId="0" fontId="0" fillId="21" borderId="3" xfId="0" applyFill="1" applyBorder="1"/>
    <xf numFmtId="0" fontId="0" fillId="21" borderId="0" xfId="0" applyFill="1" applyBorder="1"/>
    <xf numFmtId="0" fontId="0" fillId="21" borderId="8" xfId="0" applyFill="1" applyBorder="1"/>
    <xf numFmtId="0" fontId="0" fillId="23" borderId="4" xfId="0" applyFill="1" applyBorder="1"/>
    <xf numFmtId="0" fontId="0" fillId="23" borderId="6" xfId="0" applyFill="1" applyBorder="1"/>
    <xf numFmtId="0" fontId="0" fillId="24" borderId="3" xfId="0" applyFill="1" applyBorder="1"/>
    <xf numFmtId="0" fontId="0" fillId="24" borderId="0" xfId="0" applyFill="1" applyBorder="1"/>
    <xf numFmtId="0" fontId="0" fillId="24" borderId="8" xfId="0" applyFill="1" applyBorder="1"/>
    <xf numFmtId="0" fontId="0" fillId="25" borderId="3" xfId="0" applyFill="1" applyBorder="1"/>
    <xf numFmtId="0" fontId="0" fillId="25" borderId="0" xfId="0" applyFill="1" applyBorder="1"/>
    <xf numFmtId="0" fontId="0" fillId="25" borderId="8" xfId="0" applyFill="1" applyBorder="1"/>
    <xf numFmtId="0" fontId="0" fillId="26" borderId="3" xfId="0" applyFill="1" applyBorder="1"/>
    <xf numFmtId="0" fontId="0" fillId="26" borderId="0" xfId="0" applyFill="1" applyBorder="1"/>
    <xf numFmtId="0" fontId="0" fillId="26" borderId="8" xfId="0" applyFill="1" applyBorder="1"/>
    <xf numFmtId="0" fontId="0" fillId="18" borderId="3" xfId="0" applyFill="1" applyBorder="1"/>
    <xf numFmtId="0" fontId="0" fillId="18" borderId="0" xfId="0" applyFill="1" applyBorder="1"/>
    <xf numFmtId="0" fontId="0" fillId="18" borderId="8" xfId="0" applyFill="1" applyBorder="1"/>
    <xf numFmtId="0" fontId="0" fillId="23" borderId="2" xfId="0" applyFill="1" applyBorder="1"/>
    <xf numFmtId="0" fontId="0" fillId="23" borderId="5" xfId="0" applyFill="1" applyBorder="1"/>
    <xf numFmtId="0" fontId="0" fillId="23" borderId="0" xfId="0" applyFill="1" applyBorder="1"/>
    <xf numFmtId="0" fontId="0" fillId="23" borderId="7" xfId="0" applyFill="1" applyBorder="1"/>
    <xf numFmtId="0" fontId="0" fillId="23" borderId="8" xfId="0" applyFill="1" applyBorder="1"/>
    <xf numFmtId="0" fontId="0" fillId="27" borderId="3" xfId="0" applyFill="1" applyBorder="1"/>
    <xf numFmtId="0" fontId="0" fillId="27" borderId="0" xfId="0" applyFill="1" applyBorder="1"/>
    <xf numFmtId="0" fontId="0" fillId="27" borderId="8" xfId="0" applyFill="1" applyBorder="1"/>
    <xf numFmtId="0" fontId="0" fillId="28" borderId="3" xfId="0" applyFill="1" applyBorder="1"/>
    <xf numFmtId="0" fontId="0" fillId="28" borderId="0" xfId="0" applyFill="1" applyBorder="1"/>
    <xf numFmtId="0" fontId="0" fillId="28" borderId="8" xfId="0" applyFill="1" applyBorder="1"/>
    <xf numFmtId="0" fontId="0" fillId="28" borderId="6" xfId="0" applyFill="1" applyBorder="1"/>
    <xf numFmtId="0" fontId="0" fillId="27" borderId="2" xfId="0" applyFill="1" applyBorder="1"/>
    <xf numFmtId="0" fontId="0" fillId="27" borderId="9" xfId="0" applyFill="1" applyBorder="1"/>
    <xf numFmtId="0" fontId="0" fillId="29" borderId="3" xfId="0" applyFill="1" applyBorder="1"/>
    <xf numFmtId="0" fontId="0" fillId="29" borderId="0" xfId="0" applyFill="1" applyBorder="1"/>
    <xf numFmtId="0" fontId="0" fillId="29" borderId="8" xfId="0" applyFill="1" applyBorder="1"/>
    <xf numFmtId="0" fontId="0" fillId="25" borderId="5" xfId="0" applyFill="1" applyBorder="1"/>
    <xf numFmtId="0" fontId="0" fillId="21" borderId="5" xfId="0" applyFill="1" applyBorder="1"/>
    <xf numFmtId="0" fontId="0" fillId="26" borderId="7" xfId="0" applyFill="1" applyBorder="1"/>
    <xf numFmtId="0" fontId="0" fillId="11" borderId="0" xfId="0" applyFill="1"/>
    <xf numFmtId="0" fontId="9" fillId="0" borderId="0" xfId="0" applyFont="1"/>
    <xf numFmtId="0" fontId="9" fillId="13" borderId="3" xfId="0" applyFont="1" applyFill="1" applyBorder="1" applyAlignment="1">
      <alignment horizontal="center"/>
    </xf>
    <xf numFmtId="0" fontId="9" fillId="13" borderId="4" xfId="0" applyFont="1" applyFill="1" applyBorder="1" applyAlignment="1">
      <alignment horizontal="center"/>
    </xf>
    <xf numFmtId="0" fontId="9" fillId="14" borderId="3" xfId="0" applyFont="1" applyFill="1" applyBorder="1" applyAlignment="1">
      <alignment horizontal="center"/>
    </xf>
    <xf numFmtId="0" fontId="9" fillId="14" borderId="4" xfId="0" applyFont="1" applyFill="1" applyBorder="1" applyAlignment="1">
      <alignment horizontal="center"/>
    </xf>
    <xf numFmtId="0" fontId="9" fillId="13" borderId="7" xfId="0" applyFont="1" applyFill="1" applyBorder="1" applyAlignment="1">
      <alignment horizontal="center"/>
    </xf>
    <xf numFmtId="0" fontId="9" fillId="13" borderId="8" xfId="0" applyFont="1" applyFill="1" applyBorder="1" applyAlignment="1">
      <alignment horizontal="center"/>
    </xf>
    <xf numFmtId="0" fontId="9" fillId="13" borderId="9" xfId="0" applyFont="1" applyFill="1" applyBorder="1" applyAlignment="1">
      <alignment horizontal="center"/>
    </xf>
    <xf numFmtId="0" fontId="9" fillId="14" borderId="7" xfId="0" applyFont="1" applyFill="1" applyBorder="1" applyAlignment="1">
      <alignment horizontal="center"/>
    </xf>
    <xf numFmtId="0" fontId="9" fillId="14" borderId="8" xfId="0" applyFont="1" applyFill="1" applyBorder="1" applyAlignment="1">
      <alignment horizontal="center"/>
    </xf>
    <xf numFmtId="0" fontId="9" fillId="14" borderId="9" xfId="0" applyFont="1" applyFill="1" applyBorder="1" applyAlignment="1">
      <alignment horizontal="center"/>
    </xf>
    <xf numFmtId="0" fontId="0" fillId="0" borderId="10" xfId="0" applyBorder="1" applyAlignment="1">
      <alignment horizontal="center"/>
    </xf>
    <xf numFmtId="0" fontId="0" fillId="0" borderId="11" xfId="0" applyBorder="1" applyAlignment="1">
      <alignment horizontal="center"/>
    </xf>
    <xf numFmtId="0" fontId="0" fillId="0" borderId="12" xfId="0" applyBorder="1" applyAlignment="1">
      <alignment horizontal="center"/>
    </xf>
    <xf numFmtId="0" fontId="3" fillId="0" borderId="10" xfId="0" applyFont="1" applyBorder="1" applyAlignment="1">
      <alignment horizontal="center"/>
    </xf>
    <xf numFmtId="0" fontId="3" fillId="0" borderId="11" xfId="0" applyFont="1" applyBorder="1" applyAlignment="1">
      <alignment horizontal="center"/>
    </xf>
    <xf numFmtId="0" fontId="3" fillId="0" borderId="12" xfId="0" applyFont="1" applyBorder="1" applyAlignment="1">
      <alignment horizontal="center"/>
    </xf>
    <xf numFmtId="0" fontId="9" fillId="0" borderId="8" xfId="0" applyFont="1" applyBorder="1" applyAlignment="1">
      <alignment horizontal="center"/>
    </xf>
    <xf numFmtId="0" fontId="0" fillId="0" borderId="8" xfId="0" applyBorder="1" applyAlignment="1">
      <alignment horizontal="center"/>
    </xf>
    <xf numFmtId="0" fontId="0" fillId="9" borderId="10" xfId="0" applyFont="1" applyFill="1" applyBorder="1" applyAlignment="1">
      <alignment horizontal="center"/>
    </xf>
    <xf numFmtId="0" fontId="0" fillId="9" borderId="11" xfId="0" applyFont="1" applyFill="1" applyBorder="1" applyAlignment="1">
      <alignment horizontal="center"/>
    </xf>
    <xf numFmtId="0" fontId="0" fillId="9" borderId="12" xfId="0" applyFont="1" applyFill="1" applyBorder="1" applyAlignment="1">
      <alignment horizontal="center"/>
    </xf>
    <xf numFmtId="0" fontId="0" fillId="2" borderId="2" xfId="0" applyFont="1" applyFill="1" applyBorder="1" applyAlignment="1">
      <alignment horizontal="center"/>
    </xf>
    <xf numFmtId="0" fontId="0" fillId="2" borderId="3" xfId="0" applyFont="1" applyFill="1" applyBorder="1" applyAlignment="1">
      <alignment horizontal="center"/>
    </xf>
    <xf numFmtId="0" fontId="0" fillId="2" borderId="4" xfId="0" applyFont="1" applyFill="1" applyBorder="1" applyAlignment="1">
      <alignment horizontal="center"/>
    </xf>
    <xf numFmtId="0" fontId="8" fillId="10" borderId="2" xfId="0" applyFont="1" applyFill="1" applyBorder="1" applyAlignment="1">
      <alignment horizontal="center"/>
    </xf>
    <xf numFmtId="0" fontId="8" fillId="10" borderId="4" xfId="0" applyFont="1" applyFill="1" applyBorder="1" applyAlignment="1">
      <alignment horizontal="center"/>
    </xf>
    <xf numFmtId="0" fontId="9" fillId="0" borderId="10" xfId="0" applyFont="1" applyBorder="1" applyAlignment="1">
      <alignment horizontal="center"/>
    </xf>
    <xf numFmtId="0" fontId="8" fillId="0" borderId="12" xfId="0" applyFont="1" applyBorder="1" applyAlignment="1">
      <alignment horizontal="center"/>
    </xf>
    <xf numFmtId="0" fontId="8" fillId="0" borderId="5" xfId="0" applyFont="1" applyBorder="1" applyAlignment="1">
      <alignment horizontal="center"/>
    </xf>
    <xf numFmtId="0" fontId="8" fillId="0" borderId="0" xfId="0" applyFont="1" applyBorder="1" applyAlignment="1">
      <alignment horizontal="center"/>
    </xf>
    <xf numFmtId="0" fontId="9" fillId="0" borderId="11" xfId="0" applyFont="1" applyBorder="1" applyAlignment="1">
      <alignment horizontal="center"/>
    </xf>
    <xf numFmtId="0" fontId="9" fillId="0" borderId="12" xfId="0" applyFont="1" applyBorder="1" applyAlignment="1">
      <alignment horizontal="center"/>
    </xf>
    <xf numFmtId="0" fontId="4" fillId="0" borderId="21" xfId="0" applyFont="1" applyBorder="1" applyAlignment="1">
      <alignment horizontal="center"/>
    </xf>
    <xf numFmtId="0" fontId="8" fillId="0" borderId="21" xfId="0" applyFont="1" applyBorder="1" applyAlignment="1">
      <alignment horizontal="center"/>
    </xf>
    <xf numFmtId="0" fontId="12" fillId="0" borderId="21" xfId="0" applyFont="1" applyBorder="1" applyAlignment="1">
      <alignment horizontal="center"/>
    </xf>
    <xf numFmtId="0" fontId="8" fillId="0" borderId="8" xfId="0" applyFont="1" applyBorder="1" applyAlignment="1">
      <alignment horizontal="center"/>
    </xf>
    <xf numFmtId="0" fontId="3" fillId="0" borderId="0" xfId="0" applyFont="1" applyAlignment="1">
      <alignment horizontal="center"/>
    </xf>
    <xf numFmtId="0" fontId="0" fillId="0" borderId="0" xfId="0" applyAlignment="1">
      <alignment horizontal="center"/>
    </xf>
    <xf numFmtId="0" fontId="3" fillId="0" borderId="0" xfId="0" applyFont="1" applyBorder="1" applyAlignment="1">
      <alignment horizontal="center"/>
    </xf>
    <xf numFmtId="0" fontId="10" fillId="0" borderId="8" xfId="0" applyFont="1" applyBorder="1" applyAlignment="1">
      <alignment horizontal="center"/>
    </xf>
    <xf numFmtId="0" fontId="0" fillId="0" borderId="2" xfId="0" applyBorder="1" applyAlignment="1">
      <alignment horizontal="center"/>
    </xf>
    <xf numFmtId="0" fontId="0" fillId="0" borderId="4" xfId="0" applyBorder="1" applyAlignment="1">
      <alignment horizontal="center"/>
    </xf>
    <xf numFmtId="0" fontId="8" fillId="0" borderId="10" xfId="0" applyFont="1" applyBorder="1" applyAlignment="1">
      <alignment horizontal="center"/>
    </xf>
    <xf numFmtId="0" fontId="8" fillId="0" borderId="11" xfId="0" applyFont="1" applyBorder="1" applyAlignment="1">
      <alignment horizontal="center"/>
    </xf>
    <xf numFmtId="0" fontId="3" fillId="0" borderId="8" xfId="0" applyFont="1" applyBorder="1" applyAlignment="1">
      <alignment horizontal="center"/>
    </xf>
    <xf numFmtId="0" fontId="8" fillId="20" borderId="25" xfId="0" applyFont="1" applyFill="1" applyBorder="1" applyAlignment="1">
      <alignment horizontal="center"/>
    </xf>
    <xf numFmtId="0" fontId="4" fillId="0" borderId="8" xfId="0" applyFont="1" applyBorder="1" applyAlignment="1">
      <alignment horizontal="center"/>
    </xf>
    <xf numFmtId="0" fontId="0" fillId="13" borderId="2" xfId="0" applyFill="1" applyBorder="1" applyAlignment="1">
      <alignment horizontal="center"/>
    </xf>
    <xf numFmtId="0" fontId="0" fillId="13" borderId="3" xfId="0" applyFill="1" applyBorder="1" applyAlignment="1">
      <alignment horizontal="center"/>
    </xf>
    <xf numFmtId="0" fontId="0" fillId="13" borderId="4" xfId="0" applyFill="1" applyBorder="1" applyAlignment="1">
      <alignment horizontal="center"/>
    </xf>
    <xf numFmtId="0" fontId="9" fillId="13" borderId="2" xfId="0" applyFont="1" applyFill="1" applyBorder="1" applyAlignment="1">
      <alignment horizontal="center"/>
    </xf>
    <xf numFmtId="0" fontId="9" fillId="13" borderId="3" xfId="0" applyFont="1" applyFill="1" applyBorder="1" applyAlignment="1">
      <alignment horizontal="center"/>
    </xf>
    <xf numFmtId="0" fontId="9" fillId="14" borderId="2" xfId="0" applyFont="1" applyFill="1" applyBorder="1" applyAlignment="1">
      <alignment horizontal="center"/>
    </xf>
    <xf numFmtId="0" fontId="9" fillId="14" borderId="3" xfId="0" applyFont="1" applyFill="1" applyBorder="1" applyAlignment="1">
      <alignment horizontal="center"/>
    </xf>
    <xf numFmtId="0" fontId="0" fillId="15" borderId="24" xfId="0" applyFill="1" applyBorder="1" applyAlignment="1">
      <alignment horizontal="center"/>
    </xf>
    <xf numFmtId="0" fontId="0" fillId="15" borderId="26" xfId="0" applyFill="1" applyBorder="1" applyAlignment="1">
      <alignment horizontal="center"/>
    </xf>
    <xf numFmtId="0" fontId="0" fillId="15" borderId="27" xfId="0"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1.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2.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33.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34.xml.rels><?xml version="1.0" encoding="UTF-8" standalone="yes"?>
<Relationships xmlns="http://schemas.openxmlformats.org/package/2006/relationships"><Relationship Id="rId2" Type="http://schemas.microsoft.com/office/2011/relationships/chartColorStyle" Target="colors34.xml"/><Relationship Id="rId1" Type="http://schemas.microsoft.com/office/2011/relationships/chartStyle" Target="style34.xml"/></Relationships>
</file>

<file path=xl/charts/_rels/chart35.xml.rels><?xml version="1.0" encoding="UTF-8" standalone="yes"?>
<Relationships xmlns="http://schemas.openxmlformats.org/package/2006/relationships"><Relationship Id="rId2" Type="http://schemas.microsoft.com/office/2011/relationships/chartColorStyle" Target="colors35.xml"/><Relationship Id="rId1" Type="http://schemas.microsoft.com/office/2011/relationships/chartStyle" Target="style35.xml"/></Relationships>
</file>

<file path=xl/charts/_rels/chart36.xml.rels><?xml version="1.0" encoding="UTF-8" standalone="yes"?>
<Relationships xmlns="http://schemas.openxmlformats.org/package/2006/relationships"><Relationship Id="rId2" Type="http://schemas.microsoft.com/office/2011/relationships/chartColorStyle" Target="colors36.xml"/><Relationship Id="rId1" Type="http://schemas.microsoft.com/office/2011/relationships/chartStyle" Target="style36.xml"/></Relationships>
</file>

<file path=xl/charts/_rels/chart37.xml.rels><?xml version="1.0" encoding="UTF-8" standalone="yes"?>
<Relationships xmlns="http://schemas.openxmlformats.org/package/2006/relationships"><Relationship Id="rId2" Type="http://schemas.microsoft.com/office/2011/relationships/chartColorStyle" Target="colors37.xml"/><Relationship Id="rId1" Type="http://schemas.microsoft.com/office/2011/relationships/chartStyle" Target="style37.xml"/></Relationships>
</file>

<file path=xl/charts/_rels/chart38.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38.xml"/><Relationship Id="rId1" Type="http://schemas.microsoft.com/office/2011/relationships/chartStyle" Target="style38.xml"/></Relationships>
</file>

<file path=xl/charts/_rels/chart39.xml.rels><?xml version="1.0" encoding="UTF-8" standalone="yes"?>
<Relationships xmlns="http://schemas.openxmlformats.org/package/2006/relationships"><Relationship Id="rId2" Type="http://schemas.microsoft.com/office/2011/relationships/chartColorStyle" Target="colors39.xml"/><Relationship Id="rId1" Type="http://schemas.microsoft.com/office/2011/relationships/chartStyle" Target="style39.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0.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40.xml"/><Relationship Id="rId1" Type="http://schemas.microsoft.com/office/2011/relationships/chartStyle" Target="style40.xml"/></Relationships>
</file>

<file path=xl/charts/_rels/chart41.xml.rels><?xml version="1.0" encoding="UTF-8" standalone="yes"?>
<Relationships xmlns="http://schemas.openxmlformats.org/package/2006/relationships"><Relationship Id="rId3" Type="http://schemas.openxmlformats.org/officeDocument/2006/relationships/themeOverride" Target="../theme/themeOverride3.xml"/><Relationship Id="rId2" Type="http://schemas.microsoft.com/office/2011/relationships/chartColorStyle" Target="colors41.xml"/><Relationship Id="rId1" Type="http://schemas.microsoft.com/office/2011/relationships/chartStyle" Target="style41.xml"/></Relationships>
</file>

<file path=xl/charts/_rels/chart42.xml.rels><?xml version="1.0" encoding="UTF-8" standalone="yes"?>
<Relationships xmlns="http://schemas.openxmlformats.org/package/2006/relationships"><Relationship Id="rId2" Type="http://schemas.microsoft.com/office/2011/relationships/chartColorStyle" Target="colors42.xml"/><Relationship Id="rId1" Type="http://schemas.microsoft.com/office/2011/relationships/chartStyle" Target="style42.xml"/></Relationships>
</file>

<file path=xl/charts/_rels/chart43.xml.rels><?xml version="1.0" encoding="UTF-8" standalone="yes"?>
<Relationships xmlns="http://schemas.openxmlformats.org/package/2006/relationships"><Relationship Id="rId2" Type="http://schemas.microsoft.com/office/2011/relationships/chartColorStyle" Target="colors43.xml"/><Relationship Id="rId1" Type="http://schemas.microsoft.com/office/2011/relationships/chartStyle" Target="style43.xml"/></Relationships>
</file>

<file path=xl/charts/_rels/chart44.xml.rels><?xml version="1.0" encoding="UTF-8" standalone="yes"?>
<Relationships xmlns="http://schemas.openxmlformats.org/package/2006/relationships"><Relationship Id="rId2" Type="http://schemas.microsoft.com/office/2011/relationships/chartColorStyle" Target="colors44.xml"/><Relationship Id="rId1" Type="http://schemas.microsoft.com/office/2011/relationships/chartStyle" Target="style44.xml"/></Relationships>
</file>

<file path=xl/charts/_rels/chart45.xml.rels><?xml version="1.0" encoding="UTF-8" standalone="yes"?>
<Relationships xmlns="http://schemas.openxmlformats.org/package/2006/relationships"><Relationship Id="rId2" Type="http://schemas.microsoft.com/office/2011/relationships/chartColorStyle" Target="colors45.xml"/><Relationship Id="rId1" Type="http://schemas.microsoft.com/office/2011/relationships/chartStyle" Target="style45.xml"/></Relationships>
</file>

<file path=xl/charts/_rels/chart46.xml.rels><?xml version="1.0" encoding="UTF-8" standalone="yes"?>
<Relationships xmlns="http://schemas.openxmlformats.org/package/2006/relationships"><Relationship Id="rId2" Type="http://schemas.microsoft.com/office/2011/relationships/chartColorStyle" Target="colors46.xml"/><Relationship Id="rId1" Type="http://schemas.microsoft.com/office/2011/relationships/chartStyle" Target="style46.xml"/></Relationships>
</file>

<file path=xl/charts/_rels/chart47.xml.rels><?xml version="1.0" encoding="UTF-8" standalone="yes"?>
<Relationships xmlns="http://schemas.openxmlformats.org/package/2006/relationships"><Relationship Id="rId3" Type="http://schemas.openxmlformats.org/officeDocument/2006/relationships/themeOverride" Target="../theme/themeOverride4.xml"/><Relationship Id="rId2" Type="http://schemas.microsoft.com/office/2011/relationships/chartColorStyle" Target="colors47.xml"/><Relationship Id="rId1" Type="http://schemas.microsoft.com/office/2011/relationships/chartStyle" Target="style47.xml"/></Relationships>
</file>

<file path=xl/charts/_rels/chart48.xml.rels><?xml version="1.0" encoding="UTF-8" standalone="yes"?>
<Relationships xmlns="http://schemas.openxmlformats.org/package/2006/relationships"><Relationship Id="rId3" Type="http://schemas.openxmlformats.org/officeDocument/2006/relationships/themeOverride" Target="../theme/themeOverride5.xml"/><Relationship Id="rId2" Type="http://schemas.microsoft.com/office/2011/relationships/chartColorStyle" Target="colors48.xml"/><Relationship Id="rId1" Type="http://schemas.microsoft.com/office/2011/relationships/chartStyle" Target="style48.xml"/></Relationships>
</file>

<file path=xl/charts/_rels/chart49.xml.rels><?xml version="1.0" encoding="UTF-8" standalone="yes"?>
<Relationships xmlns="http://schemas.openxmlformats.org/package/2006/relationships"><Relationship Id="rId2" Type="http://schemas.microsoft.com/office/2011/relationships/chartColorStyle" Target="colors49.xml"/><Relationship Id="rId1" Type="http://schemas.microsoft.com/office/2011/relationships/chartStyle" Target="style49.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0.xml.rels><?xml version="1.0" encoding="UTF-8" standalone="yes"?>
<Relationships xmlns="http://schemas.openxmlformats.org/package/2006/relationships"><Relationship Id="rId3" Type="http://schemas.openxmlformats.org/officeDocument/2006/relationships/themeOverride" Target="../theme/themeOverride6.xml"/><Relationship Id="rId2" Type="http://schemas.microsoft.com/office/2011/relationships/chartColorStyle" Target="colors50.xml"/><Relationship Id="rId1" Type="http://schemas.microsoft.com/office/2011/relationships/chartStyle" Target="style50.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'benchmark-execution'!$D$55</c:f>
              <c:strCache>
                <c:ptCount val="1"/>
                <c:pt idx="0">
                  <c:v>Predicate-based</c:v>
                </c:pt>
              </c:strCache>
            </c:strRef>
          </c:tx>
          <c:spPr>
            <a:solidFill>
              <a:schemeClr val="accent1"/>
            </a:solidFill>
            <a:ln>
              <a:noFill/>
            </a:ln>
            <a:effectLst/>
          </c:spPr>
          <c:invertIfNegative val="0"/>
          <c:cat>
            <c:multiLvlStrRef>
              <c:f>'benchmark-execution'!$E$53:$K$54</c:f>
              <c:multiLvlStrCache>
                <c:ptCount val="7"/>
                <c:lvl>
                  <c:pt idx="0">
                    <c:v>BGP only</c:v>
                  </c:pt>
                  <c:pt idx="1">
                    <c:v>Fully featured</c:v>
                  </c:pt>
                  <c:pt idx="2">
                    <c:v>BGP only</c:v>
                  </c:pt>
                  <c:pt idx="3">
                    <c:v>Fully featured</c:v>
                  </c:pt>
                  <c:pt idx="4">
                    <c:v>BGP only</c:v>
                  </c:pt>
                  <c:pt idx="5">
                    <c:v>Fully featured</c:v>
                  </c:pt>
                </c:lvl>
                <c:lvl>
                  <c:pt idx="0">
                    <c:v>SWDF</c:v>
                  </c:pt>
                  <c:pt idx="2">
                    <c:v>Dbpedia</c:v>
                  </c:pt>
                  <c:pt idx="4">
                    <c:v>Combined (600 queries)</c:v>
                  </c:pt>
                  <c:pt idx="6">
                    <c:v>Overall (1200 queries)</c:v>
                  </c:pt>
                </c:lvl>
              </c:multiLvlStrCache>
            </c:multiLvlStrRef>
          </c:cat>
          <c:val>
            <c:numRef>
              <c:f>'benchmark-execution'!$E$55:$K$55</c:f>
              <c:numCache>
                <c:formatCode>General</c:formatCode>
                <c:ptCount val="7"/>
                <c:pt idx="0">
                  <c:v>1541</c:v>
                </c:pt>
                <c:pt idx="1">
                  <c:v>2436</c:v>
                </c:pt>
                <c:pt idx="2">
                  <c:v>964</c:v>
                </c:pt>
                <c:pt idx="3">
                  <c:v>1815</c:v>
                </c:pt>
                <c:pt idx="4">
                  <c:v>2505</c:v>
                </c:pt>
                <c:pt idx="5">
                  <c:v>4251</c:v>
                </c:pt>
                <c:pt idx="6">
                  <c:v>6756</c:v>
                </c:pt>
              </c:numCache>
            </c:numRef>
          </c:val>
        </c:ser>
        <c:ser>
          <c:idx val="1"/>
          <c:order val="1"/>
          <c:tx>
            <c:strRef>
              <c:f>'benchmark-execution'!$D$56</c:f>
              <c:strCache>
                <c:ptCount val="1"/>
                <c:pt idx="0">
                  <c:v>Subject-based</c:v>
                </c:pt>
              </c:strCache>
            </c:strRef>
          </c:tx>
          <c:spPr>
            <a:solidFill>
              <a:schemeClr val="accent2"/>
            </a:solidFill>
            <a:ln>
              <a:noFill/>
            </a:ln>
            <a:effectLst/>
          </c:spPr>
          <c:invertIfNegative val="0"/>
          <c:cat>
            <c:multiLvlStrRef>
              <c:f>'benchmark-execution'!$E$53:$K$54</c:f>
              <c:multiLvlStrCache>
                <c:ptCount val="7"/>
                <c:lvl>
                  <c:pt idx="0">
                    <c:v>BGP only</c:v>
                  </c:pt>
                  <c:pt idx="1">
                    <c:v>Fully featured</c:v>
                  </c:pt>
                  <c:pt idx="2">
                    <c:v>BGP only</c:v>
                  </c:pt>
                  <c:pt idx="3">
                    <c:v>Fully featured</c:v>
                  </c:pt>
                  <c:pt idx="4">
                    <c:v>BGP only</c:v>
                  </c:pt>
                  <c:pt idx="5">
                    <c:v>Fully featured</c:v>
                  </c:pt>
                </c:lvl>
                <c:lvl>
                  <c:pt idx="0">
                    <c:v>SWDF</c:v>
                  </c:pt>
                  <c:pt idx="2">
                    <c:v>Dbpedia</c:v>
                  </c:pt>
                  <c:pt idx="4">
                    <c:v>Combined (600 queries)</c:v>
                  </c:pt>
                  <c:pt idx="6">
                    <c:v>Overall (1200 queries)</c:v>
                  </c:pt>
                </c:lvl>
              </c:multiLvlStrCache>
            </c:multiLvlStrRef>
          </c:cat>
          <c:val>
            <c:numRef>
              <c:f>'benchmark-execution'!$E$56:$K$56</c:f>
              <c:numCache>
                <c:formatCode>General</c:formatCode>
                <c:ptCount val="7"/>
                <c:pt idx="0">
                  <c:v>354</c:v>
                </c:pt>
                <c:pt idx="1">
                  <c:v>2578</c:v>
                </c:pt>
                <c:pt idx="2">
                  <c:v>2234</c:v>
                </c:pt>
                <c:pt idx="3">
                  <c:v>2830</c:v>
                </c:pt>
                <c:pt idx="4">
                  <c:v>2588</c:v>
                </c:pt>
                <c:pt idx="5">
                  <c:v>5408</c:v>
                </c:pt>
                <c:pt idx="6">
                  <c:v>7996</c:v>
                </c:pt>
              </c:numCache>
            </c:numRef>
          </c:val>
        </c:ser>
        <c:ser>
          <c:idx val="2"/>
          <c:order val="2"/>
          <c:tx>
            <c:strRef>
              <c:f>'benchmark-execution'!$D$57</c:f>
              <c:strCache>
                <c:ptCount val="1"/>
                <c:pt idx="0">
                  <c:v>Hierarchical</c:v>
                </c:pt>
              </c:strCache>
            </c:strRef>
          </c:tx>
          <c:spPr>
            <a:solidFill>
              <a:schemeClr val="accent3"/>
            </a:solidFill>
            <a:ln>
              <a:noFill/>
            </a:ln>
            <a:effectLst/>
          </c:spPr>
          <c:invertIfNegative val="0"/>
          <c:cat>
            <c:multiLvlStrRef>
              <c:f>'benchmark-execution'!$E$53:$K$54</c:f>
              <c:multiLvlStrCache>
                <c:ptCount val="7"/>
                <c:lvl>
                  <c:pt idx="0">
                    <c:v>BGP only</c:v>
                  </c:pt>
                  <c:pt idx="1">
                    <c:v>Fully featured</c:v>
                  </c:pt>
                  <c:pt idx="2">
                    <c:v>BGP only</c:v>
                  </c:pt>
                  <c:pt idx="3">
                    <c:v>Fully featured</c:v>
                  </c:pt>
                  <c:pt idx="4">
                    <c:v>BGP only</c:v>
                  </c:pt>
                  <c:pt idx="5">
                    <c:v>Fully featured</c:v>
                  </c:pt>
                </c:lvl>
                <c:lvl>
                  <c:pt idx="0">
                    <c:v>SWDF</c:v>
                  </c:pt>
                  <c:pt idx="2">
                    <c:v>Dbpedia</c:v>
                  </c:pt>
                  <c:pt idx="4">
                    <c:v>Combined (600 queries)</c:v>
                  </c:pt>
                  <c:pt idx="6">
                    <c:v>Overall (1200 queries)</c:v>
                  </c:pt>
                </c:lvl>
              </c:multiLvlStrCache>
            </c:multiLvlStrRef>
          </c:cat>
          <c:val>
            <c:numRef>
              <c:f>'benchmark-execution'!$E$57:$K$57</c:f>
              <c:numCache>
                <c:formatCode>General</c:formatCode>
                <c:ptCount val="7"/>
                <c:pt idx="0">
                  <c:v>354</c:v>
                </c:pt>
                <c:pt idx="1">
                  <c:v>2577</c:v>
                </c:pt>
                <c:pt idx="2">
                  <c:v>2235</c:v>
                </c:pt>
                <c:pt idx="3">
                  <c:v>2832</c:v>
                </c:pt>
                <c:pt idx="4">
                  <c:v>2589</c:v>
                </c:pt>
                <c:pt idx="5">
                  <c:v>5409</c:v>
                </c:pt>
                <c:pt idx="6">
                  <c:v>7998</c:v>
                </c:pt>
              </c:numCache>
            </c:numRef>
          </c:val>
        </c:ser>
        <c:ser>
          <c:idx val="3"/>
          <c:order val="3"/>
          <c:tx>
            <c:strRef>
              <c:f>'benchmark-execution'!$D$58</c:f>
              <c:strCache>
                <c:ptCount val="1"/>
                <c:pt idx="0">
                  <c:v>Horizental </c:v>
                </c:pt>
              </c:strCache>
            </c:strRef>
          </c:tx>
          <c:spPr>
            <a:solidFill>
              <a:schemeClr val="accent4"/>
            </a:solidFill>
            <a:ln>
              <a:noFill/>
            </a:ln>
            <a:effectLst/>
          </c:spPr>
          <c:invertIfNegative val="0"/>
          <c:cat>
            <c:multiLvlStrRef>
              <c:f>'benchmark-execution'!$E$53:$K$54</c:f>
              <c:multiLvlStrCache>
                <c:ptCount val="7"/>
                <c:lvl>
                  <c:pt idx="0">
                    <c:v>BGP only</c:v>
                  </c:pt>
                  <c:pt idx="1">
                    <c:v>Fully featured</c:v>
                  </c:pt>
                  <c:pt idx="2">
                    <c:v>BGP only</c:v>
                  </c:pt>
                  <c:pt idx="3">
                    <c:v>Fully featured</c:v>
                  </c:pt>
                  <c:pt idx="4">
                    <c:v>BGP only</c:v>
                  </c:pt>
                  <c:pt idx="5">
                    <c:v>Fully featured</c:v>
                  </c:pt>
                </c:lvl>
                <c:lvl>
                  <c:pt idx="0">
                    <c:v>SWDF</c:v>
                  </c:pt>
                  <c:pt idx="2">
                    <c:v>Dbpedia</c:v>
                  </c:pt>
                  <c:pt idx="4">
                    <c:v>Combined (600 queries)</c:v>
                  </c:pt>
                  <c:pt idx="6">
                    <c:v>Overall (1200 queries)</c:v>
                  </c:pt>
                </c:lvl>
              </c:multiLvlStrCache>
            </c:multiLvlStrRef>
          </c:cat>
          <c:val>
            <c:numRef>
              <c:f>'benchmark-execution'!$E$58:$K$58</c:f>
              <c:numCache>
                <c:formatCode>General</c:formatCode>
                <c:ptCount val="7"/>
                <c:pt idx="0">
                  <c:v>1752</c:v>
                </c:pt>
                <c:pt idx="1">
                  <c:v>2685</c:v>
                </c:pt>
                <c:pt idx="2">
                  <c:v>2352</c:v>
                </c:pt>
                <c:pt idx="3">
                  <c:v>2873</c:v>
                </c:pt>
                <c:pt idx="4">
                  <c:v>4104</c:v>
                </c:pt>
                <c:pt idx="5">
                  <c:v>5558</c:v>
                </c:pt>
                <c:pt idx="6">
                  <c:v>9662</c:v>
                </c:pt>
              </c:numCache>
            </c:numRef>
          </c:val>
        </c:ser>
        <c:ser>
          <c:idx val="4"/>
          <c:order val="4"/>
          <c:tx>
            <c:strRef>
              <c:f>'benchmark-execution'!$D$59</c:f>
              <c:strCache>
                <c:ptCount val="1"/>
                <c:pt idx="0">
                  <c:v>Min-cut</c:v>
                </c:pt>
              </c:strCache>
            </c:strRef>
          </c:tx>
          <c:spPr>
            <a:solidFill>
              <a:schemeClr val="accent5"/>
            </a:solidFill>
            <a:ln>
              <a:noFill/>
            </a:ln>
            <a:effectLst/>
          </c:spPr>
          <c:invertIfNegative val="0"/>
          <c:cat>
            <c:multiLvlStrRef>
              <c:f>'benchmark-execution'!$E$53:$K$54</c:f>
              <c:multiLvlStrCache>
                <c:ptCount val="7"/>
                <c:lvl>
                  <c:pt idx="0">
                    <c:v>BGP only</c:v>
                  </c:pt>
                  <c:pt idx="1">
                    <c:v>Fully featured</c:v>
                  </c:pt>
                  <c:pt idx="2">
                    <c:v>BGP only</c:v>
                  </c:pt>
                  <c:pt idx="3">
                    <c:v>Fully featured</c:v>
                  </c:pt>
                  <c:pt idx="4">
                    <c:v>BGP only</c:v>
                  </c:pt>
                  <c:pt idx="5">
                    <c:v>Fully featured</c:v>
                  </c:pt>
                </c:lvl>
                <c:lvl>
                  <c:pt idx="0">
                    <c:v>SWDF</c:v>
                  </c:pt>
                  <c:pt idx="2">
                    <c:v>Dbpedia</c:v>
                  </c:pt>
                  <c:pt idx="4">
                    <c:v>Combined (600 queries)</c:v>
                  </c:pt>
                  <c:pt idx="6">
                    <c:v>Overall (1200 queries)</c:v>
                  </c:pt>
                </c:lvl>
              </c:multiLvlStrCache>
            </c:multiLvlStrRef>
          </c:cat>
          <c:val>
            <c:numRef>
              <c:f>'benchmark-execution'!$E$59:$K$59</c:f>
              <c:numCache>
                <c:formatCode>General</c:formatCode>
                <c:ptCount val="7"/>
                <c:pt idx="0">
                  <c:v>354</c:v>
                </c:pt>
                <c:pt idx="1">
                  <c:v>2574</c:v>
                </c:pt>
                <c:pt idx="2">
                  <c:v>2230</c:v>
                </c:pt>
                <c:pt idx="3">
                  <c:v>2824</c:v>
                </c:pt>
                <c:pt idx="4">
                  <c:v>2584</c:v>
                </c:pt>
                <c:pt idx="5">
                  <c:v>5398</c:v>
                </c:pt>
                <c:pt idx="6">
                  <c:v>7982</c:v>
                </c:pt>
              </c:numCache>
            </c:numRef>
          </c:val>
        </c:ser>
        <c:dLbls>
          <c:showLegendKey val="0"/>
          <c:showVal val="0"/>
          <c:showCatName val="0"/>
          <c:showSerName val="0"/>
          <c:showPercent val="0"/>
          <c:showBubbleSize val="0"/>
        </c:dLbls>
        <c:gapWidth val="219"/>
        <c:overlap val="-27"/>
        <c:axId val="1251160208"/>
        <c:axId val="1251160752"/>
      </c:barChart>
      <c:catAx>
        <c:axId val="12511602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1160752"/>
        <c:crosses val="autoZero"/>
        <c:auto val="1"/>
        <c:lblAlgn val="ctr"/>
        <c:lblOffset val="100"/>
        <c:noMultiLvlLbl val="0"/>
      </c:catAx>
      <c:valAx>
        <c:axId val="12511607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11602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5039763569983969E-3"/>
          <c:y val="0.13105494390738751"/>
          <c:w val="0.96433987089603801"/>
          <c:h val="0.60860588188882236"/>
        </c:manualLayout>
      </c:layout>
      <c:barChart>
        <c:barDir val="col"/>
        <c:grouping val="clustered"/>
        <c:varyColors val="0"/>
        <c:ser>
          <c:idx val="0"/>
          <c:order val="0"/>
          <c:tx>
            <c:strRef>
              <c:f>'benchmark-execution'!$E$129</c:f>
              <c:strCache>
                <c:ptCount val="1"/>
                <c:pt idx="0">
                  <c:v>PB</c:v>
                </c:pt>
              </c:strCache>
            </c:strRef>
          </c:tx>
          <c:spPr>
            <a:pattFill prst="pct75">
              <a:fgClr>
                <a:schemeClr val="accent6">
                  <a:lumMod val="50000"/>
                </a:schemeClr>
              </a:fgClr>
              <a:bgClr>
                <a:schemeClr val="bg1"/>
              </a:bgClr>
            </a:pattFill>
            <a:ln>
              <a:noFill/>
            </a:ln>
            <a:effectLst/>
          </c:spPr>
          <c:invertIfNegative val="0"/>
          <c:dLbls>
            <c:spPr>
              <a:noFill/>
              <a:ln>
                <a:noFill/>
              </a:ln>
              <a:effectLst/>
            </c:spPr>
            <c:txPr>
              <a:bodyPr rot="-5400000" spcFirstLastPara="1" vertOverflow="clip" horzOverflow="clip" vert="horz" wrap="square" lIns="38100" tIns="19050" rIns="38100" bIns="19050" anchor="ctr" anchorCtr="0">
                <a:spAutoFit/>
              </a:bodyPr>
              <a:lstStyle/>
              <a:p>
                <a:pPr algn="ctr">
                  <a:defRPr lang="en-US" sz="24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'benchmark-execution'!$D$130:$D$131</c:f>
              <c:strCache>
                <c:ptCount val="2"/>
                <c:pt idx="0">
                  <c:v>SW-BGP</c:v>
                </c:pt>
                <c:pt idx="1">
                  <c:v>DB-BGP</c:v>
                </c:pt>
              </c:strCache>
            </c:strRef>
          </c:cat>
          <c:val>
            <c:numRef>
              <c:f>'benchmark-execution'!$E$130:$E$131</c:f>
              <c:numCache>
                <c:formatCode>0</c:formatCode>
                <c:ptCount val="2"/>
                <c:pt idx="0">
                  <c:v>1099.1770000000001</c:v>
                </c:pt>
                <c:pt idx="1">
                  <c:v>44070.637000000002</c:v>
                </c:pt>
              </c:numCache>
            </c:numRef>
          </c:val>
        </c:ser>
        <c:ser>
          <c:idx val="1"/>
          <c:order val="1"/>
          <c:tx>
            <c:strRef>
              <c:f>'benchmark-execution'!$F$129</c:f>
              <c:strCache>
                <c:ptCount val="1"/>
                <c:pt idx="0">
                  <c:v>SB</c:v>
                </c:pt>
              </c:strCache>
            </c:strRef>
          </c:tx>
          <c:spPr>
            <a:pattFill prst="pct80">
              <a:fgClr>
                <a:schemeClr val="accent2"/>
              </a:fgClr>
              <a:bgClr>
                <a:schemeClr val="bg1"/>
              </a:bgClr>
            </a:pattFill>
            <a:ln>
              <a:noFill/>
            </a:ln>
            <a:effectLst/>
          </c:spPr>
          <c:invertIfNegative val="0"/>
          <c:dLbls>
            <c:spPr>
              <a:noFill/>
              <a:ln>
                <a:noFill/>
              </a:ln>
              <a:effectLst/>
            </c:spPr>
            <c:txPr>
              <a:bodyPr rot="-5400000" spcFirstLastPara="1" vertOverflow="clip" horzOverflow="clip" vert="horz" wrap="square" lIns="38100" tIns="19050" rIns="38100" bIns="19050" anchor="ctr" anchorCtr="0">
                <a:spAutoFit/>
              </a:bodyPr>
              <a:lstStyle/>
              <a:p>
                <a:pPr algn="ctr">
                  <a:defRPr lang="en-US" sz="24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'benchmark-execution'!$D$130:$D$131</c:f>
              <c:strCache>
                <c:ptCount val="2"/>
                <c:pt idx="0">
                  <c:v>SW-BGP</c:v>
                </c:pt>
                <c:pt idx="1">
                  <c:v>DB-BGP</c:v>
                </c:pt>
              </c:strCache>
            </c:strRef>
          </c:cat>
          <c:val>
            <c:numRef>
              <c:f>'benchmark-execution'!$F$130:$F$131</c:f>
              <c:numCache>
                <c:formatCode>0</c:formatCode>
                <c:ptCount val="2"/>
                <c:pt idx="0">
                  <c:v>1056.5229999999999</c:v>
                </c:pt>
                <c:pt idx="1">
                  <c:v>33586.423999999999</c:v>
                </c:pt>
              </c:numCache>
            </c:numRef>
          </c:val>
        </c:ser>
        <c:ser>
          <c:idx val="2"/>
          <c:order val="2"/>
          <c:tx>
            <c:strRef>
              <c:f>'benchmark-execution'!$G$129</c:f>
              <c:strCache>
                <c:ptCount val="1"/>
                <c:pt idx="0">
                  <c:v>Hi</c:v>
                </c:pt>
              </c:strCache>
            </c:strRef>
          </c:tx>
          <c:spPr>
            <a:pattFill prst="pct90">
              <a:fgClr>
                <a:schemeClr val="accent3"/>
              </a:fgClr>
              <a:bgClr>
                <a:schemeClr val="bg1"/>
              </a:bgClr>
            </a:pattFill>
            <a:ln>
              <a:noFill/>
            </a:ln>
            <a:effectLst/>
          </c:spPr>
          <c:invertIfNegative val="0"/>
          <c:dLbls>
            <c:spPr>
              <a:noFill/>
              <a:ln>
                <a:noFill/>
              </a:ln>
              <a:effectLst/>
            </c:spPr>
            <c:txPr>
              <a:bodyPr rot="-5400000" spcFirstLastPara="1" vertOverflow="clip" horzOverflow="clip" vert="horz" wrap="square" lIns="38100" tIns="19050" rIns="38100" bIns="19050" anchor="ctr" anchorCtr="0">
                <a:spAutoFit/>
              </a:bodyPr>
              <a:lstStyle/>
              <a:p>
                <a:pPr algn="ctr">
                  <a:defRPr lang="en-US" sz="24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'benchmark-execution'!$D$130:$D$131</c:f>
              <c:strCache>
                <c:ptCount val="2"/>
                <c:pt idx="0">
                  <c:v>SW-BGP</c:v>
                </c:pt>
                <c:pt idx="1">
                  <c:v>DB-BGP</c:v>
                </c:pt>
              </c:strCache>
            </c:strRef>
          </c:cat>
          <c:val>
            <c:numRef>
              <c:f>'benchmark-execution'!$G$130:$G$131</c:f>
              <c:numCache>
                <c:formatCode>0</c:formatCode>
                <c:ptCount val="2"/>
                <c:pt idx="0">
                  <c:v>1053.3809999999999</c:v>
                </c:pt>
                <c:pt idx="1">
                  <c:v>52485.565000000002</c:v>
                </c:pt>
              </c:numCache>
            </c:numRef>
          </c:val>
        </c:ser>
        <c:ser>
          <c:idx val="3"/>
          <c:order val="3"/>
          <c:tx>
            <c:strRef>
              <c:f>'benchmark-execution'!$H$129</c:f>
              <c:strCache>
                <c:ptCount val="1"/>
                <c:pt idx="0">
                  <c:v>Ho</c:v>
                </c:pt>
              </c:strCache>
            </c:strRef>
          </c:tx>
          <c:spPr>
            <a:pattFill prst="dkDnDiag">
              <a:fgClr>
                <a:schemeClr val="accent4"/>
              </a:fgClr>
              <a:bgClr>
                <a:schemeClr val="bg1"/>
              </a:bgClr>
            </a:pattFill>
            <a:ln>
              <a:noFill/>
            </a:ln>
            <a:effectLst/>
          </c:spPr>
          <c:invertIfNegative val="0"/>
          <c:dLbls>
            <c:spPr>
              <a:noFill/>
              <a:ln>
                <a:noFill/>
              </a:ln>
              <a:effectLst/>
            </c:spPr>
            <c:txPr>
              <a:bodyPr rot="-5400000" spcFirstLastPara="1" vertOverflow="clip" horzOverflow="clip" vert="horz" wrap="square" lIns="38100" tIns="19050" rIns="38100" bIns="19050" anchor="ctr" anchorCtr="0">
                <a:spAutoFit/>
              </a:bodyPr>
              <a:lstStyle/>
              <a:p>
                <a:pPr algn="ctr">
                  <a:defRPr lang="en-US" sz="24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'benchmark-execution'!$D$130:$D$131</c:f>
              <c:strCache>
                <c:ptCount val="2"/>
                <c:pt idx="0">
                  <c:v>SW-BGP</c:v>
                </c:pt>
                <c:pt idx="1">
                  <c:v>DB-BGP</c:v>
                </c:pt>
              </c:strCache>
            </c:strRef>
          </c:cat>
          <c:val>
            <c:numRef>
              <c:f>'benchmark-execution'!$H$130:$H$131</c:f>
              <c:numCache>
                <c:formatCode>0</c:formatCode>
                <c:ptCount val="2"/>
                <c:pt idx="0">
                  <c:v>1040.5550000000001</c:v>
                </c:pt>
                <c:pt idx="1">
                  <c:v>44561.839</c:v>
                </c:pt>
              </c:numCache>
            </c:numRef>
          </c:val>
        </c:ser>
        <c:ser>
          <c:idx val="4"/>
          <c:order val="4"/>
          <c:tx>
            <c:strRef>
              <c:f>'benchmark-execution'!$I$129</c:f>
              <c:strCache>
                <c:ptCount val="1"/>
                <c:pt idx="0">
                  <c:v>TC</c:v>
                </c:pt>
              </c:strCache>
            </c:strRef>
          </c:tx>
          <c:spPr>
            <a:pattFill prst="dkUpDiag">
              <a:fgClr>
                <a:schemeClr val="accent5"/>
              </a:fgClr>
              <a:bgClr>
                <a:schemeClr val="bg1"/>
              </a:bgClr>
            </a:pattFill>
            <a:ln>
              <a:noFill/>
            </a:ln>
            <a:effectLst/>
          </c:spPr>
          <c:invertIfNegative val="0"/>
          <c:dLbls>
            <c:spPr>
              <a:noFill/>
              <a:ln>
                <a:noFill/>
              </a:ln>
              <a:effectLst/>
            </c:spPr>
            <c:txPr>
              <a:bodyPr rot="-5400000" spcFirstLastPara="1" vertOverflow="clip" horzOverflow="clip" vert="horz" wrap="square" lIns="38100" tIns="19050" rIns="38100" bIns="19050" anchor="ctr" anchorCtr="0">
                <a:spAutoFit/>
              </a:bodyPr>
              <a:lstStyle/>
              <a:p>
                <a:pPr algn="ctr">
                  <a:defRPr lang="en-US" sz="24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'benchmark-execution'!$D$130:$D$131</c:f>
              <c:strCache>
                <c:ptCount val="2"/>
                <c:pt idx="0">
                  <c:v>SW-BGP</c:v>
                </c:pt>
                <c:pt idx="1">
                  <c:v>DB-BGP</c:v>
                </c:pt>
              </c:strCache>
            </c:strRef>
          </c:cat>
          <c:val>
            <c:numRef>
              <c:f>'benchmark-execution'!$I$130:$I$131</c:f>
              <c:numCache>
                <c:formatCode>0</c:formatCode>
                <c:ptCount val="2"/>
                <c:pt idx="0">
                  <c:v>1051.421</c:v>
                </c:pt>
                <c:pt idx="1">
                  <c:v>39058.822</c:v>
                </c:pt>
              </c:numCache>
            </c:numRef>
          </c:val>
        </c:ser>
        <c:ser>
          <c:idx val="5"/>
          <c:order val="5"/>
          <c:tx>
            <c:strRef>
              <c:f>'benchmark-execution'!$J$129</c:f>
              <c:strCache>
                <c:ptCount val="1"/>
                <c:pt idx="0">
                  <c:v>ME</c:v>
                </c:pt>
              </c:strCache>
            </c:strRef>
          </c:tx>
          <c:spPr>
            <a:pattFill prst="trellis">
              <a:fgClr>
                <a:schemeClr val="accent6"/>
              </a:fgClr>
              <a:bgClr>
                <a:schemeClr val="bg1"/>
              </a:bgClr>
            </a:pattFill>
            <a:ln>
              <a:noFill/>
            </a:ln>
            <a:effectLst/>
          </c:spPr>
          <c:invertIfNegative val="0"/>
          <c:dLbls>
            <c:spPr>
              <a:noFill/>
              <a:ln>
                <a:noFill/>
              </a:ln>
              <a:effectLst/>
            </c:spPr>
            <c:txPr>
              <a:bodyPr rot="-5400000" spcFirstLastPara="1" vertOverflow="clip" horzOverflow="clip" vert="horz" wrap="square" lIns="38100" tIns="19050" rIns="38100" bIns="19050" anchor="ctr" anchorCtr="0">
                <a:spAutoFit/>
              </a:bodyPr>
              <a:lstStyle/>
              <a:p>
                <a:pPr algn="ctr">
                  <a:defRPr lang="en-US" sz="24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'benchmark-execution'!$D$130:$D$131</c:f>
              <c:strCache>
                <c:ptCount val="2"/>
                <c:pt idx="0">
                  <c:v>SW-BGP</c:v>
                </c:pt>
                <c:pt idx="1">
                  <c:v>DB-BGP</c:v>
                </c:pt>
              </c:strCache>
            </c:strRef>
          </c:cat>
          <c:val>
            <c:numRef>
              <c:f>'benchmark-execution'!$J$130:$J$131</c:f>
              <c:numCache>
                <c:formatCode>0</c:formatCode>
                <c:ptCount val="2"/>
                <c:pt idx="0">
                  <c:v>1052.6569999999999</c:v>
                </c:pt>
                <c:pt idx="1">
                  <c:v>15786.627</c:v>
                </c:pt>
              </c:numCache>
            </c:numRef>
          </c:val>
        </c:ser>
        <c:ser>
          <c:idx val="6"/>
          <c:order val="6"/>
          <c:tx>
            <c:strRef>
              <c:f>'benchmark-execution'!$K$129</c:f>
              <c:strCache>
                <c:ptCount val="1"/>
                <c:pt idx="0">
                  <c:v>RB</c:v>
                </c:pt>
              </c:strCache>
            </c:strRef>
          </c:tx>
          <c:spPr>
            <a:pattFill prst="pct50">
              <a:fgClr>
                <a:schemeClr val="accent5">
                  <a:lumMod val="75000"/>
                </a:schemeClr>
              </a:fgClr>
              <a:bgClr>
                <a:schemeClr val="bg1"/>
              </a:bgClr>
            </a:pattFill>
            <a:ln>
              <a:noFill/>
            </a:ln>
            <a:effectLst/>
          </c:spPr>
          <c:invertIfNegative val="0"/>
          <c:dLbls>
            <c:spPr>
              <a:noFill/>
              <a:ln>
                <a:noFill/>
              </a:ln>
              <a:effectLst/>
            </c:spPr>
            <c:txPr>
              <a:bodyPr rot="-5400000" spcFirstLastPara="1" vertOverflow="clip" horzOverflow="clip" vert="horz" wrap="square" lIns="38100" tIns="19050" rIns="38100" bIns="19050" anchor="ctr" anchorCtr="0">
                <a:spAutoFit/>
              </a:bodyPr>
              <a:lstStyle/>
              <a:p>
                <a:pPr algn="ctr">
                  <a:defRPr lang="en-US" sz="24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'benchmark-execution'!$D$130:$D$131</c:f>
              <c:strCache>
                <c:ptCount val="2"/>
                <c:pt idx="0">
                  <c:v>SW-BGP</c:v>
                </c:pt>
                <c:pt idx="1">
                  <c:v>DB-BGP</c:v>
                </c:pt>
              </c:strCache>
            </c:strRef>
          </c:cat>
          <c:val>
            <c:numRef>
              <c:f>'benchmark-execution'!$K$130:$K$131</c:f>
              <c:numCache>
                <c:formatCode>0</c:formatCode>
                <c:ptCount val="2"/>
                <c:pt idx="0">
                  <c:v>1052.5229999999999</c:v>
                </c:pt>
                <c:pt idx="1">
                  <c:v>54745.728999999999</c:v>
                </c:pt>
              </c:numCache>
            </c:numRef>
          </c:val>
        </c:ser>
        <c:ser>
          <c:idx val="7"/>
          <c:order val="7"/>
          <c:tx>
            <c:strRef>
              <c:f>'benchmark-execution'!$L$129</c:f>
              <c:strCache>
                <c:ptCount val="1"/>
                <c:pt idx="0">
                  <c:v>MCL</c:v>
                </c:pt>
              </c:strCache>
            </c:strRef>
          </c:tx>
          <c:spPr>
            <a:pattFill prst="pct70">
              <a:fgClr>
                <a:schemeClr val="accent2">
                  <a:lumMod val="50000"/>
                </a:schemeClr>
              </a:fgClr>
              <a:bgClr>
                <a:schemeClr val="bg1"/>
              </a:bgClr>
            </a:pattFill>
            <a:ln>
              <a:noFill/>
            </a:ln>
            <a:effectLst/>
          </c:spPr>
          <c:invertIfNegative val="0"/>
          <c:dLbls>
            <c:spPr>
              <a:noFill/>
              <a:ln>
                <a:noFill/>
              </a:ln>
              <a:effectLst/>
            </c:spPr>
            <c:txPr>
              <a:bodyPr rot="-5400000" spcFirstLastPara="1" vertOverflow="clip" horzOverflow="clip" vert="horz" wrap="square" lIns="38100" tIns="19050" rIns="38100" bIns="19050" anchor="ctr" anchorCtr="0">
                <a:spAutoFit/>
              </a:bodyPr>
              <a:lstStyle/>
              <a:p>
                <a:pPr algn="ctr">
                  <a:defRPr lang="en-US" sz="24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'benchmark-execution'!$D$130:$D$131</c:f>
              <c:strCache>
                <c:ptCount val="2"/>
                <c:pt idx="0">
                  <c:v>SW-BGP</c:v>
                </c:pt>
                <c:pt idx="1">
                  <c:v>DB-BGP</c:v>
                </c:pt>
              </c:strCache>
            </c:strRef>
          </c:cat>
          <c:val>
            <c:numRef>
              <c:f>'benchmark-execution'!$L$130:$L$131</c:f>
              <c:numCache>
                <c:formatCode>0</c:formatCode>
                <c:ptCount val="2"/>
                <c:pt idx="0">
                  <c:v>1144.8310000000001</c:v>
                </c:pt>
                <c:pt idx="1">
                  <c:v>38271.864000000001</c:v>
                </c:pt>
              </c:numCache>
            </c:numRef>
          </c:val>
        </c:ser>
        <c:ser>
          <c:idx val="8"/>
          <c:order val="8"/>
          <c:tx>
            <c:strRef>
              <c:f>'benchmark-execution'!$M$129</c:f>
              <c:strCache>
                <c:ptCount val="1"/>
                <c:pt idx="0">
                  <c:v>PCo</c:v>
                </c:pt>
              </c:strCache>
            </c:strRef>
          </c:tx>
          <c:spPr>
            <a:pattFill prst="lgCheck">
              <a:fgClr>
                <a:schemeClr val="accent4">
                  <a:lumMod val="50000"/>
                </a:schemeClr>
              </a:fgClr>
              <a:bgClr>
                <a:schemeClr val="bg1"/>
              </a:bgClr>
            </a:pattFill>
            <a:ln>
              <a:noFill/>
            </a:ln>
            <a:effectLst/>
          </c:spPr>
          <c:invertIfNegative val="0"/>
          <c:dLbls>
            <c:spPr>
              <a:noFill/>
              <a:ln>
                <a:noFill/>
              </a:ln>
              <a:effectLst/>
            </c:spPr>
            <c:txPr>
              <a:bodyPr rot="-5400000" spcFirstLastPara="1" vertOverflow="clip" horzOverflow="clip" vert="horz" wrap="square" lIns="38100" tIns="19050" rIns="38100" bIns="19050" anchor="ctr" anchorCtr="0">
                <a:spAutoFit/>
              </a:bodyPr>
              <a:lstStyle/>
              <a:p>
                <a:pPr algn="ctr">
                  <a:defRPr lang="en-US" sz="24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'benchmark-execution'!$D$130:$D$131</c:f>
              <c:strCache>
                <c:ptCount val="2"/>
                <c:pt idx="0">
                  <c:v>SW-BGP</c:v>
                </c:pt>
                <c:pt idx="1">
                  <c:v>DB-BGP</c:v>
                </c:pt>
              </c:strCache>
            </c:strRef>
          </c:cat>
          <c:val>
            <c:numRef>
              <c:f>'benchmark-execution'!$M$130:$M$131</c:f>
              <c:numCache>
                <c:formatCode>0.0</c:formatCode>
                <c:ptCount val="2"/>
                <c:pt idx="0">
                  <c:v>987</c:v>
                </c:pt>
                <c:pt idx="1">
                  <c:v>15895.214</c:v>
                </c:pt>
              </c:numCache>
            </c:numRef>
          </c:val>
        </c:ser>
        <c:dLbls>
          <c:dLblPos val="outEnd"/>
          <c:showLegendKey val="0"/>
          <c:showVal val="1"/>
          <c:showCatName val="0"/>
          <c:showSerName val="0"/>
          <c:showPercent val="0"/>
          <c:showBubbleSize val="0"/>
        </c:dLbls>
        <c:gapWidth val="20"/>
        <c:overlap val="-20"/>
        <c:axId val="1165430592"/>
        <c:axId val="1165418624"/>
      </c:barChart>
      <c:catAx>
        <c:axId val="116543059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3200" b="1" i="0" u="none" strike="noStrike" kern="1200" cap="all" spc="120" normalizeH="0" baseline="0">
                <a:solidFill>
                  <a:sysClr val="windowText" lastClr="000000"/>
                </a:solidFill>
                <a:latin typeface="+mn-lt"/>
                <a:ea typeface="+mn-ea"/>
                <a:cs typeface="+mn-cs"/>
              </a:defRPr>
            </a:pPr>
            <a:endParaRPr lang="en-US"/>
          </a:p>
        </c:txPr>
        <c:crossAx val="1165418624"/>
        <c:crosses val="autoZero"/>
        <c:auto val="1"/>
        <c:lblAlgn val="ctr"/>
        <c:lblOffset val="100"/>
        <c:noMultiLvlLbl val="0"/>
      </c:catAx>
      <c:valAx>
        <c:axId val="1165418624"/>
        <c:scaling>
          <c:orientation val="minMax"/>
        </c:scaling>
        <c:delete val="1"/>
        <c:axPos val="l"/>
        <c:numFmt formatCode="0" sourceLinked="1"/>
        <c:majorTickMark val="none"/>
        <c:minorTickMark val="none"/>
        <c:tickLblPos val="nextTo"/>
        <c:crossAx val="1165430592"/>
        <c:crosses val="autoZero"/>
        <c:crossBetween val="between"/>
      </c:valAx>
      <c:spPr>
        <a:noFill/>
        <a:ln>
          <a:noFill/>
        </a:ln>
        <a:effectLst/>
      </c:spPr>
    </c:plotArea>
    <c:legend>
      <c:legendPos val="t"/>
      <c:layout>
        <c:manualLayout>
          <c:xMode val="edge"/>
          <c:yMode val="edge"/>
          <c:x val="2.8542852371251974E-2"/>
          <c:y val="0.90390681791057725"/>
          <c:w val="0.94742980414744482"/>
          <c:h val="9.4668997981967901E-2"/>
        </c:manualLayout>
      </c:layout>
      <c:overlay val="0"/>
      <c:spPr>
        <a:noFill/>
        <a:ln>
          <a:noFill/>
        </a:ln>
        <a:effectLst/>
      </c:spPr>
      <c:txPr>
        <a:bodyPr rot="0" spcFirstLastPara="1" vertOverflow="ellipsis" vert="horz" wrap="square" anchor="ctr" anchorCtr="1"/>
        <a:lstStyle/>
        <a:p>
          <a:pPr>
            <a:defRPr sz="4000" b="1"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4098412998254098"/>
          <c:y val="2.995674324590207E-2"/>
          <c:w val="0.72840178477706397"/>
          <c:h val="0.6138166574408348"/>
        </c:manualLayout>
      </c:layout>
      <c:barChart>
        <c:barDir val="col"/>
        <c:grouping val="stacked"/>
        <c:varyColors val="0"/>
        <c:ser>
          <c:idx val="0"/>
          <c:order val="0"/>
          <c:tx>
            <c:strRef>
              <c:f>'average-execution-time'!$B$4</c:f>
              <c:strCache>
                <c:ptCount val="1"/>
                <c:pt idx="0">
                  <c:v>SWDF BGP-only</c:v>
                </c:pt>
              </c:strCache>
            </c:strRef>
          </c:tx>
          <c:spPr>
            <a:pattFill prst="pct50">
              <a:fgClr>
                <a:srgbClr val="92D050"/>
              </a:fgClr>
              <a:bgClr>
                <a:schemeClr val="bg1"/>
              </a:bgClr>
            </a:patt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'average-execution-time'!$A$5:$A$12</c:f>
              <c:strCache>
                <c:ptCount val="8"/>
                <c:pt idx="0">
                  <c:v>PB</c:v>
                </c:pt>
                <c:pt idx="1">
                  <c:v>SB</c:v>
                </c:pt>
                <c:pt idx="2">
                  <c:v>Hi</c:v>
                </c:pt>
                <c:pt idx="3">
                  <c:v>Ho</c:v>
                </c:pt>
                <c:pt idx="4">
                  <c:v>TC</c:v>
                </c:pt>
                <c:pt idx="5">
                  <c:v>ME</c:v>
                </c:pt>
                <c:pt idx="6">
                  <c:v>RB</c:v>
                </c:pt>
                <c:pt idx="7">
                  <c:v>MCL</c:v>
                </c:pt>
              </c:strCache>
            </c:strRef>
          </c:cat>
          <c:val>
            <c:numRef>
              <c:f>'average-execution-time'!$B$5:$B$12</c:f>
              <c:numCache>
                <c:formatCode>0.00</c:formatCode>
                <c:ptCount val="8"/>
                <c:pt idx="0">
                  <c:v>3.7893333333333327E-2</c:v>
                </c:pt>
                <c:pt idx="1">
                  <c:v>6.6883333333333336E-2</c:v>
                </c:pt>
                <c:pt idx="2">
                  <c:v>6.9409999999999999E-2</c:v>
                </c:pt>
                <c:pt idx="3">
                  <c:v>5.7096666666666664E-2</c:v>
                </c:pt>
                <c:pt idx="4">
                  <c:v>6.6849999999999993E-2</c:v>
                </c:pt>
                <c:pt idx="5">
                  <c:v>6.8043333333333331E-2</c:v>
                </c:pt>
                <c:pt idx="6">
                  <c:v>6.7110000000000003E-2</c:v>
                </c:pt>
                <c:pt idx="7">
                  <c:v>5.3179999999999998E-2</c:v>
                </c:pt>
              </c:numCache>
            </c:numRef>
          </c:val>
        </c:ser>
        <c:ser>
          <c:idx val="1"/>
          <c:order val="1"/>
          <c:tx>
            <c:strRef>
              <c:f>'average-execution-time'!$C$4</c:f>
              <c:strCache>
                <c:ptCount val="1"/>
                <c:pt idx="0">
                  <c:v>SWDF fully-featured</c:v>
                </c:pt>
              </c:strCache>
            </c:strRef>
          </c:tx>
          <c:spPr>
            <a:pattFill prst="pct90">
              <a:fgClr>
                <a:schemeClr val="accent4">
                  <a:lumMod val="75000"/>
                </a:schemeClr>
              </a:fgClr>
              <a:bgClr>
                <a:schemeClr val="bg1"/>
              </a:bgClr>
            </a:patt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'average-execution-time'!$A$5:$A$12</c:f>
              <c:strCache>
                <c:ptCount val="8"/>
                <c:pt idx="0">
                  <c:v>PB</c:v>
                </c:pt>
                <c:pt idx="1">
                  <c:v>SB</c:v>
                </c:pt>
                <c:pt idx="2">
                  <c:v>Hi</c:v>
                </c:pt>
                <c:pt idx="3">
                  <c:v>Ho</c:v>
                </c:pt>
                <c:pt idx="4">
                  <c:v>TC</c:v>
                </c:pt>
                <c:pt idx="5">
                  <c:v>ME</c:v>
                </c:pt>
                <c:pt idx="6">
                  <c:v>RB</c:v>
                </c:pt>
                <c:pt idx="7">
                  <c:v>MCL</c:v>
                </c:pt>
              </c:strCache>
            </c:strRef>
          </c:cat>
          <c:val>
            <c:numRef>
              <c:f>'average-execution-time'!$C$5:$C$12</c:f>
              <c:numCache>
                <c:formatCode>0.00</c:formatCode>
                <c:ptCount val="8"/>
                <c:pt idx="0">
                  <c:v>4.4033018867924527</c:v>
                </c:pt>
                <c:pt idx="1">
                  <c:v>4.4435543478260868</c:v>
                </c:pt>
                <c:pt idx="2">
                  <c:v>4.434007352941177</c:v>
                </c:pt>
                <c:pt idx="3">
                  <c:v>4.1937534722222223</c:v>
                </c:pt>
                <c:pt idx="4">
                  <c:v>4.3894818840579708</c:v>
                </c:pt>
                <c:pt idx="5">
                  <c:v>4.4353814814814818</c:v>
                </c:pt>
                <c:pt idx="6">
                  <c:v>4.8481316725978649</c:v>
                </c:pt>
                <c:pt idx="7">
                  <c:v>4.653517857142857</c:v>
                </c:pt>
              </c:numCache>
            </c:numRef>
          </c:val>
        </c:ser>
        <c:ser>
          <c:idx val="2"/>
          <c:order val="2"/>
          <c:tx>
            <c:strRef>
              <c:f>'average-execution-time'!$D$4</c:f>
              <c:strCache>
                <c:ptCount val="1"/>
                <c:pt idx="0">
                  <c:v>DBpedia BGP-only</c:v>
                </c:pt>
              </c:strCache>
            </c:strRef>
          </c:tx>
          <c:spPr>
            <a:pattFill prst="pct75">
              <a:fgClr>
                <a:schemeClr val="accent6"/>
              </a:fgClr>
              <a:bgClr>
                <a:schemeClr val="bg1"/>
              </a:bgClr>
            </a:patt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'average-execution-time'!$A$5:$A$12</c:f>
              <c:strCache>
                <c:ptCount val="8"/>
                <c:pt idx="0">
                  <c:v>PB</c:v>
                </c:pt>
                <c:pt idx="1">
                  <c:v>SB</c:v>
                </c:pt>
                <c:pt idx="2">
                  <c:v>Hi</c:v>
                </c:pt>
                <c:pt idx="3">
                  <c:v>Ho</c:v>
                </c:pt>
                <c:pt idx="4">
                  <c:v>TC</c:v>
                </c:pt>
                <c:pt idx="5">
                  <c:v>ME</c:v>
                </c:pt>
                <c:pt idx="6">
                  <c:v>RB</c:v>
                </c:pt>
                <c:pt idx="7">
                  <c:v>MCL</c:v>
                </c:pt>
              </c:strCache>
            </c:strRef>
          </c:cat>
          <c:val>
            <c:numRef>
              <c:f>'average-execution-time'!$D$5:$D$12</c:f>
              <c:numCache>
                <c:formatCode>0.00</c:formatCode>
                <c:ptCount val="8"/>
                <c:pt idx="0">
                  <c:v>23.201458955223881</c:v>
                </c:pt>
                <c:pt idx="1">
                  <c:v>10.103756457564575</c:v>
                </c:pt>
                <c:pt idx="2">
                  <c:v>10.488319852941176</c:v>
                </c:pt>
                <c:pt idx="3">
                  <c:v>10.06489219330855</c:v>
                </c:pt>
                <c:pt idx="4">
                  <c:v>8.6665433962264142</c:v>
                </c:pt>
                <c:pt idx="5">
                  <c:v>9.0048113207547171</c:v>
                </c:pt>
                <c:pt idx="6">
                  <c:v>8.2033656716417926</c:v>
                </c:pt>
                <c:pt idx="7">
                  <c:v>6.3044846153846157</c:v>
                </c:pt>
              </c:numCache>
            </c:numRef>
          </c:val>
        </c:ser>
        <c:ser>
          <c:idx val="3"/>
          <c:order val="3"/>
          <c:tx>
            <c:strRef>
              <c:f>'average-execution-time'!$E$4</c:f>
              <c:strCache>
                <c:ptCount val="1"/>
                <c:pt idx="0">
                  <c:v>DBpedia fully-featured</c:v>
                </c:pt>
              </c:strCache>
            </c:strRef>
          </c:tx>
          <c:spPr>
            <a:solidFill>
              <a:schemeClr val="accent2">
                <a:lumMod val="60000"/>
              </a:schemeClr>
            </a:solidFill>
            <a:ln>
              <a:noFill/>
            </a:ln>
            <a:effectLst/>
          </c:spPr>
          <c:invertIfNegative val="0"/>
          <c:dLbls>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'average-execution-time'!$A$5:$A$12</c:f>
              <c:strCache>
                <c:ptCount val="8"/>
                <c:pt idx="0">
                  <c:v>PB</c:v>
                </c:pt>
                <c:pt idx="1">
                  <c:v>SB</c:v>
                </c:pt>
                <c:pt idx="2">
                  <c:v>Hi</c:v>
                </c:pt>
                <c:pt idx="3">
                  <c:v>Ho</c:v>
                </c:pt>
                <c:pt idx="4">
                  <c:v>TC</c:v>
                </c:pt>
                <c:pt idx="5">
                  <c:v>ME</c:v>
                </c:pt>
                <c:pt idx="6">
                  <c:v>RB</c:v>
                </c:pt>
                <c:pt idx="7">
                  <c:v>MCL</c:v>
                </c:pt>
              </c:strCache>
            </c:strRef>
          </c:cat>
          <c:val>
            <c:numRef>
              <c:f>'average-execution-time'!$E$5:$E$12</c:f>
              <c:numCache>
                <c:formatCode>0.00</c:formatCode>
                <c:ptCount val="8"/>
                <c:pt idx="0">
                  <c:v>5.5859559471365641</c:v>
                </c:pt>
                <c:pt idx="1">
                  <c:v>11.62226406926407</c:v>
                </c:pt>
                <c:pt idx="2">
                  <c:v>9.1643086956521742</c:v>
                </c:pt>
                <c:pt idx="3">
                  <c:v>7.6047929515418504</c:v>
                </c:pt>
                <c:pt idx="4">
                  <c:v>8.6596478260869567</c:v>
                </c:pt>
                <c:pt idx="5">
                  <c:v>8.2238141592920346</c:v>
                </c:pt>
                <c:pt idx="6">
                  <c:v>6.963621739130434</c:v>
                </c:pt>
                <c:pt idx="7">
                  <c:v>8.5278879310344813</c:v>
                </c:pt>
              </c:numCache>
            </c:numRef>
          </c:val>
        </c:ser>
        <c:dLbls>
          <c:dLblPos val="ctr"/>
          <c:showLegendKey val="0"/>
          <c:showVal val="1"/>
          <c:showCatName val="0"/>
          <c:showSerName val="0"/>
          <c:showPercent val="0"/>
          <c:showBubbleSize val="0"/>
        </c:dLbls>
        <c:gapWidth val="40"/>
        <c:overlap val="100"/>
        <c:axId val="1165419168"/>
        <c:axId val="1165426784"/>
      </c:barChart>
      <c:catAx>
        <c:axId val="11654191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endParaRPr lang="en-US"/>
          </a:p>
        </c:txPr>
        <c:crossAx val="1165426784"/>
        <c:crossesAt val="1.0000000000000002E-2"/>
        <c:auto val="1"/>
        <c:lblAlgn val="ctr"/>
        <c:lblOffset val="100"/>
        <c:noMultiLvlLbl val="0"/>
      </c:catAx>
      <c:valAx>
        <c:axId val="1165426784"/>
        <c:scaling>
          <c:logBase val="10"/>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ysClr val="windowText" lastClr="000000"/>
                    </a:solidFill>
                    <a:latin typeface="+mn-lt"/>
                    <a:ea typeface="+mn-ea"/>
                    <a:cs typeface="+mn-cs"/>
                  </a:defRPr>
                </a:pPr>
                <a:r>
                  <a:rPr lang="en-US" sz="1400" b="1">
                    <a:solidFill>
                      <a:sysClr val="windowText" lastClr="000000"/>
                    </a:solidFill>
                  </a:rPr>
                  <a:t>Average execution time in sec </a:t>
                </a:r>
              </a:p>
              <a:p>
                <a:pPr>
                  <a:defRPr sz="1400" b="1">
                    <a:solidFill>
                      <a:sysClr val="windowText" lastClr="000000"/>
                    </a:solidFill>
                  </a:defRPr>
                </a:pPr>
                <a:r>
                  <a:rPr lang="en-US" sz="1400" b="1">
                    <a:solidFill>
                      <a:sysClr val="windowText" lastClr="000000"/>
                    </a:solidFill>
                  </a:rPr>
                  <a:t>(log scale)</a:t>
                </a:r>
              </a:p>
              <a:p>
                <a:pPr>
                  <a:defRPr sz="1400" b="1">
                    <a:solidFill>
                      <a:sysClr val="windowText" lastClr="000000"/>
                    </a:solidFill>
                  </a:defRPr>
                </a:pPr>
                <a:endParaRPr lang="en-US" sz="1400" b="1">
                  <a:solidFill>
                    <a:sysClr val="windowText" lastClr="000000"/>
                  </a:solidFill>
                </a:endParaRPr>
              </a:p>
            </c:rich>
          </c:tx>
          <c:overlay val="0"/>
          <c:spPr>
            <a:noFill/>
            <a:ln>
              <a:noFill/>
            </a:ln>
            <a:effectLst/>
          </c:spPr>
          <c:txPr>
            <a:bodyPr rot="-5400000" spcFirstLastPara="1" vertOverflow="ellipsis" vert="horz" wrap="square" anchor="ctr" anchorCtr="1"/>
            <a:lstStyle/>
            <a:p>
              <a:pPr>
                <a:defRPr sz="1400" b="1" i="0" u="none" strike="noStrike" kern="1200" baseline="0">
                  <a:solidFill>
                    <a:sysClr val="windowText" lastClr="000000"/>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endParaRPr lang="en-US"/>
          </a:p>
        </c:txPr>
        <c:crossAx val="1165419168"/>
        <c:crosses val="autoZero"/>
        <c:crossBetween val="between"/>
      </c:valAx>
      <c:spPr>
        <a:noFill/>
        <a:ln>
          <a:noFill/>
        </a:ln>
        <a:effectLst/>
      </c:spPr>
    </c:plotArea>
    <c:legend>
      <c:legendPos val="b"/>
      <c:layout>
        <c:manualLayout>
          <c:xMode val="edge"/>
          <c:yMode val="edge"/>
          <c:x val="6.8318227521640143E-2"/>
          <c:y val="0.75732938409762829"/>
          <c:w val="0.92899732220704101"/>
          <c:h val="0.18132607889905716"/>
        </c:manualLayout>
      </c:layout>
      <c:overlay val="0"/>
      <c:spPr>
        <a:noFill/>
        <a:ln>
          <a:noFill/>
        </a:ln>
        <a:effectLst/>
      </c:spPr>
      <c:txPr>
        <a:bodyPr rot="0" spcFirstLastPara="1" vertOverflow="ellipsis" vert="horz" wrap="square" anchor="ctr" anchorCtr="1"/>
        <a:lstStyle/>
        <a:p>
          <a:pPr>
            <a:defRPr sz="1400" b="1"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3568734391922933"/>
          <c:y val="5.0194006015789848E-2"/>
          <c:w val="0.73363452218971159"/>
          <c:h val="0.71487945973332989"/>
        </c:manualLayout>
      </c:layout>
      <c:barChart>
        <c:barDir val="col"/>
        <c:grouping val="stacked"/>
        <c:varyColors val="0"/>
        <c:ser>
          <c:idx val="0"/>
          <c:order val="0"/>
          <c:tx>
            <c:strRef>
              <c:f>'average-execution-time'!$B$36</c:f>
              <c:strCache>
                <c:ptCount val="1"/>
                <c:pt idx="0">
                  <c:v>SWDF BGP-only</c:v>
                </c:pt>
              </c:strCache>
            </c:strRef>
          </c:tx>
          <c:spPr>
            <a:pattFill prst="pct90">
              <a:fgClr>
                <a:schemeClr val="accent4">
                  <a:lumMod val="75000"/>
                </a:schemeClr>
              </a:fgClr>
              <a:bgClr>
                <a:schemeClr val="bg1"/>
              </a:bgClr>
            </a:patt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'average-execution-time'!$A$37:$A$44</c:f>
              <c:strCache>
                <c:ptCount val="8"/>
                <c:pt idx="0">
                  <c:v>PB</c:v>
                </c:pt>
                <c:pt idx="1">
                  <c:v>SB</c:v>
                </c:pt>
                <c:pt idx="2">
                  <c:v>Hi</c:v>
                </c:pt>
                <c:pt idx="3">
                  <c:v>Ho</c:v>
                </c:pt>
                <c:pt idx="4">
                  <c:v>TC</c:v>
                </c:pt>
                <c:pt idx="5">
                  <c:v>ME</c:v>
                </c:pt>
                <c:pt idx="6">
                  <c:v>RB</c:v>
                </c:pt>
                <c:pt idx="7">
                  <c:v>MCL</c:v>
                </c:pt>
              </c:strCache>
            </c:strRef>
          </c:cat>
          <c:val>
            <c:numRef>
              <c:f>'average-execution-time'!$B$37:$B$44</c:f>
              <c:numCache>
                <c:formatCode>0.0</c:formatCode>
                <c:ptCount val="8"/>
                <c:pt idx="0">
                  <c:v>3.663923333333333</c:v>
                </c:pt>
                <c:pt idx="1">
                  <c:v>3.5217433333333332</c:v>
                </c:pt>
                <c:pt idx="2">
                  <c:v>3.5112700000000001</c:v>
                </c:pt>
                <c:pt idx="3">
                  <c:v>3.4685166666666669</c:v>
                </c:pt>
                <c:pt idx="4">
                  <c:v>3.5047366666666666</c:v>
                </c:pt>
                <c:pt idx="5">
                  <c:v>3.5088566666666665</c:v>
                </c:pt>
                <c:pt idx="6">
                  <c:v>3.8161033333333334</c:v>
                </c:pt>
                <c:pt idx="7">
                  <c:v>3.8161033333333334</c:v>
                </c:pt>
              </c:numCache>
            </c:numRef>
          </c:val>
        </c:ser>
        <c:ser>
          <c:idx val="1"/>
          <c:order val="1"/>
          <c:tx>
            <c:strRef>
              <c:f>'average-execution-time'!$C$36</c:f>
              <c:strCache>
                <c:ptCount val="1"/>
                <c:pt idx="0">
                  <c:v>DBpedia BGP-only</c:v>
                </c:pt>
              </c:strCache>
            </c:strRef>
          </c:tx>
          <c:spPr>
            <a:pattFill prst="pct75">
              <a:fgClr>
                <a:schemeClr val="accent6"/>
              </a:fgClr>
              <a:bgClr>
                <a:schemeClr val="bg1"/>
              </a:bgClr>
            </a:patt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'average-execution-time'!$A$37:$A$44</c:f>
              <c:strCache>
                <c:ptCount val="8"/>
                <c:pt idx="0">
                  <c:v>PB</c:v>
                </c:pt>
                <c:pt idx="1">
                  <c:v>SB</c:v>
                </c:pt>
                <c:pt idx="2">
                  <c:v>Hi</c:v>
                </c:pt>
                <c:pt idx="3">
                  <c:v>Ho</c:v>
                </c:pt>
                <c:pt idx="4">
                  <c:v>TC</c:v>
                </c:pt>
                <c:pt idx="5">
                  <c:v>ME</c:v>
                </c:pt>
                <c:pt idx="6">
                  <c:v>RB</c:v>
                </c:pt>
                <c:pt idx="7">
                  <c:v>MCL</c:v>
                </c:pt>
              </c:strCache>
            </c:strRef>
          </c:cat>
          <c:val>
            <c:numRef>
              <c:f>'average-execution-time'!$C$37:$C$44</c:f>
              <c:numCache>
                <c:formatCode>0.0</c:formatCode>
                <c:ptCount val="8"/>
                <c:pt idx="0">
                  <c:v>71.673744444444438</c:v>
                </c:pt>
                <c:pt idx="1">
                  <c:v>32.30966423357664</c:v>
                </c:pt>
                <c:pt idx="2">
                  <c:v>77.351153846153849</c:v>
                </c:pt>
                <c:pt idx="3">
                  <c:v>5.3177169811320759</c:v>
                </c:pt>
                <c:pt idx="4">
                  <c:v>47.016414414414413</c:v>
                </c:pt>
                <c:pt idx="5">
                  <c:v>17.464217948717948</c:v>
                </c:pt>
                <c:pt idx="6" formatCode="0">
                  <c:v>1105.729</c:v>
                </c:pt>
                <c:pt idx="7">
                  <c:v>41.177357142857147</c:v>
                </c:pt>
              </c:numCache>
            </c:numRef>
          </c:val>
        </c:ser>
        <c:dLbls>
          <c:dLblPos val="ctr"/>
          <c:showLegendKey val="0"/>
          <c:showVal val="1"/>
          <c:showCatName val="0"/>
          <c:showSerName val="0"/>
          <c:showPercent val="0"/>
          <c:showBubbleSize val="0"/>
        </c:dLbls>
        <c:gapWidth val="40"/>
        <c:overlap val="100"/>
        <c:axId val="1165421888"/>
        <c:axId val="1165422976"/>
      </c:barChart>
      <c:catAx>
        <c:axId val="11654218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endParaRPr lang="en-US"/>
          </a:p>
        </c:txPr>
        <c:crossAx val="1165422976"/>
        <c:crossesAt val="1.0000000000000002E-2"/>
        <c:auto val="1"/>
        <c:lblAlgn val="ctr"/>
        <c:lblOffset val="100"/>
        <c:noMultiLvlLbl val="0"/>
      </c:catAx>
      <c:valAx>
        <c:axId val="1165422976"/>
        <c:scaling>
          <c:logBase val="10"/>
          <c:orientation val="minMax"/>
          <c:max val="1000"/>
          <c:min val="1.0000000000000002E-2"/>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ysClr val="windowText" lastClr="000000"/>
                    </a:solidFill>
                    <a:latin typeface="+mn-lt"/>
                    <a:ea typeface="+mn-ea"/>
                    <a:cs typeface="+mn-cs"/>
                  </a:defRPr>
                </a:pPr>
                <a:r>
                  <a:rPr lang="en-US" sz="1400" b="1">
                    <a:solidFill>
                      <a:sysClr val="windowText" lastClr="000000"/>
                    </a:solidFill>
                  </a:rPr>
                  <a:t>Average execution time in sec </a:t>
                </a:r>
              </a:p>
              <a:p>
                <a:pPr>
                  <a:defRPr sz="1400" b="1">
                    <a:solidFill>
                      <a:sysClr val="windowText" lastClr="000000"/>
                    </a:solidFill>
                  </a:defRPr>
                </a:pPr>
                <a:r>
                  <a:rPr lang="en-US" sz="1400" b="1">
                    <a:solidFill>
                      <a:sysClr val="windowText" lastClr="000000"/>
                    </a:solidFill>
                  </a:rPr>
                  <a:t>(log scale)</a:t>
                </a:r>
              </a:p>
              <a:p>
                <a:pPr>
                  <a:defRPr sz="1400" b="1">
                    <a:solidFill>
                      <a:sysClr val="windowText" lastClr="000000"/>
                    </a:solidFill>
                  </a:defRPr>
                </a:pPr>
                <a:endParaRPr lang="en-US" sz="1400" b="1">
                  <a:solidFill>
                    <a:sysClr val="windowText" lastClr="000000"/>
                  </a:solidFill>
                </a:endParaRPr>
              </a:p>
            </c:rich>
          </c:tx>
          <c:overlay val="0"/>
          <c:spPr>
            <a:noFill/>
            <a:ln>
              <a:noFill/>
            </a:ln>
            <a:effectLst/>
          </c:spPr>
          <c:txPr>
            <a:bodyPr rot="-5400000" spcFirstLastPara="1" vertOverflow="ellipsis" vert="horz" wrap="square" anchor="ctr" anchorCtr="1"/>
            <a:lstStyle/>
            <a:p>
              <a:pPr>
                <a:defRPr sz="1400" b="1" i="0" u="none" strike="noStrike" kern="1200" baseline="0">
                  <a:solidFill>
                    <a:sysClr val="windowText" lastClr="000000"/>
                  </a:solidFill>
                  <a:latin typeface="+mn-lt"/>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endParaRPr lang="en-US"/>
          </a:p>
        </c:txPr>
        <c:crossAx val="1165421888"/>
        <c:crosses val="autoZero"/>
        <c:crossBetween val="between"/>
      </c:valAx>
      <c:spPr>
        <a:noFill/>
        <a:ln>
          <a:noFill/>
        </a:ln>
        <a:effectLst/>
      </c:spPr>
    </c:plotArea>
    <c:legend>
      <c:legendPos val="b"/>
      <c:layout>
        <c:manualLayout>
          <c:xMode val="edge"/>
          <c:yMode val="edge"/>
          <c:x val="0.23563969069765189"/>
          <c:y val="0.8862993272320312"/>
          <c:w val="0.76299000468187417"/>
          <c:h val="9.3338057887547052E-2"/>
        </c:manualLayout>
      </c:layout>
      <c:overlay val="0"/>
      <c:spPr>
        <a:noFill/>
        <a:ln>
          <a:noFill/>
        </a:ln>
        <a:effectLst/>
      </c:spPr>
      <c:txPr>
        <a:bodyPr rot="0" spcFirstLastPara="1" vertOverflow="ellipsis" vert="horz" wrap="square" anchor="ctr" anchorCtr="1"/>
        <a:lstStyle/>
        <a:p>
          <a:pPr>
            <a:defRPr sz="1400" b="1"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4098412998254098"/>
          <c:y val="2.995674324590207E-2"/>
          <c:w val="0.72840178477706397"/>
          <c:h val="0.6138166574408348"/>
        </c:manualLayout>
      </c:layout>
      <c:barChart>
        <c:barDir val="col"/>
        <c:grouping val="stacked"/>
        <c:varyColors val="0"/>
        <c:ser>
          <c:idx val="0"/>
          <c:order val="0"/>
          <c:tx>
            <c:strRef>
              <c:f>'average-execution-time'!$B$4</c:f>
              <c:strCache>
                <c:ptCount val="1"/>
                <c:pt idx="0">
                  <c:v>SWDF BGP-only</c:v>
                </c:pt>
              </c:strCache>
            </c:strRef>
          </c:tx>
          <c:spPr>
            <a:pattFill prst="pct50">
              <a:fgClr>
                <a:srgbClr val="92D050"/>
              </a:fgClr>
              <a:bgClr>
                <a:schemeClr val="bg1"/>
              </a:bgClr>
            </a:patt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'average-execution-time'!$A$21:$A$28</c:f>
              <c:strCache>
                <c:ptCount val="8"/>
                <c:pt idx="0">
                  <c:v>PB</c:v>
                </c:pt>
                <c:pt idx="1">
                  <c:v>SB</c:v>
                </c:pt>
                <c:pt idx="2">
                  <c:v>Hi</c:v>
                </c:pt>
                <c:pt idx="3">
                  <c:v>Ho</c:v>
                </c:pt>
                <c:pt idx="4">
                  <c:v>TC</c:v>
                </c:pt>
                <c:pt idx="5">
                  <c:v>ME</c:v>
                </c:pt>
                <c:pt idx="6">
                  <c:v>RB</c:v>
                </c:pt>
                <c:pt idx="7">
                  <c:v>MCL</c:v>
                </c:pt>
              </c:strCache>
            </c:strRef>
          </c:cat>
          <c:val>
            <c:numRef>
              <c:f>'average-execution-time'!$B$21:$B$28</c:f>
              <c:numCache>
                <c:formatCode>0.00</c:formatCode>
                <c:ptCount val="8"/>
                <c:pt idx="0">
                  <c:v>0.27260333333333336</c:v>
                </c:pt>
                <c:pt idx="1">
                  <c:v>0.16893333333333332</c:v>
                </c:pt>
                <c:pt idx="2">
                  <c:v>0.16966333333333333</c:v>
                </c:pt>
                <c:pt idx="3">
                  <c:v>0.49239666666666665</c:v>
                </c:pt>
                <c:pt idx="4">
                  <c:v>0.16278999999999999</c:v>
                </c:pt>
                <c:pt idx="5">
                  <c:v>0.16634666666666667</c:v>
                </c:pt>
                <c:pt idx="6">
                  <c:v>0.17179</c:v>
                </c:pt>
                <c:pt idx="7">
                  <c:v>0.58134666666666668</c:v>
                </c:pt>
              </c:numCache>
            </c:numRef>
          </c:val>
        </c:ser>
        <c:ser>
          <c:idx val="1"/>
          <c:order val="1"/>
          <c:tx>
            <c:strRef>
              <c:f>'average-execution-time'!$C$4</c:f>
              <c:strCache>
                <c:ptCount val="1"/>
                <c:pt idx="0">
                  <c:v>SWDF fully-featured</c:v>
                </c:pt>
              </c:strCache>
            </c:strRef>
          </c:tx>
          <c:spPr>
            <a:pattFill prst="pct90">
              <a:fgClr>
                <a:schemeClr val="accent4">
                  <a:lumMod val="75000"/>
                </a:schemeClr>
              </a:fgClr>
              <a:bgClr>
                <a:schemeClr val="bg1"/>
              </a:bgClr>
            </a:patt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'average-execution-time'!$A$21:$A$28</c:f>
              <c:strCache>
                <c:ptCount val="8"/>
                <c:pt idx="0">
                  <c:v>PB</c:v>
                </c:pt>
                <c:pt idx="1">
                  <c:v>SB</c:v>
                </c:pt>
                <c:pt idx="2">
                  <c:v>Hi</c:v>
                </c:pt>
                <c:pt idx="3">
                  <c:v>Ho</c:v>
                </c:pt>
                <c:pt idx="4">
                  <c:v>TC</c:v>
                </c:pt>
                <c:pt idx="5">
                  <c:v>ME</c:v>
                </c:pt>
                <c:pt idx="6">
                  <c:v>RB</c:v>
                </c:pt>
                <c:pt idx="7">
                  <c:v>MCL</c:v>
                </c:pt>
              </c:strCache>
            </c:strRef>
          </c:cat>
          <c:val>
            <c:numRef>
              <c:f>'average-execution-time'!$C$21:$C$28</c:f>
              <c:numCache>
                <c:formatCode>0.00</c:formatCode>
                <c:ptCount val="8"/>
                <c:pt idx="0">
                  <c:v>0.76762857142857133</c:v>
                </c:pt>
                <c:pt idx="1">
                  <c:v>1.4986428571428572</c:v>
                </c:pt>
                <c:pt idx="2">
                  <c:v>1.5745892857142858</c:v>
                </c:pt>
                <c:pt idx="3">
                  <c:v>0.93783985765124556</c:v>
                </c:pt>
                <c:pt idx="4">
                  <c:v>1.5332000000000001</c:v>
                </c:pt>
                <c:pt idx="5">
                  <c:v>1.5600611510791367</c:v>
                </c:pt>
                <c:pt idx="6">
                  <c:v>1.633494623655914</c:v>
                </c:pt>
                <c:pt idx="7">
                  <c:v>1.5257058823529412</c:v>
                </c:pt>
              </c:numCache>
            </c:numRef>
          </c:val>
        </c:ser>
        <c:ser>
          <c:idx val="2"/>
          <c:order val="2"/>
          <c:tx>
            <c:strRef>
              <c:f>'average-execution-time'!$D$4</c:f>
              <c:strCache>
                <c:ptCount val="1"/>
                <c:pt idx="0">
                  <c:v>DBpedia BGP-only</c:v>
                </c:pt>
              </c:strCache>
            </c:strRef>
          </c:tx>
          <c:spPr>
            <a:pattFill prst="pct75">
              <a:fgClr>
                <a:schemeClr val="accent6"/>
              </a:fgClr>
              <a:bgClr>
                <a:schemeClr val="bg1"/>
              </a:bgClr>
            </a:patt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'average-execution-time'!$A$21:$A$28</c:f>
              <c:strCache>
                <c:ptCount val="8"/>
                <c:pt idx="0">
                  <c:v>PB</c:v>
                </c:pt>
                <c:pt idx="1">
                  <c:v>SB</c:v>
                </c:pt>
                <c:pt idx="2">
                  <c:v>Hi</c:v>
                </c:pt>
                <c:pt idx="3">
                  <c:v>Ho</c:v>
                </c:pt>
                <c:pt idx="4">
                  <c:v>TC</c:v>
                </c:pt>
                <c:pt idx="5">
                  <c:v>ME</c:v>
                </c:pt>
                <c:pt idx="6">
                  <c:v>RB</c:v>
                </c:pt>
                <c:pt idx="7">
                  <c:v>MCL</c:v>
                </c:pt>
              </c:strCache>
            </c:strRef>
          </c:cat>
          <c:val>
            <c:numRef>
              <c:f>'average-execution-time'!$D$21:$D$28</c:f>
              <c:numCache>
                <c:formatCode>0.00</c:formatCode>
                <c:ptCount val="8"/>
                <c:pt idx="0">
                  <c:v>3.8285358490566037</c:v>
                </c:pt>
                <c:pt idx="1">
                  <c:v>7.9711433962264158</c:v>
                </c:pt>
                <c:pt idx="2">
                  <c:v>7.0970187265917604</c:v>
                </c:pt>
                <c:pt idx="3">
                  <c:v>8.613917293233083</c:v>
                </c:pt>
                <c:pt idx="4">
                  <c:v>6.8874269662921348</c:v>
                </c:pt>
                <c:pt idx="5">
                  <c:v>8.847443609022557</c:v>
                </c:pt>
                <c:pt idx="6">
                  <c:v>7.8854377358490568</c:v>
                </c:pt>
                <c:pt idx="7">
                  <c:v>11.152810714285714</c:v>
                </c:pt>
              </c:numCache>
            </c:numRef>
          </c:val>
        </c:ser>
        <c:ser>
          <c:idx val="3"/>
          <c:order val="3"/>
          <c:tx>
            <c:strRef>
              <c:f>'average-execution-time'!$E$4</c:f>
              <c:strCache>
                <c:ptCount val="1"/>
                <c:pt idx="0">
                  <c:v>DBpedia fully-featured</c:v>
                </c:pt>
              </c:strCache>
            </c:strRef>
          </c:tx>
          <c:spPr>
            <a:solidFill>
              <a:schemeClr val="accent2">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'average-execution-time'!$A$21:$A$28</c:f>
              <c:strCache>
                <c:ptCount val="8"/>
                <c:pt idx="0">
                  <c:v>PB</c:v>
                </c:pt>
                <c:pt idx="1">
                  <c:v>SB</c:v>
                </c:pt>
                <c:pt idx="2">
                  <c:v>Hi</c:v>
                </c:pt>
                <c:pt idx="3">
                  <c:v>Ho</c:v>
                </c:pt>
                <c:pt idx="4">
                  <c:v>TC</c:v>
                </c:pt>
                <c:pt idx="5">
                  <c:v>ME</c:v>
                </c:pt>
                <c:pt idx="6">
                  <c:v>RB</c:v>
                </c:pt>
                <c:pt idx="7">
                  <c:v>MCL</c:v>
                </c:pt>
              </c:strCache>
            </c:strRef>
          </c:cat>
          <c:val>
            <c:numRef>
              <c:f>'average-execution-time'!$E$21:$E$28</c:f>
              <c:numCache>
                <c:formatCode>0.00</c:formatCode>
                <c:ptCount val="8"/>
                <c:pt idx="0">
                  <c:v>6.5600730593607306</c:v>
                </c:pt>
                <c:pt idx="1">
                  <c:v>11.934843317972351</c:v>
                </c:pt>
                <c:pt idx="2">
                  <c:v>12.556018099547511</c:v>
                </c:pt>
                <c:pt idx="3">
                  <c:v>18.264055299539169</c:v>
                </c:pt>
                <c:pt idx="4">
                  <c:v>7.5148511627906975</c:v>
                </c:pt>
                <c:pt idx="5">
                  <c:v>12.826486111111111</c:v>
                </c:pt>
                <c:pt idx="6">
                  <c:v>12.451826484018266</c:v>
                </c:pt>
                <c:pt idx="7">
                  <c:v>14.330755020080321</c:v>
                </c:pt>
              </c:numCache>
            </c:numRef>
          </c:val>
        </c:ser>
        <c:dLbls>
          <c:dLblPos val="ctr"/>
          <c:showLegendKey val="0"/>
          <c:showVal val="1"/>
          <c:showCatName val="0"/>
          <c:showSerName val="0"/>
          <c:showPercent val="0"/>
          <c:showBubbleSize val="0"/>
        </c:dLbls>
        <c:gapWidth val="40"/>
        <c:overlap val="100"/>
        <c:axId val="1165425696"/>
        <c:axId val="1118641488"/>
      </c:barChart>
      <c:catAx>
        <c:axId val="11654256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endParaRPr lang="en-US"/>
          </a:p>
        </c:txPr>
        <c:crossAx val="1118641488"/>
        <c:crossesAt val="1.0000000000000002E-2"/>
        <c:auto val="1"/>
        <c:lblAlgn val="ctr"/>
        <c:lblOffset val="100"/>
        <c:noMultiLvlLbl val="0"/>
      </c:catAx>
      <c:valAx>
        <c:axId val="1118641488"/>
        <c:scaling>
          <c:logBase val="10"/>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ysClr val="windowText" lastClr="000000"/>
                    </a:solidFill>
                    <a:latin typeface="+mn-lt"/>
                    <a:ea typeface="+mn-ea"/>
                    <a:cs typeface="+mn-cs"/>
                  </a:defRPr>
                </a:pPr>
                <a:r>
                  <a:rPr lang="en-US" sz="1400" b="1">
                    <a:solidFill>
                      <a:sysClr val="windowText" lastClr="000000"/>
                    </a:solidFill>
                  </a:rPr>
                  <a:t>Average execution time in sec </a:t>
                </a:r>
              </a:p>
              <a:p>
                <a:pPr>
                  <a:defRPr sz="1400" b="1">
                    <a:solidFill>
                      <a:sysClr val="windowText" lastClr="000000"/>
                    </a:solidFill>
                  </a:defRPr>
                </a:pPr>
                <a:r>
                  <a:rPr lang="en-US" sz="1400" b="1">
                    <a:solidFill>
                      <a:sysClr val="windowText" lastClr="000000"/>
                    </a:solidFill>
                  </a:rPr>
                  <a:t>(log scale)</a:t>
                </a:r>
              </a:p>
              <a:p>
                <a:pPr>
                  <a:defRPr sz="1400" b="1">
                    <a:solidFill>
                      <a:sysClr val="windowText" lastClr="000000"/>
                    </a:solidFill>
                  </a:defRPr>
                </a:pPr>
                <a:endParaRPr lang="en-US" sz="1400" b="1">
                  <a:solidFill>
                    <a:sysClr val="windowText" lastClr="000000"/>
                  </a:solidFill>
                </a:endParaRPr>
              </a:p>
            </c:rich>
          </c:tx>
          <c:overlay val="0"/>
          <c:spPr>
            <a:noFill/>
            <a:ln>
              <a:noFill/>
            </a:ln>
            <a:effectLst/>
          </c:spPr>
          <c:txPr>
            <a:bodyPr rot="-5400000" spcFirstLastPara="1" vertOverflow="ellipsis" vert="horz" wrap="square" anchor="ctr" anchorCtr="1"/>
            <a:lstStyle/>
            <a:p>
              <a:pPr>
                <a:defRPr sz="1400" b="1" i="0" u="none" strike="noStrike" kern="1200" baseline="0">
                  <a:solidFill>
                    <a:sysClr val="windowText" lastClr="000000"/>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endParaRPr lang="en-US"/>
          </a:p>
        </c:txPr>
        <c:crossAx val="1165425696"/>
        <c:crosses val="autoZero"/>
        <c:crossBetween val="between"/>
      </c:valAx>
      <c:spPr>
        <a:noFill/>
        <a:ln>
          <a:noFill/>
        </a:ln>
        <a:effectLst/>
      </c:spPr>
    </c:plotArea>
    <c:legend>
      <c:legendPos val="b"/>
      <c:layout>
        <c:manualLayout>
          <c:xMode val="edge"/>
          <c:yMode val="edge"/>
          <c:x val="0.16132088930301786"/>
          <c:y val="0.75732938409762829"/>
          <c:w val="0.83599462577074846"/>
          <c:h val="0.18132607889905716"/>
        </c:manualLayout>
      </c:layout>
      <c:overlay val="0"/>
      <c:spPr>
        <a:noFill/>
        <a:ln>
          <a:noFill/>
        </a:ln>
        <a:effectLst/>
      </c:spPr>
      <c:txPr>
        <a:bodyPr rot="0" spcFirstLastPara="1" vertOverflow="ellipsis" vert="horz" wrap="square" anchor="ctr" anchorCtr="1"/>
        <a:lstStyle/>
        <a:p>
          <a:pPr>
            <a:defRPr sz="1400" b="1"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1037004474214591"/>
          <c:y val="2.995674324590207E-2"/>
          <c:w val="0.75901587001745896"/>
          <c:h val="0.6138166574408348"/>
        </c:manualLayout>
      </c:layout>
      <c:barChart>
        <c:barDir val="col"/>
        <c:grouping val="stacked"/>
        <c:varyColors val="0"/>
        <c:ser>
          <c:idx val="0"/>
          <c:order val="0"/>
          <c:tx>
            <c:strRef>
              <c:f>'average-execution-time'!$B$4</c:f>
              <c:strCache>
                <c:ptCount val="1"/>
                <c:pt idx="0">
                  <c:v>SWDF BGP-only</c:v>
                </c:pt>
              </c:strCache>
            </c:strRef>
          </c:tx>
          <c:spPr>
            <a:pattFill prst="pct50">
              <a:fgClr>
                <a:srgbClr val="92D050"/>
              </a:fgClr>
              <a:bgClr>
                <a:schemeClr val="bg1"/>
              </a:bgClr>
            </a:patt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'average-execution-time'!$A$5:$A$11</c:f>
              <c:strCache>
                <c:ptCount val="7"/>
                <c:pt idx="0">
                  <c:v>PB</c:v>
                </c:pt>
                <c:pt idx="1">
                  <c:v>SB</c:v>
                </c:pt>
                <c:pt idx="2">
                  <c:v>Hi</c:v>
                </c:pt>
                <c:pt idx="3">
                  <c:v>Ho</c:v>
                </c:pt>
                <c:pt idx="4">
                  <c:v>TC</c:v>
                </c:pt>
                <c:pt idx="5">
                  <c:v>ME</c:v>
                </c:pt>
                <c:pt idx="6">
                  <c:v>RB</c:v>
                </c:pt>
              </c:strCache>
            </c:strRef>
          </c:cat>
          <c:val>
            <c:numRef>
              <c:f>'average-execution-time'!$B$5:$B$11</c:f>
              <c:numCache>
                <c:formatCode>0.00</c:formatCode>
                <c:ptCount val="7"/>
                <c:pt idx="0">
                  <c:v>3.7893333333333327E-2</c:v>
                </c:pt>
                <c:pt idx="1">
                  <c:v>6.6883333333333336E-2</c:v>
                </c:pt>
                <c:pt idx="2">
                  <c:v>6.9409999999999999E-2</c:v>
                </c:pt>
                <c:pt idx="3">
                  <c:v>5.7096666666666664E-2</c:v>
                </c:pt>
                <c:pt idx="4">
                  <c:v>6.6849999999999993E-2</c:v>
                </c:pt>
                <c:pt idx="5">
                  <c:v>6.8043333333333331E-2</c:v>
                </c:pt>
                <c:pt idx="6">
                  <c:v>6.7110000000000003E-2</c:v>
                </c:pt>
              </c:numCache>
            </c:numRef>
          </c:val>
        </c:ser>
        <c:ser>
          <c:idx val="1"/>
          <c:order val="1"/>
          <c:tx>
            <c:strRef>
              <c:f>'average-execution-time'!$C$4</c:f>
              <c:strCache>
                <c:ptCount val="1"/>
                <c:pt idx="0">
                  <c:v>SWDF fully-featured</c:v>
                </c:pt>
              </c:strCache>
            </c:strRef>
          </c:tx>
          <c:spPr>
            <a:pattFill prst="pct90">
              <a:fgClr>
                <a:schemeClr val="accent4">
                  <a:lumMod val="75000"/>
                </a:schemeClr>
              </a:fgClr>
              <a:bgClr>
                <a:schemeClr val="bg1"/>
              </a:bgClr>
            </a:patt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'average-execution-time'!$A$5:$A$11</c:f>
              <c:strCache>
                <c:ptCount val="7"/>
                <c:pt idx="0">
                  <c:v>PB</c:v>
                </c:pt>
                <c:pt idx="1">
                  <c:v>SB</c:v>
                </c:pt>
                <c:pt idx="2">
                  <c:v>Hi</c:v>
                </c:pt>
                <c:pt idx="3">
                  <c:v>Ho</c:v>
                </c:pt>
                <c:pt idx="4">
                  <c:v>TC</c:v>
                </c:pt>
                <c:pt idx="5">
                  <c:v>ME</c:v>
                </c:pt>
                <c:pt idx="6">
                  <c:v>RB</c:v>
                </c:pt>
              </c:strCache>
            </c:strRef>
          </c:cat>
          <c:val>
            <c:numRef>
              <c:f>'average-execution-time'!$C$5:$C$11</c:f>
              <c:numCache>
                <c:formatCode>0.00</c:formatCode>
                <c:ptCount val="7"/>
                <c:pt idx="0">
                  <c:v>4.4033018867924527</c:v>
                </c:pt>
                <c:pt idx="1">
                  <c:v>4.4435543478260868</c:v>
                </c:pt>
                <c:pt idx="2">
                  <c:v>4.434007352941177</c:v>
                </c:pt>
                <c:pt idx="3">
                  <c:v>4.1937534722222223</c:v>
                </c:pt>
                <c:pt idx="4">
                  <c:v>4.3894818840579708</c:v>
                </c:pt>
                <c:pt idx="5">
                  <c:v>4.4353814814814818</c:v>
                </c:pt>
                <c:pt idx="6">
                  <c:v>4.8481316725978649</c:v>
                </c:pt>
              </c:numCache>
            </c:numRef>
          </c:val>
        </c:ser>
        <c:ser>
          <c:idx val="2"/>
          <c:order val="2"/>
          <c:tx>
            <c:strRef>
              <c:f>'average-execution-time'!$D$4</c:f>
              <c:strCache>
                <c:ptCount val="1"/>
                <c:pt idx="0">
                  <c:v>DBpedia BGP-only</c:v>
                </c:pt>
              </c:strCache>
            </c:strRef>
          </c:tx>
          <c:spPr>
            <a:pattFill prst="pct75">
              <a:fgClr>
                <a:schemeClr val="accent6"/>
              </a:fgClr>
              <a:bgClr>
                <a:schemeClr val="bg1"/>
              </a:bgClr>
            </a:patt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'average-execution-time'!$A$5:$A$11</c:f>
              <c:strCache>
                <c:ptCount val="7"/>
                <c:pt idx="0">
                  <c:v>PB</c:v>
                </c:pt>
                <c:pt idx="1">
                  <c:v>SB</c:v>
                </c:pt>
                <c:pt idx="2">
                  <c:v>Hi</c:v>
                </c:pt>
                <c:pt idx="3">
                  <c:v>Ho</c:v>
                </c:pt>
                <c:pt idx="4">
                  <c:v>TC</c:v>
                </c:pt>
                <c:pt idx="5">
                  <c:v>ME</c:v>
                </c:pt>
                <c:pt idx="6">
                  <c:v>RB</c:v>
                </c:pt>
              </c:strCache>
            </c:strRef>
          </c:cat>
          <c:val>
            <c:numRef>
              <c:f>'average-execution-time'!$D$5:$D$11</c:f>
              <c:numCache>
                <c:formatCode>0.00</c:formatCode>
                <c:ptCount val="7"/>
                <c:pt idx="0">
                  <c:v>23.201458955223881</c:v>
                </c:pt>
                <c:pt idx="1">
                  <c:v>10.103756457564575</c:v>
                </c:pt>
                <c:pt idx="2">
                  <c:v>10.488319852941176</c:v>
                </c:pt>
                <c:pt idx="3">
                  <c:v>10.06489219330855</c:v>
                </c:pt>
                <c:pt idx="4">
                  <c:v>8.6665433962264142</c:v>
                </c:pt>
                <c:pt idx="5">
                  <c:v>9.0048113207547171</c:v>
                </c:pt>
                <c:pt idx="6">
                  <c:v>8.2033656716417926</c:v>
                </c:pt>
              </c:numCache>
            </c:numRef>
          </c:val>
        </c:ser>
        <c:ser>
          <c:idx val="3"/>
          <c:order val="3"/>
          <c:tx>
            <c:strRef>
              <c:f>'average-execution-time'!$E$4</c:f>
              <c:strCache>
                <c:ptCount val="1"/>
                <c:pt idx="0">
                  <c:v>DBpedia fully-featured</c:v>
                </c:pt>
              </c:strCache>
            </c:strRef>
          </c:tx>
          <c:spPr>
            <a:solidFill>
              <a:schemeClr val="accent2">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'average-execution-time'!$A$5:$A$11</c:f>
              <c:strCache>
                <c:ptCount val="7"/>
                <c:pt idx="0">
                  <c:v>PB</c:v>
                </c:pt>
                <c:pt idx="1">
                  <c:v>SB</c:v>
                </c:pt>
                <c:pt idx="2">
                  <c:v>Hi</c:v>
                </c:pt>
                <c:pt idx="3">
                  <c:v>Ho</c:v>
                </c:pt>
                <c:pt idx="4">
                  <c:v>TC</c:v>
                </c:pt>
                <c:pt idx="5">
                  <c:v>ME</c:v>
                </c:pt>
                <c:pt idx="6">
                  <c:v>RB</c:v>
                </c:pt>
              </c:strCache>
            </c:strRef>
          </c:cat>
          <c:val>
            <c:numRef>
              <c:f>'average-execution-time'!$E$5:$E$11</c:f>
              <c:numCache>
                <c:formatCode>0.00</c:formatCode>
                <c:ptCount val="7"/>
                <c:pt idx="0">
                  <c:v>5.5859559471365641</c:v>
                </c:pt>
                <c:pt idx="1">
                  <c:v>11.62226406926407</c:v>
                </c:pt>
                <c:pt idx="2">
                  <c:v>9.1643086956521742</c:v>
                </c:pt>
                <c:pt idx="3">
                  <c:v>7.6047929515418504</c:v>
                </c:pt>
                <c:pt idx="4">
                  <c:v>8.6596478260869567</c:v>
                </c:pt>
                <c:pt idx="5">
                  <c:v>8.2238141592920346</c:v>
                </c:pt>
                <c:pt idx="6">
                  <c:v>6.963621739130434</c:v>
                </c:pt>
              </c:numCache>
            </c:numRef>
          </c:val>
        </c:ser>
        <c:dLbls>
          <c:dLblPos val="ctr"/>
          <c:showLegendKey val="0"/>
          <c:showVal val="1"/>
          <c:showCatName val="0"/>
          <c:showSerName val="0"/>
          <c:showPercent val="0"/>
          <c:showBubbleSize val="0"/>
        </c:dLbls>
        <c:gapWidth val="40"/>
        <c:overlap val="100"/>
        <c:axId val="1118640944"/>
        <c:axId val="1118632784"/>
      </c:barChart>
      <c:catAx>
        <c:axId val="1118640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endParaRPr lang="en-US"/>
          </a:p>
        </c:txPr>
        <c:crossAx val="1118632784"/>
        <c:crossesAt val="1.0000000000000002E-2"/>
        <c:auto val="1"/>
        <c:lblAlgn val="ctr"/>
        <c:lblOffset val="100"/>
        <c:noMultiLvlLbl val="0"/>
      </c:catAx>
      <c:valAx>
        <c:axId val="1118632784"/>
        <c:scaling>
          <c:logBase val="10"/>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lang="en-US" sz="1400" b="1" i="0" u="none" strike="noStrike" kern="1200" baseline="0">
                    <a:solidFill>
                      <a:sysClr val="windowText" lastClr="000000"/>
                    </a:solidFill>
                    <a:latin typeface="+mn-lt"/>
                    <a:ea typeface="+mn-ea"/>
                    <a:cs typeface="+mn-cs"/>
                  </a:defRPr>
                </a:pPr>
                <a:r>
                  <a:rPr lang="en-US" sz="1400" b="1" i="0" u="none" strike="noStrike" kern="1200" baseline="0" dirty="0">
                    <a:solidFill>
                      <a:sysClr val="windowText" lastClr="000000"/>
                    </a:solidFill>
                    <a:latin typeface="+mn-lt"/>
                    <a:ea typeface="+mn-ea"/>
                    <a:cs typeface="+mn-cs"/>
                  </a:rPr>
                  <a:t> Average execution time in sec </a:t>
                </a:r>
                <a:endParaRPr lang="en-US" sz="1400" b="1" i="0" u="none" strike="noStrike" kern="1200" baseline="0" dirty="0" smtClean="0">
                  <a:solidFill>
                    <a:sysClr val="windowText" lastClr="000000"/>
                  </a:solidFill>
                  <a:latin typeface="+mn-lt"/>
                  <a:ea typeface="+mn-ea"/>
                  <a:cs typeface="+mn-cs"/>
                </a:endParaRPr>
              </a:p>
              <a:p>
                <a:pPr marL="0" marR="0" lvl="0" indent="0" algn="ctr" defTabSz="914400" rtl="0" eaLnBrk="1" fontAlgn="auto" latinLnBrk="0" hangingPunct="1">
                  <a:lnSpc>
                    <a:spcPct val="100000"/>
                  </a:lnSpc>
                  <a:spcBef>
                    <a:spcPts val="0"/>
                  </a:spcBef>
                  <a:spcAft>
                    <a:spcPts val="0"/>
                  </a:spcAft>
                  <a:buClrTx/>
                  <a:buSzTx/>
                  <a:buFontTx/>
                  <a:buNone/>
                  <a:tabLst/>
                  <a:defRPr lang="en-US" sz="1400" b="1">
                    <a:solidFill>
                      <a:sysClr val="windowText" lastClr="000000"/>
                    </a:solidFill>
                  </a:defRPr>
                </a:pPr>
                <a:r>
                  <a:rPr lang="en-US" sz="1400" b="1" i="0" u="none" strike="noStrike" kern="1200" baseline="0" dirty="0" smtClean="0">
                    <a:solidFill>
                      <a:sysClr val="windowText" lastClr="000000"/>
                    </a:solidFill>
                    <a:latin typeface="+mn-lt"/>
                    <a:ea typeface="+mn-ea"/>
                    <a:cs typeface="+mn-cs"/>
                  </a:rPr>
                  <a:t>(</a:t>
                </a:r>
                <a:r>
                  <a:rPr lang="en-US" sz="1400" b="1" i="0" u="none" strike="noStrike" kern="1200" baseline="0" dirty="0">
                    <a:solidFill>
                      <a:sysClr val="windowText" lastClr="000000"/>
                    </a:solidFill>
                    <a:latin typeface="+mn-lt"/>
                    <a:ea typeface="+mn-ea"/>
                    <a:cs typeface="+mn-cs"/>
                  </a:rPr>
                  <a:t>log scale)</a:t>
                </a:r>
              </a:p>
              <a:p>
                <a:pPr marL="0" marR="0" lvl="0" indent="0" algn="ctr" defTabSz="914400" rtl="0" eaLnBrk="1" fontAlgn="auto" latinLnBrk="0" hangingPunct="1">
                  <a:lnSpc>
                    <a:spcPct val="100000"/>
                  </a:lnSpc>
                  <a:spcBef>
                    <a:spcPts val="0"/>
                  </a:spcBef>
                  <a:spcAft>
                    <a:spcPts val="0"/>
                  </a:spcAft>
                  <a:buClrTx/>
                  <a:buSzTx/>
                  <a:buFontTx/>
                  <a:buNone/>
                  <a:tabLst/>
                  <a:defRPr lang="en-US" sz="1400" b="1">
                    <a:solidFill>
                      <a:sysClr val="windowText" lastClr="000000"/>
                    </a:solidFill>
                  </a:defRPr>
                </a:pPr>
                <a:endParaRPr lang="en-US" sz="1400" b="1" i="0" u="none" strike="noStrike" kern="1200" baseline="0" dirty="0">
                  <a:solidFill>
                    <a:sysClr val="windowText" lastClr="000000"/>
                  </a:solidFill>
                  <a:latin typeface="+mn-lt"/>
                  <a:ea typeface="+mn-ea"/>
                  <a:cs typeface="+mn-cs"/>
                </a:endParaRPr>
              </a:p>
            </c:rich>
          </c:tx>
          <c:layout>
            <c:manualLayout>
              <c:xMode val="edge"/>
              <c:yMode val="edge"/>
              <c:x val="9.3185767240301753E-2"/>
              <c:y val="7.864825599420891E-2"/>
            </c:manualLayout>
          </c:layout>
          <c:overlay val="0"/>
          <c:spPr>
            <a:noFill/>
            <a:ln>
              <a:noFill/>
            </a:ln>
            <a:effectLst/>
          </c:spPr>
          <c:txPr>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lang="en-US" sz="1400" b="1" i="0" u="none" strike="noStrike" kern="1200" baseline="0">
                  <a:solidFill>
                    <a:sysClr val="windowText" lastClr="000000"/>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endParaRPr lang="en-US"/>
          </a:p>
        </c:txPr>
        <c:crossAx val="1118640944"/>
        <c:crosses val="autoZero"/>
        <c:crossBetween val="between"/>
      </c:valAx>
      <c:spPr>
        <a:noFill/>
        <a:ln>
          <a:noFill/>
        </a:ln>
        <a:effectLst/>
      </c:spPr>
    </c:plotArea>
    <c:legend>
      <c:legendPos val="b"/>
      <c:layout>
        <c:manualLayout>
          <c:xMode val="edge"/>
          <c:yMode val="edge"/>
          <c:x val="0.17768095882545931"/>
          <c:y val="0.6823411463101996"/>
          <c:w val="0.78879203576115486"/>
          <c:h val="0.11500434902032594"/>
        </c:manualLayout>
      </c:layout>
      <c:overlay val="0"/>
      <c:spPr>
        <a:noFill/>
        <a:ln>
          <a:noFill/>
        </a:ln>
        <a:effectLst/>
      </c:spPr>
      <c:txPr>
        <a:bodyPr rot="0" spcFirstLastPara="1" vertOverflow="ellipsis" vert="horz" wrap="square" anchor="ctr" anchorCtr="1"/>
        <a:lstStyle/>
        <a:p>
          <a:pPr>
            <a:defRPr sz="1400" b="1"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1037004474214591"/>
          <c:y val="2.995674324590207E-2"/>
          <c:w val="0.75901587001745896"/>
          <c:h val="0.6138166574408348"/>
        </c:manualLayout>
      </c:layout>
      <c:barChart>
        <c:barDir val="col"/>
        <c:grouping val="stacked"/>
        <c:varyColors val="0"/>
        <c:ser>
          <c:idx val="0"/>
          <c:order val="0"/>
          <c:tx>
            <c:strRef>
              <c:f>'average-execution-time'!$B$20</c:f>
              <c:strCache>
                <c:ptCount val="1"/>
                <c:pt idx="0">
                  <c:v>SWDF BGP-only</c:v>
                </c:pt>
              </c:strCache>
            </c:strRef>
          </c:tx>
          <c:spPr>
            <a:pattFill prst="pct50">
              <a:fgClr>
                <a:srgbClr val="92D050"/>
              </a:fgClr>
              <a:bgClr>
                <a:schemeClr val="bg1"/>
              </a:bgClr>
            </a:patt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'average-execution-time'!$A$21:$A$27</c:f>
              <c:strCache>
                <c:ptCount val="7"/>
                <c:pt idx="0">
                  <c:v>PB</c:v>
                </c:pt>
                <c:pt idx="1">
                  <c:v>SB</c:v>
                </c:pt>
                <c:pt idx="2">
                  <c:v>Hi</c:v>
                </c:pt>
                <c:pt idx="3">
                  <c:v>Ho</c:v>
                </c:pt>
                <c:pt idx="4">
                  <c:v>TC</c:v>
                </c:pt>
                <c:pt idx="5">
                  <c:v>ME</c:v>
                </c:pt>
                <c:pt idx="6">
                  <c:v>RB</c:v>
                </c:pt>
              </c:strCache>
            </c:strRef>
          </c:cat>
          <c:val>
            <c:numRef>
              <c:f>'average-execution-time'!$B$21:$B$27</c:f>
              <c:numCache>
                <c:formatCode>0.00</c:formatCode>
                <c:ptCount val="7"/>
                <c:pt idx="0">
                  <c:v>0.27260333333333336</c:v>
                </c:pt>
                <c:pt idx="1">
                  <c:v>0.16893333333333332</c:v>
                </c:pt>
                <c:pt idx="2">
                  <c:v>0.16966333333333333</c:v>
                </c:pt>
                <c:pt idx="3">
                  <c:v>0.49239666666666665</c:v>
                </c:pt>
                <c:pt idx="4">
                  <c:v>0.16278999999999999</c:v>
                </c:pt>
                <c:pt idx="5">
                  <c:v>0.16634666666666667</c:v>
                </c:pt>
                <c:pt idx="6">
                  <c:v>0.17179</c:v>
                </c:pt>
              </c:numCache>
            </c:numRef>
          </c:val>
        </c:ser>
        <c:ser>
          <c:idx val="1"/>
          <c:order val="1"/>
          <c:tx>
            <c:strRef>
              <c:f>'average-execution-time'!$C$20</c:f>
              <c:strCache>
                <c:ptCount val="1"/>
                <c:pt idx="0">
                  <c:v>SWDF fully-featured</c:v>
                </c:pt>
              </c:strCache>
            </c:strRef>
          </c:tx>
          <c:spPr>
            <a:pattFill prst="pct90">
              <a:fgClr>
                <a:schemeClr val="accent4">
                  <a:lumMod val="75000"/>
                </a:schemeClr>
              </a:fgClr>
              <a:bgClr>
                <a:schemeClr val="bg1"/>
              </a:bgClr>
            </a:patt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'average-execution-time'!$A$21:$A$27</c:f>
              <c:strCache>
                <c:ptCount val="7"/>
                <c:pt idx="0">
                  <c:v>PB</c:v>
                </c:pt>
                <c:pt idx="1">
                  <c:v>SB</c:v>
                </c:pt>
                <c:pt idx="2">
                  <c:v>Hi</c:v>
                </c:pt>
                <c:pt idx="3">
                  <c:v>Ho</c:v>
                </c:pt>
                <c:pt idx="4">
                  <c:v>TC</c:v>
                </c:pt>
                <c:pt idx="5">
                  <c:v>ME</c:v>
                </c:pt>
                <c:pt idx="6">
                  <c:v>RB</c:v>
                </c:pt>
              </c:strCache>
            </c:strRef>
          </c:cat>
          <c:val>
            <c:numRef>
              <c:f>'average-execution-time'!$C$21:$C$27</c:f>
              <c:numCache>
                <c:formatCode>0.00</c:formatCode>
                <c:ptCount val="7"/>
                <c:pt idx="0">
                  <c:v>0.76762857142857133</c:v>
                </c:pt>
                <c:pt idx="1">
                  <c:v>1.4986428571428572</c:v>
                </c:pt>
                <c:pt idx="2">
                  <c:v>1.5745892857142858</c:v>
                </c:pt>
                <c:pt idx="3">
                  <c:v>0.93783985765124556</c:v>
                </c:pt>
                <c:pt idx="4">
                  <c:v>1.5332000000000001</c:v>
                </c:pt>
                <c:pt idx="5">
                  <c:v>1.5600611510791367</c:v>
                </c:pt>
                <c:pt idx="6">
                  <c:v>1.633494623655914</c:v>
                </c:pt>
              </c:numCache>
            </c:numRef>
          </c:val>
        </c:ser>
        <c:ser>
          <c:idx val="2"/>
          <c:order val="2"/>
          <c:tx>
            <c:strRef>
              <c:f>'average-execution-time'!$D$20</c:f>
              <c:strCache>
                <c:ptCount val="1"/>
                <c:pt idx="0">
                  <c:v>DBpedia BGP-only</c:v>
                </c:pt>
              </c:strCache>
            </c:strRef>
          </c:tx>
          <c:spPr>
            <a:pattFill prst="pct75">
              <a:fgClr>
                <a:schemeClr val="accent6"/>
              </a:fgClr>
              <a:bgClr>
                <a:schemeClr val="bg1"/>
              </a:bgClr>
            </a:patt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'average-execution-time'!$A$21:$A$27</c:f>
              <c:strCache>
                <c:ptCount val="7"/>
                <c:pt idx="0">
                  <c:v>PB</c:v>
                </c:pt>
                <c:pt idx="1">
                  <c:v>SB</c:v>
                </c:pt>
                <c:pt idx="2">
                  <c:v>Hi</c:v>
                </c:pt>
                <c:pt idx="3">
                  <c:v>Ho</c:v>
                </c:pt>
                <c:pt idx="4">
                  <c:v>TC</c:v>
                </c:pt>
                <c:pt idx="5">
                  <c:v>ME</c:v>
                </c:pt>
                <c:pt idx="6">
                  <c:v>RB</c:v>
                </c:pt>
              </c:strCache>
            </c:strRef>
          </c:cat>
          <c:val>
            <c:numRef>
              <c:f>'average-execution-time'!$D$21:$D$27</c:f>
              <c:numCache>
                <c:formatCode>0.00</c:formatCode>
                <c:ptCount val="7"/>
                <c:pt idx="0">
                  <c:v>3.8285358490566037</c:v>
                </c:pt>
                <c:pt idx="1">
                  <c:v>7.9711433962264158</c:v>
                </c:pt>
                <c:pt idx="2">
                  <c:v>7.0970187265917604</c:v>
                </c:pt>
                <c:pt idx="3">
                  <c:v>8.613917293233083</c:v>
                </c:pt>
                <c:pt idx="4">
                  <c:v>6.8874269662921348</c:v>
                </c:pt>
                <c:pt idx="5">
                  <c:v>8.847443609022557</c:v>
                </c:pt>
                <c:pt idx="6">
                  <c:v>7.8854377358490568</c:v>
                </c:pt>
              </c:numCache>
            </c:numRef>
          </c:val>
        </c:ser>
        <c:ser>
          <c:idx val="3"/>
          <c:order val="3"/>
          <c:tx>
            <c:strRef>
              <c:f>'average-execution-time'!$E$20</c:f>
              <c:strCache>
                <c:ptCount val="1"/>
                <c:pt idx="0">
                  <c:v>DBpedia fully-featured</c:v>
                </c:pt>
              </c:strCache>
            </c:strRef>
          </c:tx>
          <c:spPr>
            <a:solidFill>
              <a:schemeClr val="accent2">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'average-execution-time'!$A$21:$A$27</c:f>
              <c:strCache>
                <c:ptCount val="7"/>
                <c:pt idx="0">
                  <c:v>PB</c:v>
                </c:pt>
                <c:pt idx="1">
                  <c:v>SB</c:v>
                </c:pt>
                <c:pt idx="2">
                  <c:v>Hi</c:v>
                </c:pt>
                <c:pt idx="3">
                  <c:v>Ho</c:v>
                </c:pt>
                <c:pt idx="4">
                  <c:v>TC</c:v>
                </c:pt>
                <c:pt idx="5">
                  <c:v>ME</c:v>
                </c:pt>
                <c:pt idx="6">
                  <c:v>RB</c:v>
                </c:pt>
              </c:strCache>
            </c:strRef>
          </c:cat>
          <c:val>
            <c:numRef>
              <c:f>'average-execution-time'!$E$21:$E$27</c:f>
              <c:numCache>
                <c:formatCode>0.00</c:formatCode>
                <c:ptCount val="7"/>
                <c:pt idx="0">
                  <c:v>6.5600730593607306</c:v>
                </c:pt>
                <c:pt idx="1">
                  <c:v>11.934843317972351</c:v>
                </c:pt>
                <c:pt idx="2">
                  <c:v>12.556018099547511</c:v>
                </c:pt>
                <c:pt idx="3">
                  <c:v>18.264055299539169</c:v>
                </c:pt>
                <c:pt idx="4">
                  <c:v>7.5148511627906975</c:v>
                </c:pt>
                <c:pt idx="5">
                  <c:v>12.826486111111111</c:v>
                </c:pt>
                <c:pt idx="6">
                  <c:v>12.451826484018266</c:v>
                </c:pt>
              </c:numCache>
            </c:numRef>
          </c:val>
        </c:ser>
        <c:dLbls>
          <c:dLblPos val="ctr"/>
          <c:showLegendKey val="0"/>
          <c:showVal val="1"/>
          <c:showCatName val="0"/>
          <c:showSerName val="0"/>
          <c:showPercent val="0"/>
          <c:showBubbleSize val="0"/>
        </c:dLbls>
        <c:gapWidth val="40"/>
        <c:overlap val="100"/>
        <c:axId val="1118642576"/>
        <c:axId val="1118645840"/>
      </c:barChart>
      <c:catAx>
        <c:axId val="11186425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endParaRPr lang="en-US"/>
          </a:p>
        </c:txPr>
        <c:crossAx val="1118645840"/>
        <c:crossesAt val="1.0000000000000002E-2"/>
        <c:auto val="1"/>
        <c:lblAlgn val="ctr"/>
        <c:lblOffset val="100"/>
        <c:noMultiLvlLbl val="0"/>
      </c:catAx>
      <c:valAx>
        <c:axId val="1118645840"/>
        <c:scaling>
          <c:logBase val="10"/>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lang="en-US" sz="1400" b="1" i="0" u="none" strike="noStrike" kern="1200" baseline="0">
                    <a:solidFill>
                      <a:sysClr val="windowText" lastClr="000000"/>
                    </a:solidFill>
                    <a:latin typeface="+mn-lt"/>
                    <a:ea typeface="+mn-ea"/>
                    <a:cs typeface="+mn-cs"/>
                  </a:defRPr>
                </a:pPr>
                <a:r>
                  <a:rPr lang="en-US" sz="1400" b="1" i="0" u="none" strike="noStrike" kern="1200" baseline="0" dirty="0">
                    <a:solidFill>
                      <a:sysClr val="windowText" lastClr="000000"/>
                    </a:solidFill>
                    <a:latin typeface="+mn-lt"/>
                    <a:ea typeface="+mn-ea"/>
                    <a:cs typeface="+mn-cs"/>
                  </a:rPr>
                  <a:t> </a:t>
                </a:r>
                <a:r>
                  <a:rPr lang="en-US" sz="1400" b="1" i="0" u="none" strike="noStrike" baseline="0">
                    <a:effectLst/>
                  </a:rPr>
                  <a:t>Average </a:t>
                </a:r>
                <a:r>
                  <a:rPr lang="en-US" sz="1400" b="1" i="0" u="none" strike="noStrike" kern="1200" baseline="0" dirty="0">
                    <a:solidFill>
                      <a:sysClr val="windowText" lastClr="000000"/>
                    </a:solidFill>
                    <a:latin typeface="+mn-lt"/>
                    <a:ea typeface="+mn-ea"/>
                    <a:cs typeface="+mn-cs"/>
                  </a:rPr>
                  <a:t>execution time in sec </a:t>
                </a:r>
                <a:endParaRPr lang="en-US" sz="1400" b="1" i="0" u="none" strike="noStrike" kern="1200" baseline="0" dirty="0" smtClean="0">
                  <a:solidFill>
                    <a:sysClr val="windowText" lastClr="000000"/>
                  </a:solidFill>
                  <a:latin typeface="+mn-lt"/>
                  <a:ea typeface="+mn-ea"/>
                  <a:cs typeface="+mn-cs"/>
                </a:endParaRPr>
              </a:p>
              <a:p>
                <a:pPr marL="0" marR="0" lvl="0" indent="0" algn="ctr" defTabSz="914400" rtl="0" eaLnBrk="1" fontAlgn="auto" latinLnBrk="0" hangingPunct="1">
                  <a:lnSpc>
                    <a:spcPct val="100000"/>
                  </a:lnSpc>
                  <a:spcBef>
                    <a:spcPts val="0"/>
                  </a:spcBef>
                  <a:spcAft>
                    <a:spcPts val="0"/>
                  </a:spcAft>
                  <a:buClrTx/>
                  <a:buSzTx/>
                  <a:buFontTx/>
                  <a:buNone/>
                  <a:tabLst/>
                  <a:defRPr lang="en-US" sz="1400" b="1">
                    <a:solidFill>
                      <a:sysClr val="windowText" lastClr="000000"/>
                    </a:solidFill>
                  </a:defRPr>
                </a:pPr>
                <a:r>
                  <a:rPr lang="en-US" sz="1400" b="1" i="0" u="none" strike="noStrike" kern="1200" baseline="0" dirty="0" smtClean="0">
                    <a:solidFill>
                      <a:sysClr val="windowText" lastClr="000000"/>
                    </a:solidFill>
                    <a:latin typeface="+mn-lt"/>
                    <a:ea typeface="+mn-ea"/>
                    <a:cs typeface="+mn-cs"/>
                  </a:rPr>
                  <a:t>(</a:t>
                </a:r>
                <a:r>
                  <a:rPr lang="en-US" sz="1400" b="1" i="0" u="none" strike="noStrike" kern="1200" baseline="0" dirty="0">
                    <a:solidFill>
                      <a:sysClr val="windowText" lastClr="000000"/>
                    </a:solidFill>
                    <a:latin typeface="+mn-lt"/>
                    <a:ea typeface="+mn-ea"/>
                    <a:cs typeface="+mn-cs"/>
                  </a:rPr>
                  <a:t>log scale)</a:t>
                </a:r>
              </a:p>
              <a:p>
                <a:pPr marL="0" marR="0" lvl="0" indent="0" algn="ctr" defTabSz="914400" rtl="0" eaLnBrk="1" fontAlgn="auto" latinLnBrk="0" hangingPunct="1">
                  <a:lnSpc>
                    <a:spcPct val="100000"/>
                  </a:lnSpc>
                  <a:spcBef>
                    <a:spcPts val="0"/>
                  </a:spcBef>
                  <a:spcAft>
                    <a:spcPts val="0"/>
                  </a:spcAft>
                  <a:buClrTx/>
                  <a:buSzTx/>
                  <a:buFontTx/>
                  <a:buNone/>
                  <a:tabLst/>
                  <a:defRPr lang="en-US" sz="1400" b="1">
                    <a:solidFill>
                      <a:sysClr val="windowText" lastClr="000000"/>
                    </a:solidFill>
                  </a:defRPr>
                </a:pPr>
                <a:endParaRPr lang="en-US" sz="1400" b="1" i="0" u="none" strike="noStrike" kern="1200" baseline="0" dirty="0">
                  <a:solidFill>
                    <a:sysClr val="windowText" lastClr="000000"/>
                  </a:solidFill>
                  <a:latin typeface="+mn-lt"/>
                  <a:ea typeface="+mn-ea"/>
                  <a:cs typeface="+mn-cs"/>
                </a:endParaRPr>
              </a:p>
            </c:rich>
          </c:tx>
          <c:layout>
            <c:manualLayout>
              <c:xMode val="edge"/>
              <c:yMode val="edge"/>
              <c:x val="9.3185767240301753E-2"/>
              <c:y val="7.864825599420891E-2"/>
            </c:manualLayout>
          </c:layout>
          <c:overlay val="0"/>
          <c:spPr>
            <a:noFill/>
            <a:ln>
              <a:noFill/>
            </a:ln>
            <a:effectLst/>
          </c:spPr>
          <c:txPr>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lang="en-US" sz="1400" b="1" i="0" u="none" strike="noStrike" kern="1200" baseline="0">
                  <a:solidFill>
                    <a:sysClr val="windowText" lastClr="000000"/>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endParaRPr lang="en-US"/>
          </a:p>
        </c:txPr>
        <c:crossAx val="1118642576"/>
        <c:crosses val="autoZero"/>
        <c:crossBetween val="between"/>
      </c:valAx>
      <c:spPr>
        <a:noFill/>
        <a:ln>
          <a:noFill/>
        </a:ln>
        <a:effectLst/>
      </c:spPr>
    </c:plotArea>
    <c:legend>
      <c:legendPos val="b"/>
      <c:layout>
        <c:manualLayout>
          <c:xMode val="edge"/>
          <c:yMode val="edge"/>
          <c:x val="0.2950769092349626"/>
          <c:y val="0.69381270419652363"/>
          <c:w val="0.51225940251114332"/>
          <c:h val="0.11500434902032594"/>
        </c:manualLayout>
      </c:layout>
      <c:overlay val="0"/>
      <c:spPr>
        <a:noFill/>
        <a:ln>
          <a:noFill/>
        </a:ln>
        <a:effectLst/>
      </c:spPr>
      <c:txPr>
        <a:bodyPr rot="0" spcFirstLastPara="1" vertOverflow="ellipsis" vert="horz" wrap="square" anchor="ctr" anchorCtr="1"/>
        <a:lstStyle/>
        <a:p>
          <a:pPr>
            <a:defRPr sz="1400" b="1"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1037004474214591"/>
          <c:y val="2.995674324590207E-2"/>
          <c:w val="0.75901587001745896"/>
          <c:h val="0.6138166574408348"/>
        </c:manualLayout>
      </c:layout>
      <c:barChart>
        <c:barDir val="col"/>
        <c:grouping val="stacked"/>
        <c:varyColors val="0"/>
        <c:ser>
          <c:idx val="0"/>
          <c:order val="0"/>
          <c:tx>
            <c:strRef>
              <c:f>'average-execution-time'!$B$36</c:f>
              <c:strCache>
                <c:ptCount val="1"/>
                <c:pt idx="0">
                  <c:v>SWDF BGP-only</c:v>
                </c:pt>
              </c:strCache>
            </c:strRef>
          </c:tx>
          <c:spPr>
            <a:pattFill prst="pct90">
              <a:fgClr>
                <a:schemeClr val="accent4">
                  <a:lumMod val="75000"/>
                </a:schemeClr>
              </a:fgClr>
              <a:bgClr>
                <a:schemeClr val="bg1"/>
              </a:bgClr>
            </a:patt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'average-execution-time'!$A$37:$A$43</c:f>
              <c:strCache>
                <c:ptCount val="7"/>
                <c:pt idx="0">
                  <c:v>PB</c:v>
                </c:pt>
                <c:pt idx="1">
                  <c:v>SB</c:v>
                </c:pt>
                <c:pt idx="2">
                  <c:v>Hi</c:v>
                </c:pt>
                <c:pt idx="3">
                  <c:v>Ho</c:v>
                </c:pt>
                <c:pt idx="4">
                  <c:v>TC</c:v>
                </c:pt>
                <c:pt idx="5">
                  <c:v>ME</c:v>
                </c:pt>
                <c:pt idx="6">
                  <c:v>RB</c:v>
                </c:pt>
              </c:strCache>
            </c:strRef>
          </c:cat>
          <c:val>
            <c:numRef>
              <c:f>'average-execution-time'!$B$37:$B$43</c:f>
              <c:numCache>
                <c:formatCode>0.0</c:formatCode>
                <c:ptCount val="7"/>
                <c:pt idx="0">
                  <c:v>3.663923333333333</c:v>
                </c:pt>
                <c:pt idx="1">
                  <c:v>3.5217433333333332</c:v>
                </c:pt>
                <c:pt idx="2">
                  <c:v>3.5112700000000001</c:v>
                </c:pt>
                <c:pt idx="3">
                  <c:v>3.4685166666666669</c:v>
                </c:pt>
                <c:pt idx="4">
                  <c:v>3.5047366666666666</c:v>
                </c:pt>
                <c:pt idx="5">
                  <c:v>3.5088566666666665</c:v>
                </c:pt>
                <c:pt idx="6">
                  <c:v>3.8161033333333334</c:v>
                </c:pt>
              </c:numCache>
            </c:numRef>
          </c:val>
        </c:ser>
        <c:ser>
          <c:idx val="1"/>
          <c:order val="1"/>
          <c:tx>
            <c:strRef>
              <c:f>'average-execution-time'!$C$36</c:f>
              <c:strCache>
                <c:ptCount val="1"/>
                <c:pt idx="0">
                  <c:v>DBpedia BGP-only</c:v>
                </c:pt>
              </c:strCache>
            </c:strRef>
          </c:tx>
          <c:spPr>
            <a:pattFill prst="pct75">
              <a:fgClr>
                <a:schemeClr val="accent6"/>
              </a:fgClr>
              <a:bgClr>
                <a:schemeClr val="bg1"/>
              </a:bgClr>
            </a:patt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'average-execution-time'!$A$37:$A$43</c:f>
              <c:strCache>
                <c:ptCount val="7"/>
                <c:pt idx="0">
                  <c:v>PB</c:v>
                </c:pt>
                <c:pt idx="1">
                  <c:v>SB</c:v>
                </c:pt>
                <c:pt idx="2">
                  <c:v>Hi</c:v>
                </c:pt>
                <c:pt idx="3">
                  <c:v>Ho</c:v>
                </c:pt>
                <c:pt idx="4">
                  <c:v>TC</c:v>
                </c:pt>
                <c:pt idx="5">
                  <c:v>ME</c:v>
                </c:pt>
                <c:pt idx="6">
                  <c:v>RB</c:v>
                </c:pt>
              </c:strCache>
            </c:strRef>
          </c:cat>
          <c:val>
            <c:numRef>
              <c:f>'average-execution-time'!$C$37:$C$43</c:f>
              <c:numCache>
                <c:formatCode>0.0</c:formatCode>
                <c:ptCount val="7"/>
                <c:pt idx="0">
                  <c:v>71.673744444444438</c:v>
                </c:pt>
                <c:pt idx="1">
                  <c:v>32.30966423357664</c:v>
                </c:pt>
                <c:pt idx="2">
                  <c:v>77.351153846153849</c:v>
                </c:pt>
                <c:pt idx="3">
                  <c:v>5.3177169811320759</c:v>
                </c:pt>
                <c:pt idx="4">
                  <c:v>47.016414414414413</c:v>
                </c:pt>
                <c:pt idx="5">
                  <c:v>17.464217948717948</c:v>
                </c:pt>
                <c:pt idx="6" formatCode="0">
                  <c:v>1105.729</c:v>
                </c:pt>
              </c:numCache>
            </c:numRef>
          </c:val>
        </c:ser>
        <c:dLbls>
          <c:dLblPos val="ctr"/>
          <c:showLegendKey val="0"/>
          <c:showVal val="1"/>
          <c:showCatName val="0"/>
          <c:showSerName val="0"/>
          <c:showPercent val="0"/>
          <c:showBubbleSize val="0"/>
        </c:dLbls>
        <c:gapWidth val="40"/>
        <c:overlap val="100"/>
        <c:axId val="1118643120"/>
        <c:axId val="1118639856"/>
      </c:barChart>
      <c:catAx>
        <c:axId val="11186431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endParaRPr lang="en-US"/>
          </a:p>
        </c:txPr>
        <c:crossAx val="1118639856"/>
        <c:crossesAt val="1.0000000000000002E-2"/>
        <c:auto val="1"/>
        <c:lblAlgn val="ctr"/>
        <c:lblOffset val="100"/>
        <c:noMultiLvlLbl val="0"/>
      </c:catAx>
      <c:valAx>
        <c:axId val="1118639856"/>
        <c:scaling>
          <c:logBase val="10"/>
          <c:orientation val="minMax"/>
          <c:max val="1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lang="en-US" sz="1400" b="1" i="0" u="none" strike="noStrike" kern="1200" baseline="0">
                    <a:solidFill>
                      <a:sysClr val="windowText" lastClr="000000"/>
                    </a:solidFill>
                    <a:latin typeface="+mn-lt"/>
                    <a:ea typeface="+mn-ea"/>
                    <a:cs typeface="+mn-cs"/>
                  </a:defRPr>
                </a:pPr>
                <a:r>
                  <a:rPr lang="en-US" sz="1400" b="1" i="0" u="none" strike="noStrike" kern="1200" baseline="0" dirty="0">
                    <a:solidFill>
                      <a:sysClr val="windowText" lastClr="000000"/>
                    </a:solidFill>
                    <a:latin typeface="+mn-lt"/>
                    <a:ea typeface="+mn-ea"/>
                    <a:cs typeface="+mn-cs"/>
                  </a:rPr>
                  <a:t> </a:t>
                </a:r>
                <a:r>
                  <a:rPr lang="en-US" sz="1400" b="1" i="0" u="none" strike="noStrike" baseline="0">
                    <a:effectLst/>
                  </a:rPr>
                  <a:t>Average </a:t>
                </a:r>
                <a:r>
                  <a:rPr lang="en-US" sz="1400" b="1" i="0" u="none" strike="noStrike" kern="1200" baseline="0" dirty="0">
                    <a:solidFill>
                      <a:sysClr val="windowText" lastClr="000000"/>
                    </a:solidFill>
                    <a:latin typeface="+mn-lt"/>
                    <a:ea typeface="+mn-ea"/>
                    <a:cs typeface="+mn-cs"/>
                  </a:rPr>
                  <a:t>execution time in sec </a:t>
                </a:r>
                <a:endParaRPr lang="en-US" sz="1400" b="1" i="0" u="none" strike="noStrike" kern="1200" baseline="0" dirty="0" smtClean="0">
                  <a:solidFill>
                    <a:sysClr val="windowText" lastClr="000000"/>
                  </a:solidFill>
                  <a:latin typeface="+mn-lt"/>
                  <a:ea typeface="+mn-ea"/>
                  <a:cs typeface="+mn-cs"/>
                </a:endParaRPr>
              </a:p>
              <a:p>
                <a:pPr marL="0" marR="0" lvl="0" indent="0" algn="ctr" defTabSz="914400" rtl="0" eaLnBrk="1" fontAlgn="auto" latinLnBrk="0" hangingPunct="1">
                  <a:lnSpc>
                    <a:spcPct val="100000"/>
                  </a:lnSpc>
                  <a:spcBef>
                    <a:spcPts val="0"/>
                  </a:spcBef>
                  <a:spcAft>
                    <a:spcPts val="0"/>
                  </a:spcAft>
                  <a:buClrTx/>
                  <a:buSzTx/>
                  <a:buFontTx/>
                  <a:buNone/>
                  <a:tabLst/>
                  <a:defRPr lang="en-US" sz="1400" b="1">
                    <a:solidFill>
                      <a:sysClr val="windowText" lastClr="000000"/>
                    </a:solidFill>
                  </a:defRPr>
                </a:pPr>
                <a:r>
                  <a:rPr lang="en-US" sz="1400" b="1" i="0" u="none" strike="noStrike" kern="1200" baseline="0" dirty="0" smtClean="0">
                    <a:solidFill>
                      <a:sysClr val="windowText" lastClr="000000"/>
                    </a:solidFill>
                    <a:latin typeface="+mn-lt"/>
                    <a:ea typeface="+mn-ea"/>
                    <a:cs typeface="+mn-cs"/>
                  </a:rPr>
                  <a:t>(</a:t>
                </a:r>
                <a:r>
                  <a:rPr lang="en-US" sz="1400" b="1" i="0" u="none" strike="noStrike" kern="1200" baseline="0" dirty="0">
                    <a:solidFill>
                      <a:sysClr val="windowText" lastClr="000000"/>
                    </a:solidFill>
                    <a:latin typeface="+mn-lt"/>
                    <a:ea typeface="+mn-ea"/>
                    <a:cs typeface="+mn-cs"/>
                  </a:rPr>
                  <a:t>log scale)</a:t>
                </a:r>
              </a:p>
              <a:p>
                <a:pPr marL="0" marR="0" lvl="0" indent="0" algn="ctr" defTabSz="914400" rtl="0" eaLnBrk="1" fontAlgn="auto" latinLnBrk="0" hangingPunct="1">
                  <a:lnSpc>
                    <a:spcPct val="100000"/>
                  </a:lnSpc>
                  <a:spcBef>
                    <a:spcPts val="0"/>
                  </a:spcBef>
                  <a:spcAft>
                    <a:spcPts val="0"/>
                  </a:spcAft>
                  <a:buClrTx/>
                  <a:buSzTx/>
                  <a:buFontTx/>
                  <a:buNone/>
                  <a:tabLst/>
                  <a:defRPr lang="en-US" sz="1400" b="1">
                    <a:solidFill>
                      <a:sysClr val="windowText" lastClr="000000"/>
                    </a:solidFill>
                  </a:defRPr>
                </a:pPr>
                <a:endParaRPr lang="en-US" sz="1400" b="1" i="0" u="none" strike="noStrike" kern="1200" baseline="0" dirty="0">
                  <a:solidFill>
                    <a:sysClr val="windowText" lastClr="000000"/>
                  </a:solidFill>
                  <a:latin typeface="+mn-lt"/>
                  <a:ea typeface="+mn-ea"/>
                  <a:cs typeface="+mn-cs"/>
                </a:endParaRPr>
              </a:p>
            </c:rich>
          </c:tx>
          <c:layout>
            <c:manualLayout>
              <c:xMode val="edge"/>
              <c:yMode val="edge"/>
              <c:x val="9.3185767240301753E-2"/>
              <c:y val="7.864825599420891E-2"/>
            </c:manualLayout>
          </c:layout>
          <c:overlay val="0"/>
          <c:spPr>
            <a:noFill/>
            <a:ln>
              <a:noFill/>
            </a:ln>
            <a:effectLst/>
          </c:spPr>
          <c:txPr>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lang="en-US" sz="1400" b="1" i="0" u="none" strike="noStrike" kern="1200" baseline="0">
                  <a:solidFill>
                    <a:sysClr val="windowText" lastClr="000000"/>
                  </a:solidFill>
                  <a:latin typeface="+mn-lt"/>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endParaRPr lang="en-US"/>
          </a:p>
        </c:txPr>
        <c:crossAx val="1118643120"/>
        <c:crosses val="autoZero"/>
        <c:crossBetween val="between"/>
      </c:valAx>
      <c:spPr>
        <a:noFill/>
        <a:ln>
          <a:noFill/>
        </a:ln>
        <a:effectLst/>
      </c:spPr>
    </c:plotArea>
    <c:legend>
      <c:legendPos val="b"/>
      <c:layout>
        <c:manualLayout>
          <c:xMode val="edge"/>
          <c:yMode val="edge"/>
          <c:x val="0.17768095882545931"/>
          <c:y val="0.6823411463101996"/>
          <c:w val="0.78879203576115486"/>
          <c:h val="0.11500434902032594"/>
        </c:manualLayout>
      </c:layout>
      <c:overlay val="0"/>
      <c:spPr>
        <a:noFill/>
        <a:ln>
          <a:noFill/>
        </a:ln>
        <a:effectLst/>
      </c:spPr>
      <c:txPr>
        <a:bodyPr rot="0" spcFirstLastPara="1" vertOverflow="ellipsis" vert="horz" wrap="square" anchor="ctr" anchorCtr="1"/>
        <a:lstStyle/>
        <a:p>
          <a:pPr>
            <a:defRPr sz="1400" b="1"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5039763569983969E-3"/>
          <c:y val="0.13105494390738751"/>
          <c:w val="0.96433987089603801"/>
          <c:h val="0.60860588188882236"/>
        </c:manualLayout>
      </c:layout>
      <c:barChart>
        <c:barDir val="col"/>
        <c:grouping val="clustered"/>
        <c:varyColors val="0"/>
        <c:ser>
          <c:idx val="0"/>
          <c:order val="0"/>
          <c:tx>
            <c:strRef>
              <c:f>'average-execution-time'!$B$54</c:f>
              <c:strCache>
                <c:ptCount val="1"/>
                <c:pt idx="0">
                  <c:v>PB</c:v>
                </c:pt>
              </c:strCache>
            </c:strRef>
          </c:tx>
          <c:spPr>
            <a:pattFill prst="pct75">
              <a:fgClr>
                <a:schemeClr val="accent6">
                  <a:lumMod val="50000"/>
                </a:schemeClr>
              </a:fgClr>
              <a:bgClr>
                <a:schemeClr val="bg1"/>
              </a:bgClr>
            </a:pattFill>
            <a:ln>
              <a:noFill/>
            </a:ln>
            <a:effectLst/>
          </c:spPr>
          <c:invertIfNegative val="0"/>
          <c:dLbls>
            <c:spPr>
              <a:noFill/>
              <a:ln>
                <a:noFill/>
              </a:ln>
              <a:effectLst/>
            </c:spPr>
            <c:txPr>
              <a:bodyPr rot="-5400000" spcFirstLastPara="1" vertOverflow="clip" horzOverflow="clip" vert="horz" wrap="square" lIns="38100" tIns="19050" rIns="38100" bIns="19050" anchor="ctr" anchorCtr="0">
                <a:spAutoFit/>
              </a:bodyPr>
              <a:lstStyle/>
              <a:p>
                <a:pPr algn="ctr">
                  <a:defRPr lang="en-US" sz="24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'average-execution-time'!$A$55:$A$58</c:f>
              <c:strCache>
                <c:ptCount val="4"/>
                <c:pt idx="0">
                  <c:v>SW-BGP</c:v>
                </c:pt>
                <c:pt idx="1">
                  <c:v>SW-FF</c:v>
                </c:pt>
                <c:pt idx="2">
                  <c:v>DB-BGP</c:v>
                </c:pt>
                <c:pt idx="3">
                  <c:v>DB-FF</c:v>
                </c:pt>
              </c:strCache>
            </c:strRef>
          </c:cat>
          <c:val>
            <c:numRef>
              <c:f>'average-execution-time'!$B$55:$B$58</c:f>
              <c:numCache>
                <c:formatCode>0.00</c:formatCode>
                <c:ptCount val="4"/>
                <c:pt idx="0">
                  <c:v>3.7893333333333327E-2</c:v>
                </c:pt>
                <c:pt idx="1">
                  <c:v>4.4033018867924527</c:v>
                </c:pt>
                <c:pt idx="2">
                  <c:v>23.201458955223881</c:v>
                </c:pt>
                <c:pt idx="3">
                  <c:v>5.5859559471365641</c:v>
                </c:pt>
              </c:numCache>
            </c:numRef>
          </c:val>
        </c:ser>
        <c:ser>
          <c:idx val="1"/>
          <c:order val="1"/>
          <c:tx>
            <c:strRef>
              <c:f>'average-execution-time'!$C$54</c:f>
              <c:strCache>
                <c:ptCount val="1"/>
                <c:pt idx="0">
                  <c:v>SB</c:v>
                </c:pt>
              </c:strCache>
            </c:strRef>
          </c:tx>
          <c:spPr>
            <a:pattFill prst="pct80">
              <a:fgClr>
                <a:schemeClr val="accent2"/>
              </a:fgClr>
              <a:bgClr>
                <a:schemeClr val="bg1"/>
              </a:bgClr>
            </a:pattFill>
            <a:ln>
              <a:noFill/>
            </a:ln>
            <a:effectLst/>
          </c:spPr>
          <c:invertIfNegative val="0"/>
          <c:dLbls>
            <c:spPr>
              <a:noFill/>
              <a:ln>
                <a:noFill/>
              </a:ln>
              <a:effectLst/>
            </c:spPr>
            <c:txPr>
              <a:bodyPr rot="-5400000" spcFirstLastPara="1" vertOverflow="clip" horzOverflow="clip" vert="horz" wrap="square" lIns="38100" tIns="19050" rIns="38100" bIns="19050" anchor="ctr" anchorCtr="0">
                <a:spAutoFit/>
              </a:bodyPr>
              <a:lstStyle/>
              <a:p>
                <a:pPr algn="ctr">
                  <a:defRPr lang="en-US" sz="24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'average-execution-time'!$A$55:$A$58</c:f>
              <c:strCache>
                <c:ptCount val="4"/>
                <c:pt idx="0">
                  <c:v>SW-BGP</c:v>
                </c:pt>
                <c:pt idx="1">
                  <c:v>SW-FF</c:v>
                </c:pt>
                <c:pt idx="2">
                  <c:v>DB-BGP</c:v>
                </c:pt>
                <c:pt idx="3">
                  <c:v>DB-FF</c:v>
                </c:pt>
              </c:strCache>
            </c:strRef>
          </c:cat>
          <c:val>
            <c:numRef>
              <c:f>'average-execution-time'!$C$55:$C$58</c:f>
              <c:numCache>
                <c:formatCode>0.00</c:formatCode>
                <c:ptCount val="4"/>
                <c:pt idx="0">
                  <c:v>6.6883333333333336E-2</c:v>
                </c:pt>
                <c:pt idx="1">
                  <c:v>4.4435543478260868</c:v>
                </c:pt>
                <c:pt idx="2">
                  <c:v>10.103756457564575</c:v>
                </c:pt>
                <c:pt idx="3">
                  <c:v>11.62226406926407</c:v>
                </c:pt>
              </c:numCache>
            </c:numRef>
          </c:val>
        </c:ser>
        <c:ser>
          <c:idx val="2"/>
          <c:order val="2"/>
          <c:tx>
            <c:strRef>
              <c:f>'average-execution-time'!$D$54</c:f>
              <c:strCache>
                <c:ptCount val="1"/>
                <c:pt idx="0">
                  <c:v>Hi</c:v>
                </c:pt>
              </c:strCache>
            </c:strRef>
          </c:tx>
          <c:spPr>
            <a:pattFill prst="pct90">
              <a:fgClr>
                <a:schemeClr val="accent3"/>
              </a:fgClr>
              <a:bgClr>
                <a:schemeClr val="bg1"/>
              </a:bgClr>
            </a:pattFill>
            <a:ln>
              <a:noFill/>
            </a:ln>
            <a:effectLst/>
          </c:spPr>
          <c:invertIfNegative val="0"/>
          <c:dLbls>
            <c:spPr>
              <a:noFill/>
              <a:ln>
                <a:noFill/>
              </a:ln>
              <a:effectLst/>
            </c:spPr>
            <c:txPr>
              <a:bodyPr rot="-5400000" spcFirstLastPara="1" vertOverflow="clip" horzOverflow="clip" vert="horz" wrap="square" lIns="38100" tIns="19050" rIns="38100" bIns="19050" anchor="ctr" anchorCtr="0">
                <a:spAutoFit/>
              </a:bodyPr>
              <a:lstStyle/>
              <a:p>
                <a:pPr algn="ctr">
                  <a:defRPr lang="en-US" sz="24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'average-execution-time'!$A$55:$A$58</c:f>
              <c:strCache>
                <c:ptCount val="4"/>
                <c:pt idx="0">
                  <c:v>SW-BGP</c:v>
                </c:pt>
                <c:pt idx="1">
                  <c:v>SW-FF</c:v>
                </c:pt>
                <c:pt idx="2">
                  <c:v>DB-BGP</c:v>
                </c:pt>
                <c:pt idx="3">
                  <c:v>DB-FF</c:v>
                </c:pt>
              </c:strCache>
            </c:strRef>
          </c:cat>
          <c:val>
            <c:numRef>
              <c:f>'average-execution-time'!$D$55:$D$58</c:f>
              <c:numCache>
                <c:formatCode>0.00</c:formatCode>
                <c:ptCount val="4"/>
                <c:pt idx="0">
                  <c:v>6.9409999999999999E-2</c:v>
                </c:pt>
                <c:pt idx="1">
                  <c:v>4.434007352941177</c:v>
                </c:pt>
                <c:pt idx="2">
                  <c:v>10.488319852941176</c:v>
                </c:pt>
                <c:pt idx="3">
                  <c:v>9.1643086956521742</c:v>
                </c:pt>
              </c:numCache>
            </c:numRef>
          </c:val>
        </c:ser>
        <c:ser>
          <c:idx val="3"/>
          <c:order val="3"/>
          <c:tx>
            <c:strRef>
              <c:f>'average-execution-time'!$E$54</c:f>
              <c:strCache>
                <c:ptCount val="1"/>
                <c:pt idx="0">
                  <c:v>Ho</c:v>
                </c:pt>
              </c:strCache>
            </c:strRef>
          </c:tx>
          <c:spPr>
            <a:pattFill prst="dkDnDiag">
              <a:fgClr>
                <a:schemeClr val="accent4"/>
              </a:fgClr>
              <a:bgClr>
                <a:schemeClr val="bg1"/>
              </a:bgClr>
            </a:pattFill>
            <a:ln>
              <a:noFill/>
            </a:ln>
            <a:effectLst/>
          </c:spPr>
          <c:invertIfNegative val="0"/>
          <c:dLbls>
            <c:spPr>
              <a:noFill/>
              <a:ln>
                <a:noFill/>
              </a:ln>
              <a:effectLst/>
            </c:spPr>
            <c:txPr>
              <a:bodyPr rot="-5400000" spcFirstLastPara="1" vertOverflow="clip" horzOverflow="clip" vert="horz" wrap="square" lIns="38100" tIns="19050" rIns="38100" bIns="19050" anchor="ctr" anchorCtr="0">
                <a:spAutoFit/>
              </a:bodyPr>
              <a:lstStyle/>
              <a:p>
                <a:pPr algn="ctr">
                  <a:defRPr lang="en-US" sz="24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'average-execution-time'!$A$55:$A$58</c:f>
              <c:strCache>
                <c:ptCount val="4"/>
                <c:pt idx="0">
                  <c:v>SW-BGP</c:v>
                </c:pt>
                <c:pt idx="1">
                  <c:v>SW-FF</c:v>
                </c:pt>
                <c:pt idx="2">
                  <c:v>DB-BGP</c:v>
                </c:pt>
                <c:pt idx="3">
                  <c:v>DB-FF</c:v>
                </c:pt>
              </c:strCache>
            </c:strRef>
          </c:cat>
          <c:val>
            <c:numRef>
              <c:f>'average-execution-time'!$E$55:$E$58</c:f>
              <c:numCache>
                <c:formatCode>0.00</c:formatCode>
                <c:ptCount val="4"/>
                <c:pt idx="0">
                  <c:v>5.7096666666666664E-2</c:v>
                </c:pt>
                <c:pt idx="1">
                  <c:v>4.1937534722222223</c:v>
                </c:pt>
                <c:pt idx="2">
                  <c:v>10.06489219330855</c:v>
                </c:pt>
                <c:pt idx="3">
                  <c:v>7.6047929515418504</c:v>
                </c:pt>
              </c:numCache>
            </c:numRef>
          </c:val>
        </c:ser>
        <c:ser>
          <c:idx val="4"/>
          <c:order val="4"/>
          <c:tx>
            <c:strRef>
              <c:f>'average-execution-time'!$F$54</c:f>
              <c:strCache>
                <c:ptCount val="1"/>
                <c:pt idx="0">
                  <c:v>TC</c:v>
                </c:pt>
              </c:strCache>
            </c:strRef>
          </c:tx>
          <c:spPr>
            <a:pattFill prst="dkUpDiag">
              <a:fgClr>
                <a:schemeClr val="accent5"/>
              </a:fgClr>
              <a:bgClr>
                <a:schemeClr val="bg1"/>
              </a:bgClr>
            </a:pattFill>
            <a:ln>
              <a:noFill/>
            </a:ln>
            <a:effectLst/>
          </c:spPr>
          <c:invertIfNegative val="0"/>
          <c:dLbls>
            <c:spPr>
              <a:noFill/>
              <a:ln>
                <a:noFill/>
              </a:ln>
              <a:effectLst/>
            </c:spPr>
            <c:txPr>
              <a:bodyPr rot="-5400000" spcFirstLastPara="1" vertOverflow="clip" horzOverflow="clip" vert="horz" wrap="square" lIns="38100" tIns="19050" rIns="38100" bIns="19050" anchor="ctr" anchorCtr="0">
                <a:spAutoFit/>
              </a:bodyPr>
              <a:lstStyle/>
              <a:p>
                <a:pPr algn="ctr">
                  <a:defRPr lang="en-US" sz="24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'average-execution-time'!$A$55:$A$58</c:f>
              <c:strCache>
                <c:ptCount val="4"/>
                <c:pt idx="0">
                  <c:v>SW-BGP</c:v>
                </c:pt>
                <c:pt idx="1">
                  <c:v>SW-FF</c:v>
                </c:pt>
                <c:pt idx="2">
                  <c:v>DB-BGP</c:v>
                </c:pt>
                <c:pt idx="3">
                  <c:v>DB-FF</c:v>
                </c:pt>
              </c:strCache>
            </c:strRef>
          </c:cat>
          <c:val>
            <c:numRef>
              <c:f>'average-execution-time'!$F$55:$F$58</c:f>
              <c:numCache>
                <c:formatCode>0.00</c:formatCode>
                <c:ptCount val="4"/>
                <c:pt idx="0">
                  <c:v>6.6849999999999993E-2</c:v>
                </c:pt>
                <c:pt idx="1">
                  <c:v>4.3894818840579708</c:v>
                </c:pt>
                <c:pt idx="2">
                  <c:v>8.6665433962264142</c:v>
                </c:pt>
                <c:pt idx="3">
                  <c:v>8.6596478260869567</c:v>
                </c:pt>
              </c:numCache>
            </c:numRef>
          </c:val>
        </c:ser>
        <c:ser>
          <c:idx val="5"/>
          <c:order val="5"/>
          <c:tx>
            <c:strRef>
              <c:f>'average-execution-time'!$G$54</c:f>
              <c:strCache>
                <c:ptCount val="1"/>
                <c:pt idx="0">
                  <c:v>ME</c:v>
                </c:pt>
              </c:strCache>
            </c:strRef>
          </c:tx>
          <c:spPr>
            <a:pattFill prst="trellis">
              <a:fgClr>
                <a:schemeClr val="accent6"/>
              </a:fgClr>
              <a:bgClr>
                <a:schemeClr val="bg1"/>
              </a:bgClr>
            </a:pattFill>
            <a:ln>
              <a:noFill/>
            </a:ln>
            <a:effectLst/>
          </c:spPr>
          <c:invertIfNegative val="0"/>
          <c:dLbls>
            <c:spPr>
              <a:noFill/>
              <a:ln>
                <a:noFill/>
              </a:ln>
              <a:effectLst/>
            </c:spPr>
            <c:txPr>
              <a:bodyPr rot="-5400000" spcFirstLastPara="1" vertOverflow="clip" horzOverflow="clip" vert="horz" wrap="square" lIns="38100" tIns="19050" rIns="38100" bIns="19050" anchor="ctr" anchorCtr="0">
                <a:spAutoFit/>
              </a:bodyPr>
              <a:lstStyle/>
              <a:p>
                <a:pPr algn="ctr">
                  <a:defRPr lang="en-US" sz="24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'average-execution-time'!$A$55:$A$58</c:f>
              <c:strCache>
                <c:ptCount val="4"/>
                <c:pt idx="0">
                  <c:v>SW-BGP</c:v>
                </c:pt>
                <c:pt idx="1">
                  <c:v>SW-FF</c:v>
                </c:pt>
                <c:pt idx="2">
                  <c:v>DB-BGP</c:v>
                </c:pt>
                <c:pt idx="3">
                  <c:v>DB-FF</c:v>
                </c:pt>
              </c:strCache>
            </c:strRef>
          </c:cat>
          <c:val>
            <c:numRef>
              <c:f>'average-execution-time'!$G$55:$G$58</c:f>
              <c:numCache>
                <c:formatCode>0.00</c:formatCode>
                <c:ptCount val="4"/>
                <c:pt idx="0">
                  <c:v>6.8043333333333331E-2</c:v>
                </c:pt>
                <c:pt idx="1">
                  <c:v>4.4353814814814818</c:v>
                </c:pt>
                <c:pt idx="2">
                  <c:v>9.0048113207547171</c:v>
                </c:pt>
                <c:pt idx="3">
                  <c:v>8.2238141592920346</c:v>
                </c:pt>
              </c:numCache>
            </c:numRef>
          </c:val>
        </c:ser>
        <c:ser>
          <c:idx val="6"/>
          <c:order val="6"/>
          <c:tx>
            <c:strRef>
              <c:f>'average-execution-time'!$H$54</c:f>
              <c:strCache>
                <c:ptCount val="1"/>
                <c:pt idx="0">
                  <c:v>RB</c:v>
                </c:pt>
              </c:strCache>
            </c:strRef>
          </c:tx>
          <c:spPr>
            <a:pattFill prst="pct50">
              <a:fgClr>
                <a:schemeClr val="accent5">
                  <a:lumMod val="75000"/>
                </a:schemeClr>
              </a:fgClr>
              <a:bgClr>
                <a:schemeClr val="bg1"/>
              </a:bgClr>
            </a:pattFill>
            <a:ln>
              <a:noFill/>
            </a:ln>
            <a:effectLst/>
          </c:spPr>
          <c:invertIfNegative val="0"/>
          <c:dLbls>
            <c:spPr>
              <a:noFill/>
              <a:ln>
                <a:noFill/>
              </a:ln>
              <a:effectLst/>
            </c:spPr>
            <c:txPr>
              <a:bodyPr rot="-5400000" spcFirstLastPara="1" vertOverflow="clip" horzOverflow="clip" vert="horz" wrap="square" lIns="38100" tIns="19050" rIns="38100" bIns="19050" anchor="ctr" anchorCtr="0">
                <a:spAutoFit/>
              </a:bodyPr>
              <a:lstStyle/>
              <a:p>
                <a:pPr algn="ctr">
                  <a:defRPr lang="en-US" sz="24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'average-execution-time'!$A$55:$A$58</c:f>
              <c:strCache>
                <c:ptCount val="4"/>
                <c:pt idx="0">
                  <c:v>SW-BGP</c:v>
                </c:pt>
                <c:pt idx="1">
                  <c:v>SW-FF</c:v>
                </c:pt>
                <c:pt idx="2">
                  <c:v>DB-BGP</c:v>
                </c:pt>
                <c:pt idx="3">
                  <c:v>DB-FF</c:v>
                </c:pt>
              </c:strCache>
            </c:strRef>
          </c:cat>
          <c:val>
            <c:numRef>
              <c:f>'average-execution-time'!$H$55:$H$58</c:f>
              <c:numCache>
                <c:formatCode>0.00</c:formatCode>
                <c:ptCount val="4"/>
                <c:pt idx="0">
                  <c:v>6.7110000000000003E-2</c:v>
                </c:pt>
                <c:pt idx="1">
                  <c:v>4.8481316725978649</c:v>
                </c:pt>
                <c:pt idx="2">
                  <c:v>8.2033656716417926</c:v>
                </c:pt>
                <c:pt idx="3">
                  <c:v>6.963621739130434</c:v>
                </c:pt>
              </c:numCache>
            </c:numRef>
          </c:val>
        </c:ser>
        <c:ser>
          <c:idx val="7"/>
          <c:order val="7"/>
          <c:tx>
            <c:strRef>
              <c:f>'average-execution-time'!$I$54</c:f>
              <c:strCache>
                <c:ptCount val="1"/>
                <c:pt idx="0">
                  <c:v>MCL</c:v>
                </c:pt>
              </c:strCache>
            </c:strRef>
          </c:tx>
          <c:spPr>
            <a:pattFill prst="pct70">
              <a:fgClr>
                <a:schemeClr val="accent2">
                  <a:lumMod val="50000"/>
                </a:schemeClr>
              </a:fgClr>
              <a:bgClr>
                <a:schemeClr val="bg1"/>
              </a:bgClr>
            </a:pattFill>
            <a:ln>
              <a:noFill/>
            </a:ln>
            <a:effectLst/>
          </c:spPr>
          <c:invertIfNegative val="0"/>
          <c:dLbls>
            <c:spPr>
              <a:noFill/>
              <a:ln>
                <a:noFill/>
              </a:ln>
              <a:effectLst/>
            </c:spPr>
            <c:txPr>
              <a:bodyPr rot="-5400000" spcFirstLastPara="1" vertOverflow="clip" horzOverflow="clip" vert="horz" wrap="square" lIns="38100" tIns="19050" rIns="38100" bIns="19050" anchor="ctr" anchorCtr="0">
                <a:spAutoFit/>
              </a:bodyPr>
              <a:lstStyle/>
              <a:p>
                <a:pPr algn="ctr">
                  <a:defRPr lang="en-US" sz="24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'average-execution-time'!$A$55:$A$58</c:f>
              <c:strCache>
                <c:ptCount val="4"/>
                <c:pt idx="0">
                  <c:v>SW-BGP</c:v>
                </c:pt>
                <c:pt idx="1">
                  <c:v>SW-FF</c:v>
                </c:pt>
                <c:pt idx="2">
                  <c:v>DB-BGP</c:v>
                </c:pt>
                <c:pt idx="3">
                  <c:v>DB-FF</c:v>
                </c:pt>
              </c:strCache>
            </c:strRef>
          </c:cat>
          <c:val>
            <c:numRef>
              <c:f>'average-execution-time'!$I$55:$I$58</c:f>
              <c:numCache>
                <c:formatCode>0.00</c:formatCode>
                <c:ptCount val="4"/>
                <c:pt idx="0">
                  <c:v>5.3179999999999998E-2</c:v>
                </c:pt>
                <c:pt idx="1">
                  <c:v>4.653517857142857</c:v>
                </c:pt>
                <c:pt idx="2">
                  <c:v>6.3044846153846157</c:v>
                </c:pt>
                <c:pt idx="3">
                  <c:v>8.5278879310344813</c:v>
                </c:pt>
              </c:numCache>
            </c:numRef>
          </c:val>
        </c:ser>
        <c:ser>
          <c:idx val="8"/>
          <c:order val="8"/>
          <c:tx>
            <c:strRef>
              <c:f>'average-execution-time'!$J$54</c:f>
              <c:strCache>
                <c:ptCount val="1"/>
                <c:pt idx="0">
                  <c:v>Pco</c:v>
                </c:pt>
              </c:strCache>
            </c:strRef>
          </c:tx>
          <c:spPr>
            <a:pattFill prst="lgCheck">
              <a:fgClr>
                <a:schemeClr val="accent4">
                  <a:lumMod val="50000"/>
                </a:schemeClr>
              </a:fgClr>
              <a:bgClr>
                <a:schemeClr val="bg1"/>
              </a:bgClr>
            </a:pattFill>
            <a:ln>
              <a:noFill/>
            </a:ln>
            <a:effectLst/>
          </c:spPr>
          <c:invertIfNegative val="0"/>
          <c:dLbls>
            <c:spPr>
              <a:noFill/>
              <a:ln>
                <a:noFill/>
              </a:ln>
              <a:effectLst/>
            </c:spPr>
            <c:txPr>
              <a:bodyPr rot="-5400000" spcFirstLastPara="1" vertOverflow="clip" horzOverflow="clip" vert="horz" wrap="square" lIns="38100" tIns="19050" rIns="38100" bIns="19050" anchor="ctr" anchorCtr="0">
                <a:spAutoFit/>
              </a:bodyPr>
              <a:lstStyle/>
              <a:p>
                <a:pPr algn="ctr">
                  <a:defRPr lang="en-US" sz="24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'average-execution-time'!$A$55:$A$58</c:f>
              <c:strCache>
                <c:ptCount val="4"/>
                <c:pt idx="0">
                  <c:v>SW-BGP</c:v>
                </c:pt>
                <c:pt idx="1">
                  <c:v>SW-FF</c:v>
                </c:pt>
                <c:pt idx="2">
                  <c:v>DB-BGP</c:v>
                </c:pt>
                <c:pt idx="3">
                  <c:v>DB-FF</c:v>
                </c:pt>
              </c:strCache>
            </c:strRef>
          </c:cat>
          <c:val>
            <c:numRef>
              <c:f>'average-execution-time'!$J$55:$J$58</c:f>
              <c:numCache>
                <c:formatCode>0.0</c:formatCode>
                <c:ptCount val="4"/>
                <c:pt idx="0" formatCode="0.00">
                  <c:v>1.0459999999999999E-2</c:v>
                </c:pt>
                <c:pt idx="1">
                  <c:v>0.81569999999999998</c:v>
                </c:pt>
                <c:pt idx="2" formatCode="0.00">
                  <c:v>6.3993145161290323</c:v>
                </c:pt>
                <c:pt idx="3">
                  <c:v>11.317495652173912</c:v>
                </c:pt>
              </c:numCache>
            </c:numRef>
          </c:val>
        </c:ser>
        <c:dLbls>
          <c:dLblPos val="outEnd"/>
          <c:showLegendKey val="0"/>
          <c:showVal val="1"/>
          <c:showCatName val="0"/>
          <c:showSerName val="0"/>
          <c:showPercent val="0"/>
          <c:showBubbleSize val="0"/>
        </c:dLbls>
        <c:gapWidth val="20"/>
        <c:overlap val="-20"/>
        <c:axId val="1118643664"/>
        <c:axId val="1118644752"/>
      </c:barChart>
      <c:catAx>
        <c:axId val="111864366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3200" b="1" i="0" u="none" strike="noStrike" kern="1200" cap="all" spc="120" normalizeH="0" baseline="0">
                <a:solidFill>
                  <a:sysClr val="windowText" lastClr="000000"/>
                </a:solidFill>
                <a:latin typeface="+mn-lt"/>
                <a:ea typeface="+mn-ea"/>
                <a:cs typeface="+mn-cs"/>
              </a:defRPr>
            </a:pPr>
            <a:endParaRPr lang="en-US"/>
          </a:p>
        </c:txPr>
        <c:crossAx val="1118644752"/>
        <c:crosses val="autoZero"/>
        <c:auto val="1"/>
        <c:lblAlgn val="ctr"/>
        <c:lblOffset val="100"/>
        <c:noMultiLvlLbl val="0"/>
      </c:catAx>
      <c:valAx>
        <c:axId val="1118644752"/>
        <c:scaling>
          <c:orientation val="minMax"/>
        </c:scaling>
        <c:delete val="1"/>
        <c:axPos val="l"/>
        <c:numFmt formatCode="0.00" sourceLinked="1"/>
        <c:majorTickMark val="none"/>
        <c:minorTickMark val="none"/>
        <c:tickLblPos val="nextTo"/>
        <c:crossAx val="1118643664"/>
        <c:crosses val="autoZero"/>
        <c:crossBetween val="between"/>
      </c:valAx>
      <c:spPr>
        <a:noFill/>
        <a:ln>
          <a:noFill/>
        </a:ln>
        <a:effectLst/>
      </c:spPr>
    </c:plotArea>
    <c:legend>
      <c:legendPos val="t"/>
      <c:layout>
        <c:manualLayout>
          <c:xMode val="edge"/>
          <c:yMode val="edge"/>
          <c:x val="2.8542852371251974E-2"/>
          <c:y val="0.90390681791057725"/>
          <c:w val="0.94742980414744482"/>
          <c:h val="9.4668997981967901E-2"/>
        </c:manualLayout>
      </c:layout>
      <c:overlay val="0"/>
      <c:spPr>
        <a:noFill/>
        <a:ln>
          <a:noFill/>
        </a:ln>
        <a:effectLst/>
      </c:spPr>
      <c:txPr>
        <a:bodyPr rot="0" spcFirstLastPara="1" vertOverflow="ellipsis" vert="horz" wrap="square" anchor="ctr" anchorCtr="1"/>
        <a:lstStyle/>
        <a:p>
          <a:pPr>
            <a:defRPr sz="4000" b="1"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5039763569983969E-3"/>
          <c:y val="0.13105494390738751"/>
          <c:w val="0.96433987089603801"/>
          <c:h val="0.60860588188882236"/>
        </c:manualLayout>
      </c:layout>
      <c:barChart>
        <c:barDir val="col"/>
        <c:grouping val="clustered"/>
        <c:varyColors val="0"/>
        <c:ser>
          <c:idx val="0"/>
          <c:order val="0"/>
          <c:tx>
            <c:strRef>
              <c:f>'average-execution-time'!$B$63</c:f>
              <c:strCache>
                <c:ptCount val="1"/>
                <c:pt idx="0">
                  <c:v>PB</c:v>
                </c:pt>
              </c:strCache>
            </c:strRef>
          </c:tx>
          <c:spPr>
            <a:pattFill prst="pct75">
              <a:fgClr>
                <a:schemeClr val="accent6">
                  <a:lumMod val="50000"/>
                </a:schemeClr>
              </a:fgClr>
              <a:bgClr>
                <a:schemeClr val="bg1"/>
              </a:bgClr>
            </a:pattFill>
            <a:ln>
              <a:noFill/>
            </a:ln>
            <a:effectLst/>
          </c:spPr>
          <c:invertIfNegative val="0"/>
          <c:dLbls>
            <c:spPr>
              <a:noFill/>
              <a:ln>
                <a:noFill/>
              </a:ln>
              <a:effectLst/>
            </c:spPr>
            <c:txPr>
              <a:bodyPr rot="-5400000" spcFirstLastPara="1" vertOverflow="clip" horzOverflow="clip" vert="horz" wrap="square" lIns="38100" tIns="19050" rIns="38100" bIns="19050" anchor="ctr" anchorCtr="0">
                <a:spAutoFit/>
              </a:bodyPr>
              <a:lstStyle/>
              <a:p>
                <a:pPr algn="ctr">
                  <a:defRPr lang="en-US" sz="24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'average-execution-time'!$A$64:$A$67</c:f>
              <c:strCache>
                <c:ptCount val="4"/>
                <c:pt idx="0">
                  <c:v>SW-BGP</c:v>
                </c:pt>
                <c:pt idx="1">
                  <c:v>SW-FF</c:v>
                </c:pt>
                <c:pt idx="2">
                  <c:v>DB-BGP</c:v>
                </c:pt>
                <c:pt idx="3">
                  <c:v>DB-FF</c:v>
                </c:pt>
              </c:strCache>
            </c:strRef>
          </c:cat>
          <c:val>
            <c:numRef>
              <c:f>'average-execution-time'!$B$64:$B$67</c:f>
              <c:numCache>
                <c:formatCode>0.00</c:formatCode>
                <c:ptCount val="4"/>
                <c:pt idx="0">
                  <c:v>0.27260333333333336</c:v>
                </c:pt>
                <c:pt idx="1">
                  <c:v>0.76762857142857133</c:v>
                </c:pt>
                <c:pt idx="2">
                  <c:v>3.8285358490566037</c:v>
                </c:pt>
                <c:pt idx="3">
                  <c:v>6.5600730593607306</c:v>
                </c:pt>
              </c:numCache>
            </c:numRef>
          </c:val>
        </c:ser>
        <c:ser>
          <c:idx val="1"/>
          <c:order val="1"/>
          <c:tx>
            <c:strRef>
              <c:f>'average-execution-time'!$C$63</c:f>
              <c:strCache>
                <c:ptCount val="1"/>
                <c:pt idx="0">
                  <c:v>SB</c:v>
                </c:pt>
              </c:strCache>
            </c:strRef>
          </c:tx>
          <c:spPr>
            <a:pattFill prst="pct80">
              <a:fgClr>
                <a:schemeClr val="accent2"/>
              </a:fgClr>
              <a:bgClr>
                <a:schemeClr val="bg1"/>
              </a:bgClr>
            </a:pattFill>
            <a:ln>
              <a:noFill/>
            </a:ln>
            <a:effectLst/>
          </c:spPr>
          <c:invertIfNegative val="0"/>
          <c:dLbls>
            <c:spPr>
              <a:noFill/>
              <a:ln>
                <a:noFill/>
              </a:ln>
              <a:effectLst/>
            </c:spPr>
            <c:txPr>
              <a:bodyPr rot="-5400000" spcFirstLastPara="1" vertOverflow="clip" horzOverflow="clip" vert="horz" wrap="square" lIns="38100" tIns="19050" rIns="38100" bIns="19050" anchor="ctr" anchorCtr="0">
                <a:spAutoFit/>
              </a:bodyPr>
              <a:lstStyle/>
              <a:p>
                <a:pPr algn="ctr">
                  <a:defRPr lang="en-US" sz="24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'average-execution-time'!$A$64:$A$67</c:f>
              <c:strCache>
                <c:ptCount val="4"/>
                <c:pt idx="0">
                  <c:v>SW-BGP</c:v>
                </c:pt>
                <c:pt idx="1">
                  <c:v>SW-FF</c:v>
                </c:pt>
                <c:pt idx="2">
                  <c:v>DB-BGP</c:v>
                </c:pt>
                <c:pt idx="3">
                  <c:v>DB-FF</c:v>
                </c:pt>
              </c:strCache>
            </c:strRef>
          </c:cat>
          <c:val>
            <c:numRef>
              <c:f>'average-execution-time'!$C$64:$C$67</c:f>
              <c:numCache>
                <c:formatCode>0.00</c:formatCode>
                <c:ptCount val="4"/>
                <c:pt idx="0">
                  <c:v>0.16893333333333332</c:v>
                </c:pt>
                <c:pt idx="1">
                  <c:v>1.4986428571428572</c:v>
                </c:pt>
                <c:pt idx="2">
                  <c:v>7.9711433962264158</c:v>
                </c:pt>
                <c:pt idx="3">
                  <c:v>11.934843317972351</c:v>
                </c:pt>
              </c:numCache>
            </c:numRef>
          </c:val>
        </c:ser>
        <c:ser>
          <c:idx val="2"/>
          <c:order val="2"/>
          <c:tx>
            <c:strRef>
              <c:f>'average-execution-time'!$D$63</c:f>
              <c:strCache>
                <c:ptCount val="1"/>
                <c:pt idx="0">
                  <c:v>Hi</c:v>
                </c:pt>
              </c:strCache>
            </c:strRef>
          </c:tx>
          <c:spPr>
            <a:pattFill prst="pct90">
              <a:fgClr>
                <a:schemeClr val="accent3"/>
              </a:fgClr>
              <a:bgClr>
                <a:schemeClr val="bg1"/>
              </a:bgClr>
            </a:pattFill>
            <a:ln>
              <a:noFill/>
            </a:ln>
            <a:effectLst/>
          </c:spPr>
          <c:invertIfNegative val="0"/>
          <c:dLbls>
            <c:spPr>
              <a:noFill/>
              <a:ln>
                <a:noFill/>
              </a:ln>
              <a:effectLst/>
            </c:spPr>
            <c:txPr>
              <a:bodyPr rot="-5400000" spcFirstLastPara="1" vertOverflow="clip" horzOverflow="clip" vert="horz" wrap="square" lIns="38100" tIns="19050" rIns="38100" bIns="19050" anchor="ctr" anchorCtr="0">
                <a:spAutoFit/>
              </a:bodyPr>
              <a:lstStyle/>
              <a:p>
                <a:pPr algn="ctr">
                  <a:defRPr lang="en-US" sz="24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'average-execution-time'!$A$64:$A$67</c:f>
              <c:strCache>
                <c:ptCount val="4"/>
                <c:pt idx="0">
                  <c:v>SW-BGP</c:v>
                </c:pt>
                <c:pt idx="1">
                  <c:v>SW-FF</c:v>
                </c:pt>
                <c:pt idx="2">
                  <c:v>DB-BGP</c:v>
                </c:pt>
                <c:pt idx="3">
                  <c:v>DB-FF</c:v>
                </c:pt>
              </c:strCache>
            </c:strRef>
          </c:cat>
          <c:val>
            <c:numRef>
              <c:f>'average-execution-time'!$D$64:$D$67</c:f>
              <c:numCache>
                <c:formatCode>0.00</c:formatCode>
                <c:ptCount val="4"/>
                <c:pt idx="0">
                  <c:v>0.16966333333333333</c:v>
                </c:pt>
                <c:pt idx="1">
                  <c:v>1.5745892857142858</c:v>
                </c:pt>
                <c:pt idx="2">
                  <c:v>7.0970187265917604</c:v>
                </c:pt>
                <c:pt idx="3">
                  <c:v>12.556018099547511</c:v>
                </c:pt>
              </c:numCache>
            </c:numRef>
          </c:val>
        </c:ser>
        <c:ser>
          <c:idx val="3"/>
          <c:order val="3"/>
          <c:tx>
            <c:strRef>
              <c:f>'average-execution-time'!$E$63</c:f>
              <c:strCache>
                <c:ptCount val="1"/>
                <c:pt idx="0">
                  <c:v>Ho</c:v>
                </c:pt>
              </c:strCache>
            </c:strRef>
          </c:tx>
          <c:spPr>
            <a:pattFill prst="dkDnDiag">
              <a:fgClr>
                <a:schemeClr val="accent4"/>
              </a:fgClr>
              <a:bgClr>
                <a:schemeClr val="bg1"/>
              </a:bgClr>
            </a:pattFill>
            <a:ln>
              <a:noFill/>
            </a:ln>
            <a:effectLst/>
          </c:spPr>
          <c:invertIfNegative val="0"/>
          <c:dLbls>
            <c:spPr>
              <a:noFill/>
              <a:ln>
                <a:noFill/>
              </a:ln>
              <a:effectLst/>
            </c:spPr>
            <c:txPr>
              <a:bodyPr rot="-5400000" spcFirstLastPara="1" vertOverflow="clip" horzOverflow="clip" vert="horz" wrap="square" lIns="38100" tIns="19050" rIns="38100" bIns="19050" anchor="ctr" anchorCtr="0">
                <a:spAutoFit/>
              </a:bodyPr>
              <a:lstStyle/>
              <a:p>
                <a:pPr algn="ctr">
                  <a:defRPr lang="en-US" sz="24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'average-execution-time'!$A$64:$A$67</c:f>
              <c:strCache>
                <c:ptCount val="4"/>
                <c:pt idx="0">
                  <c:v>SW-BGP</c:v>
                </c:pt>
                <c:pt idx="1">
                  <c:v>SW-FF</c:v>
                </c:pt>
                <c:pt idx="2">
                  <c:v>DB-BGP</c:v>
                </c:pt>
                <c:pt idx="3">
                  <c:v>DB-FF</c:v>
                </c:pt>
              </c:strCache>
            </c:strRef>
          </c:cat>
          <c:val>
            <c:numRef>
              <c:f>'average-execution-time'!$E$64:$E$67</c:f>
              <c:numCache>
                <c:formatCode>0.00</c:formatCode>
                <c:ptCount val="4"/>
                <c:pt idx="0">
                  <c:v>0.49239666666666665</c:v>
                </c:pt>
                <c:pt idx="1">
                  <c:v>0.93783985765124556</c:v>
                </c:pt>
                <c:pt idx="2">
                  <c:v>8.613917293233083</c:v>
                </c:pt>
                <c:pt idx="3">
                  <c:v>18.264055299539169</c:v>
                </c:pt>
              </c:numCache>
            </c:numRef>
          </c:val>
        </c:ser>
        <c:ser>
          <c:idx val="4"/>
          <c:order val="4"/>
          <c:tx>
            <c:strRef>
              <c:f>'average-execution-time'!$F$63</c:f>
              <c:strCache>
                <c:ptCount val="1"/>
                <c:pt idx="0">
                  <c:v>TC</c:v>
                </c:pt>
              </c:strCache>
            </c:strRef>
          </c:tx>
          <c:spPr>
            <a:pattFill prst="dkUpDiag">
              <a:fgClr>
                <a:schemeClr val="accent5"/>
              </a:fgClr>
              <a:bgClr>
                <a:schemeClr val="bg1"/>
              </a:bgClr>
            </a:pattFill>
            <a:ln>
              <a:noFill/>
            </a:ln>
            <a:effectLst/>
          </c:spPr>
          <c:invertIfNegative val="0"/>
          <c:dLbls>
            <c:spPr>
              <a:noFill/>
              <a:ln>
                <a:noFill/>
              </a:ln>
              <a:effectLst/>
            </c:spPr>
            <c:txPr>
              <a:bodyPr rot="-5400000" spcFirstLastPara="1" vertOverflow="clip" horzOverflow="clip" vert="horz" wrap="square" lIns="38100" tIns="19050" rIns="38100" bIns="19050" anchor="ctr" anchorCtr="0">
                <a:spAutoFit/>
              </a:bodyPr>
              <a:lstStyle/>
              <a:p>
                <a:pPr algn="ctr">
                  <a:defRPr lang="en-US" sz="24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'average-execution-time'!$A$64:$A$67</c:f>
              <c:strCache>
                <c:ptCount val="4"/>
                <c:pt idx="0">
                  <c:v>SW-BGP</c:v>
                </c:pt>
                <c:pt idx="1">
                  <c:v>SW-FF</c:v>
                </c:pt>
                <c:pt idx="2">
                  <c:v>DB-BGP</c:v>
                </c:pt>
                <c:pt idx="3">
                  <c:v>DB-FF</c:v>
                </c:pt>
              </c:strCache>
            </c:strRef>
          </c:cat>
          <c:val>
            <c:numRef>
              <c:f>'average-execution-time'!$F$64:$F$67</c:f>
              <c:numCache>
                <c:formatCode>0.00</c:formatCode>
                <c:ptCount val="4"/>
                <c:pt idx="0">
                  <c:v>0.16278999999999999</c:v>
                </c:pt>
                <c:pt idx="1">
                  <c:v>1.5332000000000001</c:v>
                </c:pt>
                <c:pt idx="2">
                  <c:v>6.8874269662921348</c:v>
                </c:pt>
                <c:pt idx="3">
                  <c:v>7.5148511627906975</c:v>
                </c:pt>
              </c:numCache>
            </c:numRef>
          </c:val>
        </c:ser>
        <c:ser>
          <c:idx val="5"/>
          <c:order val="5"/>
          <c:tx>
            <c:strRef>
              <c:f>'average-execution-time'!$G$63</c:f>
              <c:strCache>
                <c:ptCount val="1"/>
                <c:pt idx="0">
                  <c:v>ME</c:v>
                </c:pt>
              </c:strCache>
            </c:strRef>
          </c:tx>
          <c:spPr>
            <a:pattFill prst="trellis">
              <a:fgClr>
                <a:schemeClr val="accent6"/>
              </a:fgClr>
              <a:bgClr>
                <a:schemeClr val="bg1"/>
              </a:bgClr>
            </a:pattFill>
            <a:ln>
              <a:noFill/>
            </a:ln>
            <a:effectLst/>
          </c:spPr>
          <c:invertIfNegative val="0"/>
          <c:dLbls>
            <c:spPr>
              <a:noFill/>
              <a:ln>
                <a:noFill/>
              </a:ln>
              <a:effectLst/>
            </c:spPr>
            <c:txPr>
              <a:bodyPr rot="-5400000" spcFirstLastPara="1" vertOverflow="clip" horzOverflow="clip" vert="horz" wrap="square" lIns="38100" tIns="19050" rIns="38100" bIns="19050" anchor="ctr" anchorCtr="0">
                <a:spAutoFit/>
              </a:bodyPr>
              <a:lstStyle/>
              <a:p>
                <a:pPr algn="ctr">
                  <a:defRPr lang="en-US" sz="24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'average-execution-time'!$A$64:$A$67</c:f>
              <c:strCache>
                <c:ptCount val="4"/>
                <c:pt idx="0">
                  <c:v>SW-BGP</c:v>
                </c:pt>
                <c:pt idx="1">
                  <c:v>SW-FF</c:v>
                </c:pt>
                <c:pt idx="2">
                  <c:v>DB-BGP</c:v>
                </c:pt>
                <c:pt idx="3">
                  <c:v>DB-FF</c:v>
                </c:pt>
              </c:strCache>
            </c:strRef>
          </c:cat>
          <c:val>
            <c:numRef>
              <c:f>'average-execution-time'!$G$64:$G$67</c:f>
              <c:numCache>
                <c:formatCode>0.00</c:formatCode>
                <c:ptCount val="4"/>
                <c:pt idx="0">
                  <c:v>0.16634666666666667</c:v>
                </c:pt>
                <c:pt idx="1">
                  <c:v>1.5600611510791367</c:v>
                </c:pt>
                <c:pt idx="2">
                  <c:v>8.847443609022557</c:v>
                </c:pt>
                <c:pt idx="3">
                  <c:v>12.826486111111111</c:v>
                </c:pt>
              </c:numCache>
            </c:numRef>
          </c:val>
        </c:ser>
        <c:ser>
          <c:idx val="6"/>
          <c:order val="6"/>
          <c:tx>
            <c:strRef>
              <c:f>'average-execution-time'!$H$63</c:f>
              <c:strCache>
                <c:ptCount val="1"/>
                <c:pt idx="0">
                  <c:v>RB</c:v>
                </c:pt>
              </c:strCache>
            </c:strRef>
          </c:tx>
          <c:spPr>
            <a:pattFill prst="pct50">
              <a:fgClr>
                <a:schemeClr val="accent5">
                  <a:lumMod val="75000"/>
                </a:schemeClr>
              </a:fgClr>
              <a:bgClr>
                <a:schemeClr val="bg1"/>
              </a:bgClr>
            </a:pattFill>
            <a:ln>
              <a:noFill/>
            </a:ln>
            <a:effectLst/>
          </c:spPr>
          <c:invertIfNegative val="0"/>
          <c:dLbls>
            <c:spPr>
              <a:noFill/>
              <a:ln>
                <a:noFill/>
              </a:ln>
              <a:effectLst/>
            </c:spPr>
            <c:txPr>
              <a:bodyPr rot="-5400000" spcFirstLastPara="1" vertOverflow="clip" horzOverflow="clip" vert="horz" wrap="square" lIns="38100" tIns="19050" rIns="38100" bIns="19050" anchor="ctr" anchorCtr="0">
                <a:spAutoFit/>
              </a:bodyPr>
              <a:lstStyle/>
              <a:p>
                <a:pPr algn="ctr">
                  <a:defRPr lang="en-US" sz="24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'average-execution-time'!$A$64:$A$67</c:f>
              <c:strCache>
                <c:ptCount val="4"/>
                <c:pt idx="0">
                  <c:v>SW-BGP</c:v>
                </c:pt>
                <c:pt idx="1">
                  <c:v>SW-FF</c:v>
                </c:pt>
                <c:pt idx="2">
                  <c:v>DB-BGP</c:v>
                </c:pt>
                <c:pt idx="3">
                  <c:v>DB-FF</c:v>
                </c:pt>
              </c:strCache>
            </c:strRef>
          </c:cat>
          <c:val>
            <c:numRef>
              <c:f>'average-execution-time'!$H$64:$H$67</c:f>
              <c:numCache>
                <c:formatCode>0.00</c:formatCode>
                <c:ptCount val="4"/>
                <c:pt idx="0">
                  <c:v>0.17179</c:v>
                </c:pt>
                <c:pt idx="1">
                  <c:v>1.633494623655914</c:v>
                </c:pt>
                <c:pt idx="2">
                  <c:v>7.8854377358490568</c:v>
                </c:pt>
                <c:pt idx="3">
                  <c:v>12.451826484018266</c:v>
                </c:pt>
              </c:numCache>
            </c:numRef>
          </c:val>
        </c:ser>
        <c:ser>
          <c:idx val="7"/>
          <c:order val="7"/>
          <c:tx>
            <c:strRef>
              <c:f>'average-execution-time'!$I$63</c:f>
              <c:strCache>
                <c:ptCount val="1"/>
                <c:pt idx="0">
                  <c:v>MCL</c:v>
                </c:pt>
              </c:strCache>
            </c:strRef>
          </c:tx>
          <c:spPr>
            <a:pattFill prst="pct70">
              <a:fgClr>
                <a:schemeClr val="accent2">
                  <a:lumMod val="50000"/>
                </a:schemeClr>
              </a:fgClr>
              <a:bgClr>
                <a:schemeClr val="bg1"/>
              </a:bgClr>
            </a:pattFill>
            <a:ln>
              <a:noFill/>
            </a:ln>
            <a:effectLst/>
          </c:spPr>
          <c:invertIfNegative val="0"/>
          <c:dLbls>
            <c:spPr>
              <a:noFill/>
              <a:ln>
                <a:noFill/>
              </a:ln>
              <a:effectLst/>
            </c:spPr>
            <c:txPr>
              <a:bodyPr rot="-5400000" spcFirstLastPara="1" vertOverflow="clip" horzOverflow="clip" vert="horz" wrap="square" lIns="38100" tIns="19050" rIns="38100" bIns="19050" anchor="ctr" anchorCtr="0">
                <a:spAutoFit/>
              </a:bodyPr>
              <a:lstStyle/>
              <a:p>
                <a:pPr algn="ctr">
                  <a:defRPr lang="en-US" sz="24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'average-execution-time'!$A$64:$A$67</c:f>
              <c:strCache>
                <c:ptCount val="4"/>
                <c:pt idx="0">
                  <c:v>SW-BGP</c:v>
                </c:pt>
                <c:pt idx="1">
                  <c:v>SW-FF</c:v>
                </c:pt>
                <c:pt idx="2">
                  <c:v>DB-BGP</c:v>
                </c:pt>
                <c:pt idx="3">
                  <c:v>DB-FF</c:v>
                </c:pt>
              </c:strCache>
            </c:strRef>
          </c:cat>
          <c:val>
            <c:numRef>
              <c:f>'average-execution-time'!$I$64:$I$67</c:f>
              <c:numCache>
                <c:formatCode>0.00</c:formatCode>
                <c:ptCount val="4"/>
                <c:pt idx="0">
                  <c:v>0.58134666666666668</c:v>
                </c:pt>
                <c:pt idx="1">
                  <c:v>1.5257058823529412</c:v>
                </c:pt>
                <c:pt idx="2">
                  <c:v>11.152810714285714</c:v>
                </c:pt>
                <c:pt idx="3">
                  <c:v>14.330755020080321</c:v>
                </c:pt>
              </c:numCache>
            </c:numRef>
          </c:val>
        </c:ser>
        <c:ser>
          <c:idx val="8"/>
          <c:order val="8"/>
          <c:tx>
            <c:strRef>
              <c:f>'average-execution-time'!$J$63</c:f>
              <c:strCache>
                <c:ptCount val="1"/>
                <c:pt idx="0">
                  <c:v>PCo</c:v>
                </c:pt>
              </c:strCache>
            </c:strRef>
          </c:tx>
          <c:spPr>
            <a:pattFill prst="lgCheck">
              <a:fgClr>
                <a:schemeClr val="accent4">
                  <a:lumMod val="50000"/>
                </a:schemeClr>
              </a:fgClr>
              <a:bgClr>
                <a:schemeClr val="bg1"/>
              </a:bgClr>
            </a:pattFill>
            <a:ln>
              <a:noFill/>
            </a:ln>
            <a:effectLst/>
          </c:spPr>
          <c:invertIfNegative val="0"/>
          <c:dLbls>
            <c:spPr>
              <a:noFill/>
              <a:ln>
                <a:noFill/>
              </a:ln>
              <a:effectLst/>
            </c:spPr>
            <c:txPr>
              <a:bodyPr rot="-5400000" spcFirstLastPara="1" vertOverflow="clip" horzOverflow="clip" vert="horz" wrap="square" lIns="38100" tIns="19050" rIns="38100" bIns="19050" anchor="ctr" anchorCtr="0">
                <a:spAutoFit/>
              </a:bodyPr>
              <a:lstStyle/>
              <a:p>
                <a:pPr algn="ctr">
                  <a:defRPr lang="en-US" sz="24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'average-execution-time'!$A$64:$A$67</c:f>
              <c:strCache>
                <c:ptCount val="4"/>
                <c:pt idx="0">
                  <c:v>SW-BGP</c:v>
                </c:pt>
                <c:pt idx="1">
                  <c:v>SW-FF</c:v>
                </c:pt>
                <c:pt idx="2">
                  <c:v>DB-BGP</c:v>
                </c:pt>
                <c:pt idx="3">
                  <c:v>DB-FF</c:v>
                </c:pt>
              </c:strCache>
            </c:strRef>
          </c:cat>
          <c:val>
            <c:numRef>
              <c:f>'average-execution-time'!$J$64:$J$67</c:f>
              <c:numCache>
                <c:formatCode>0.00</c:formatCode>
                <c:ptCount val="4"/>
                <c:pt idx="0">
                  <c:v>0.38416666666666666</c:v>
                </c:pt>
                <c:pt idx="1">
                  <c:v>0.44224496644295302</c:v>
                </c:pt>
                <c:pt idx="2">
                  <c:v>12.844517605633802</c:v>
                </c:pt>
                <c:pt idx="3">
                  <c:v>20.875477611940301</c:v>
                </c:pt>
              </c:numCache>
            </c:numRef>
          </c:val>
        </c:ser>
        <c:dLbls>
          <c:dLblPos val="outEnd"/>
          <c:showLegendKey val="0"/>
          <c:showVal val="1"/>
          <c:showCatName val="0"/>
          <c:showSerName val="0"/>
          <c:showPercent val="0"/>
          <c:showBubbleSize val="0"/>
        </c:dLbls>
        <c:gapWidth val="20"/>
        <c:overlap val="-20"/>
        <c:axId val="1118646384"/>
        <c:axId val="1118647472"/>
      </c:barChart>
      <c:catAx>
        <c:axId val="111864638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3200" b="1" i="0" u="none" strike="noStrike" kern="1200" cap="all" spc="120" normalizeH="0" baseline="0">
                <a:solidFill>
                  <a:sysClr val="windowText" lastClr="000000"/>
                </a:solidFill>
                <a:latin typeface="+mn-lt"/>
                <a:ea typeface="+mn-ea"/>
                <a:cs typeface="+mn-cs"/>
              </a:defRPr>
            </a:pPr>
            <a:endParaRPr lang="en-US"/>
          </a:p>
        </c:txPr>
        <c:crossAx val="1118647472"/>
        <c:crosses val="autoZero"/>
        <c:auto val="1"/>
        <c:lblAlgn val="ctr"/>
        <c:lblOffset val="100"/>
        <c:noMultiLvlLbl val="0"/>
      </c:catAx>
      <c:valAx>
        <c:axId val="1118647472"/>
        <c:scaling>
          <c:orientation val="minMax"/>
        </c:scaling>
        <c:delete val="1"/>
        <c:axPos val="l"/>
        <c:numFmt formatCode="0.00" sourceLinked="1"/>
        <c:majorTickMark val="none"/>
        <c:minorTickMark val="none"/>
        <c:tickLblPos val="nextTo"/>
        <c:crossAx val="1118646384"/>
        <c:crosses val="autoZero"/>
        <c:crossBetween val="between"/>
      </c:valAx>
      <c:spPr>
        <a:noFill/>
        <a:ln>
          <a:noFill/>
        </a:ln>
        <a:effectLst/>
      </c:spPr>
    </c:plotArea>
    <c:legend>
      <c:legendPos val="t"/>
      <c:layout>
        <c:manualLayout>
          <c:xMode val="edge"/>
          <c:yMode val="edge"/>
          <c:x val="2.8542852371251974E-2"/>
          <c:y val="0.90390681791057725"/>
          <c:w val="0.94742980414744482"/>
          <c:h val="9.4668997981967901E-2"/>
        </c:manualLayout>
      </c:layout>
      <c:overlay val="0"/>
      <c:spPr>
        <a:noFill/>
        <a:ln>
          <a:noFill/>
        </a:ln>
        <a:effectLst/>
      </c:spPr>
      <c:txPr>
        <a:bodyPr rot="0" spcFirstLastPara="1" vertOverflow="ellipsis" vert="horz" wrap="square" anchor="ctr" anchorCtr="1"/>
        <a:lstStyle/>
        <a:p>
          <a:pPr>
            <a:defRPr sz="4000" b="1"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5039763569983969E-3"/>
          <c:y val="0.13105494390738751"/>
          <c:w val="0.96433987089603801"/>
          <c:h val="0.60860588188882236"/>
        </c:manualLayout>
      </c:layout>
      <c:barChart>
        <c:barDir val="col"/>
        <c:grouping val="clustered"/>
        <c:varyColors val="0"/>
        <c:ser>
          <c:idx val="0"/>
          <c:order val="0"/>
          <c:tx>
            <c:strRef>
              <c:f>'average-execution-time'!$B$72</c:f>
              <c:strCache>
                <c:ptCount val="1"/>
                <c:pt idx="0">
                  <c:v>PB</c:v>
                </c:pt>
              </c:strCache>
            </c:strRef>
          </c:tx>
          <c:spPr>
            <a:pattFill prst="pct75">
              <a:fgClr>
                <a:schemeClr val="accent6">
                  <a:lumMod val="50000"/>
                </a:schemeClr>
              </a:fgClr>
              <a:bgClr>
                <a:schemeClr val="bg1"/>
              </a:bgClr>
            </a:pattFill>
            <a:ln>
              <a:noFill/>
            </a:ln>
            <a:effectLst/>
          </c:spPr>
          <c:invertIfNegative val="0"/>
          <c:dLbls>
            <c:spPr>
              <a:noFill/>
              <a:ln>
                <a:noFill/>
              </a:ln>
              <a:effectLst/>
            </c:spPr>
            <c:txPr>
              <a:bodyPr rot="-5400000" spcFirstLastPara="1" vertOverflow="clip" horzOverflow="clip" vert="horz" wrap="square" lIns="38100" tIns="19050" rIns="38100" bIns="19050" anchor="ctr" anchorCtr="0">
                <a:spAutoFit/>
              </a:bodyPr>
              <a:lstStyle/>
              <a:p>
                <a:pPr algn="ctr">
                  <a:defRPr lang="en-US" sz="24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'average-execution-time'!$A$73:$A$74</c:f>
              <c:strCache>
                <c:ptCount val="2"/>
                <c:pt idx="0">
                  <c:v>SW-BGP</c:v>
                </c:pt>
                <c:pt idx="1">
                  <c:v>DB-BGP</c:v>
                </c:pt>
              </c:strCache>
            </c:strRef>
          </c:cat>
          <c:val>
            <c:numRef>
              <c:f>'average-execution-time'!$B$73:$B$74</c:f>
              <c:numCache>
                <c:formatCode>0.0</c:formatCode>
                <c:ptCount val="2"/>
                <c:pt idx="0">
                  <c:v>3.663923333333333</c:v>
                </c:pt>
                <c:pt idx="1">
                  <c:v>71.673744444444438</c:v>
                </c:pt>
              </c:numCache>
            </c:numRef>
          </c:val>
        </c:ser>
        <c:ser>
          <c:idx val="1"/>
          <c:order val="1"/>
          <c:tx>
            <c:strRef>
              <c:f>'average-execution-time'!$C$72</c:f>
              <c:strCache>
                <c:ptCount val="1"/>
                <c:pt idx="0">
                  <c:v>SB</c:v>
                </c:pt>
              </c:strCache>
            </c:strRef>
          </c:tx>
          <c:spPr>
            <a:pattFill prst="pct80">
              <a:fgClr>
                <a:schemeClr val="accent2"/>
              </a:fgClr>
              <a:bgClr>
                <a:schemeClr val="bg1"/>
              </a:bgClr>
            </a:pattFill>
            <a:ln>
              <a:noFill/>
            </a:ln>
            <a:effectLst/>
          </c:spPr>
          <c:invertIfNegative val="0"/>
          <c:dLbls>
            <c:spPr>
              <a:noFill/>
              <a:ln>
                <a:noFill/>
              </a:ln>
              <a:effectLst/>
            </c:spPr>
            <c:txPr>
              <a:bodyPr rot="-5400000" spcFirstLastPara="1" vertOverflow="clip" horzOverflow="clip" vert="horz" wrap="square" lIns="38100" tIns="19050" rIns="38100" bIns="19050" anchor="ctr" anchorCtr="0">
                <a:spAutoFit/>
              </a:bodyPr>
              <a:lstStyle/>
              <a:p>
                <a:pPr algn="ctr">
                  <a:defRPr lang="en-US" sz="24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'average-execution-time'!$A$73:$A$74</c:f>
              <c:strCache>
                <c:ptCount val="2"/>
                <c:pt idx="0">
                  <c:v>SW-BGP</c:v>
                </c:pt>
                <c:pt idx="1">
                  <c:v>DB-BGP</c:v>
                </c:pt>
              </c:strCache>
            </c:strRef>
          </c:cat>
          <c:val>
            <c:numRef>
              <c:f>'average-execution-time'!$C$73:$C$74</c:f>
              <c:numCache>
                <c:formatCode>0.0</c:formatCode>
                <c:ptCount val="2"/>
                <c:pt idx="0">
                  <c:v>3.5217433333333332</c:v>
                </c:pt>
                <c:pt idx="1">
                  <c:v>32.30966423357664</c:v>
                </c:pt>
              </c:numCache>
            </c:numRef>
          </c:val>
        </c:ser>
        <c:ser>
          <c:idx val="2"/>
          <c:order val="2"/>
          <c:tx>
            <c:strRef>
              <c:f>'average-execution-time'!$D$72</c:f>
              <c:strCache>
                <c:ptCount val="1"/>
                <c:pt idx="0">
                  <c:v>Hi</c:v>
                </c:pt>
              </c:strCache>
            </c:strRef>
          </c:tx>
          <c:spPr>
            <a:pattFill prst="pct90">
              <a:fgClr>
                <a:schemeClr val="accent3"/>
              </a:fgClr>
              <a:bgClr>
                <a:schemeClr val="bg1"/>
              </a:bgClr>
            </a:pattFill>
            <a:ln>
              <a:noFill/>
            </a:ln>
            <a:effectLst/>
          </c:spPr>
          <c:invertIfNegative val="0"/>
          <c:dLbls>
            <c:spPr>
              <a:noFill/>
              <a:ln>
                <a:noFill/>
              </a:ln>
              <a:effectLst/>
            </c:spPr>
            <c:txPr>
              <a:bodyPr rot="-5400000" spcFirstLastPara="1" vertOverflow="clip" horzOverflow="clip" vert="horz" wrap="square" lIns="38100" tIns="19050" rIns="38100" bIns="19050" anchor="ctr" anchorCtr="0">
                <a:spAutoFit/>
              </a:bodyPr>
              <a:lstStyle/>
              <a:p>
                <a:pPr algn="ctr">
                  <a:defRPr lang="en-US" sz="24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'average-execution-time'!$A$73:$A$74</c:f>
              <c:strCache>
                <c:ptCount val="2"/>
                <c:pt idx="0">
                  <c:v>SW-BGP</c:v>
                </c:pt>
                <c:pt idx="1">
                  <c:v>DB-BGP</c:v>
                </c:pt>
              </c:strCache>
            </c:strRef>
          </c:cat>
          <c:val>
            <c:numRef>
              <c:f>'average-execution-time'!$D$73:$D$74</c:f>
              <c:numCache>
                <c:formatCode>0.0</c:formatCode>
                <c:ptCount val="2"/>
                <c:pt idx="0">
                  <c:v>3.5112700000000001</c:v>
                </c:pt>
                <c:pt idx="1">
                  <c:v>77.351153846153849</c:v>
                </c:pt>
              </c:numCache>
            </c:numRef>
          </c:val>
        </c:ser>
        <c:ser>
          <c:idx val="3"/>
          <c:order val="3"/>
          <c:tx>
            <c:strRef>
              <c:f>'average-execution-time'!$E$72</c:f>
              <c:strCache>
                <c:ptCount val="1"/>
                <c:pt idx="0">
                  <c:v>Ho</c:v>
                </c:pt>
              </c:strCache>
            </c:strRef>
          </c:tx>
          <c:spPr>
            <a:pattFill prst="dkDnDiag">
              <a:fgClr>
                <a:schemeClr val="accent4"/>
              </a:fgClr>
              <a:bgClr>
                <a:schemeClr val="bg1"/>
              </a:bgClr>
            </a:pattFill>
            <a:ln>
              <a:noFill/>
            </a:ln>
            <a:effectLst/>
          </c:spPr>
          <c:invertIfNegative val="0"/>
          <c:dLbls>
            <c:spPr>
              <a:noFill/>
              <a:ln>
                <a:noFill/>
              </a:ln>
              <a:effectLst/>
            </c:spPr>
            <c:txPr>
              <a:bodyPr rot="-5400000" spcFirstLastPara="1" vertOverflow="clip" horzOverflow="clip" vert="horz" wrap="square" lIns="38100" tIns="19050" rIns="38100" bIns="19050" anchor="ctr" anchorCtr="0">
                <a:spAutoFit/>
              </a:bodyPr>
              <a:lstStyle/>
              <a:p>
                <a:pPr algn="ctr">
                  <a:defRPr lang="en-US" sz="24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'average-execution-time'!$A$73:$A$74</c:f>
              <c:strCache>
                <c:ptCount val="2"/>
                <c:pt idx="0">
                  <c:v>SW-BGP</c:v>
                </c:pt>
                <c:pt idx="1">
                  <c:v>DB-BGP</c:v>
                </c:pt>
              </c:strCache>
            </c:strRef>
          </c:cat>
          <c:val>
            <c:numRef>
              <c:f>'average-execution-time'!$E$73:$E$74</c:f>
              <c:numCache>
                <c:formatCode>0.0</c:formatCode>
                <c:ptCount val="2"/>
                <c:pt idx="0">
                  <c:v>3.4685166666666669</c:v>
                </c:pt>
                <c:pt idx="1">
                  <c:v>5.3177169811320759</c:v>
                </c:pt>
              </c:numCache>
            </c:numRef>
          </c:val>
        </c:ser>
        <c:ser>
          <c:idx val="4"/>
          <c:order val="4"/>
          <c:tx>
            <c:strRef>
              <c:f>'average-execution-time'!$F$72</c:f>
              <c:strCache>
                <c:ptCount val="1"/>
                <c:pt idx="0">
                  <c:v>TC</c:v>
                </c:pt>
              </c:strCache>
            </c:strRef>
          </c:tx>
          <c:spPr>
            <a:pattFill prst="dkUpDiag">
              <a:fgClr>
                <a:schemeClr val="accent5"/>
              </a:fgClr>
              <a:bgClr>
                <a:schemeClr val="bg1"/>
              </a:bgClr>
            </a:pattFill>
            <a:ln>
              <a:noFill/>
            </a:ln>
            <a:effectLst/>
          </c:spPr>
          <c:invertIfNegative val="0"/>
          <c:dLbls>
            <c:spPr>
              <a:noFill/>
              <a:ln>
                <a:noFill/>
              </a:ln>
              <a:effectLst/>
            </c:spPr>
            <c:txPr>
              <a:bodyPr rot="-5400000" spcFirstLastPara="1" vertOverflow="clip" horzOverflow="clip" vert="horz" wrap="square" lIns="38100" tIns="19050" rIns="38100" bIns="19050" anchor="ctr" anchorCtr="0">
                <a:spAutoFit/>
              </a:bodyPr>
              <a:lstStyle/>
              <a:p>
                <a:pPr algn="ctr">
                  <a:defRPr lang="en-US" sz="24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'average-execution-time'!$A$73:$A$74</c:f>
              <c:strCache>
                <c:ptCount val="2"/>
                <c:pt idx="0">
                  <c:v>SW-BGP</c:v>
                </c:pt>
                <c:pt idx="1">
                  <c:v>DB-BGP</c:v>
                </c:pt>
              </c:strCache>
            </c:strRef>
          </c:cat>
          <c:val>
            <c:numRef>
              <c:f>'average-execution-time'!$F$73:$F$74</c:f>
              <c:numCache>
                <c:formatCode>0.0</c:formatCode>
                <c:ptCount val="2"/>
                <c:pt idx="0">
                  <c:v>3.5047366666666666</c:v>
                </c:pt>
                <c:pt idx="1">
                  <c:v>47.016414414414413</c:v>
                </c:pt>
              </c:numCache>
            </c:numRef>
          </c:val>
        </c:ser>
        <c:ser>
          <c:idx val="5"/>
          <c:order val="5"/>
          <c:tx>
            <c:strRef>
              <c:f>'average-execution-time'!$G$72</c:f>
              <c:strCache>
                <c:ptCount val="1"/>
                <c:pt idx="0">
                  <c:v>ME</c:v>
                </c:pt>
              </c:strCache>
            </c:strRef>
          </c:tx>
          <c:spPr>
            <a:pattFill prst="trellis">
              <a:fgClr>
                <a:schemeClr val="accent6"/>
              </a:fgClr>
              <a:bgClr>
                <a:schemeClr val="bg1"/>
              </a:bgClr>
            </a:pattFill>
            <a:ln>
              <a:noFill/>
            </a:ln>
            <a:effectLst/>
          </c:spPr>
          <c:invertIfNegative val="0"/>
          <c:dLbls>
            <c:spPr>
              <a:noFill/>
              <a:ln>
                <a:noFill/>
              </a:ln>
              <a:effectLst/>
            </c:spPr>
            <c:txPr>
              <a:bodyPr rot="-5400000" spcFirstLastPara="1" vertOverflow="clip" horzOverflow="clip" vert="horz" wrap="square" lIns="38100" tIns="19050" rIns="38100" bIns="19050" anchor="ctr" anchorCtr="0">
                <a:spAutoFit/>
              </a:bodyPr>
              <a:lstStyle/>
              <a:p>
                <a:pPr algn="ctr">
                  <a:defRPr lang="en-US" sz="24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'average-execution-time'!$A$73:$A$74</c:f>
              <c:strCache>
                <c:ptCount val="2"/>
                <c:pt idx="0">
                  <c:v>SW-BGP</c:v>
                </c:pt>
                <c:pt idx="1">
                  <c:v>DB-BGP</c:v>
                </c:pt>
              </c:strCache>
            </c:strRef>
          </c:cat>
          <c:val>
            <c:numRef>
              <c:f>'average-execution-time'!$G$73:$G$74</c:f>
              <c:numCache>
                <c:formatCode>0.0</c:formatCode>
                <c:ptCount val="2"/>
                <c:pt idx="0">
                  <c:v>3.5088566666666665</c:v>
                </c:pt>
                <c:pt idx="1">
                  <c:v>17.464217948717948</c:v>
                </c:pt>
              </c:numCache>
            </c:numRef>
          </c:val>
        </c:ser>
        <c:ser>
          <c:idx val="6"/>
          <c:order val="6"/>
          <c:tx>
            <c:strRef>
              <c:f>'average-execution-time'!$H$72</c:f>
              <c:strCache>
                <c:ptCount val="1"/>
                <c:pt idx="0">
                  <c:v>RB</c:v>
                </c:pt>
              </c:strCache>
            </c:strRef>
          </c:tx>
          <c:spPr>
            <a:pattFill prst="pct50">
              <a:fgClr>
                <a:schemeClr val="accent5">
                  <a:lumMod val="75000"/>
                </a:schemeClr>
              </a:fgClr>
              <a:bgClr>
                <a:schemeClr val="bg1"/>
              </a:bgClr>
            </a:pattFill>
            <a:ln>
              <a:noFill/>
            </a:ln>
            <a:effectLst/>
          </c:spPr>
          <c:invertIfNegative val="0"/>
          <c:dLbls>
            <c:spPr>
              <a:noFill/>
              <a:ln>
                <a:noFill/>
              </a:ln>
              <a:effectLst/>
            </c:spPr>
            <c:txPr>
              <a:bodyPr rot="-5400000" spcFirstLastPara="1" vertOverflow="clip" horzOverflow="clip" vert="horz" wrap="square" lIns="38100" tIns="19050" rIns="38100" bIns="19050" anchor="ctr" anchorCtr="0">
                <a:spAutoFit/>
              </a:bodyPr>
              <a:lstStyle/>
              <a:p>
                <a:pPr algn="ctr">
                  <a:defRPr lang="en-US" sz="24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'average-execution-time'!$A$73:$A$74</c:f>
              <c:strCache>
                <c:ptCount val="2"/>
                <c:pt idx="0">
                  <c:v>SW-BGP</c:v>
                </c:pt>
                <c:pt idx="1">
                  <c:v>DB-BGP</c:v>
                </c:pt>
              </c:strCache>
            </c:strRef>
          </c:cat>
          <c:val>
            <c:numRef>
              <c:f>'average-execution-time'!$H$73:$H$74</c:f>
              <c:numCache>
                <c:formatCode>0</c:formatCode>
                <c:ptCount val="2"/>
                <c:pt idx="0" formatCode="0.0">
                  <c:v>3.8161033333333334</c:v>
                </c:pt>
                <c:pt idx="1">
                  <c:v>1105.729</c:v>
                </c:pt>
              </c:numCache>
            </c:numRef>
          </c:val>
        </c:ser>
        <c:ser>
          <c:idx val="7"/>
          <c:order val="7"/>
          <c:tx>
            <c:strRef>
              <c:f>'average-execution-time'!$I$72</c:f>
              <c:strCache>
                <c:ptCount val="1"/>
                <c:pt idx="0">
                  <c:v>MCL</c:v>
                </c:pt>
              </c:strCache>
            </c:strRef>
          </c:tx>
          <c:spPr>
            <a:pattFill prst="pct70">
              <a:fgClr>
                <a:schemeClr val="accent2">
                  <a:lumMod val="50000"/>
                </a:schemeClr>
              </a:fgClr>
              <a:bgClr>
                <a:schemeClr val="bg1"/>
              </a:bgClr>
            </a:pattFill>
            <a:ln>
              <a:noFill/>
            </a:ln>
            <a:effectLst/>
          </c:spPr>
          <c:invertIfNegative val="0"/>
          <c:dLbls>
            <c:spPr>
              <a:noFill/>
              <a:ln>
                <a:noFill/>
              </a:ln>
              <a:effectLst/>
            </c:spPr>
            <c:txPr>
              <a:bodyPr rot="-5400000" spcFirstLastPara="1" vertOverflow="clip" horzOverflow="clip" vert="horz" wrap="square" lIns="38100" tIns="19050" rIns="38100" bIns="19050" anchor="ctr" anchorCtr="0">
                <a:spAutoFit/>
              </a:bodyPr>
              <a:lstStyle/>
              <a:p>
                <a:pPr algn="ctr">
                  <a:defRPr lang="en-US" sz="24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'average-execution-time'!$A$73:$A$74</c:f>
              <c:strCache>
                <c:ptCount val="2"/>
                <c:pt idx="0">
                  <c:v>SW-BGP</c:v>
                </c:pt>
                <c:pt idx="1">
                  <c:v>DB-BGP</c:v>
                </c:pt>
              </c:strCache>
            </c:strRef>
          </c:cat>
          <c:val>
            <c:numRef>
              <c:f>'average-execution-time'!$I$73:$I$74</c:f>
              <c:numCache>
                <c:formatCode>0.0</c:formatCode>
                <c:ptCount val="2"/>
                <c:pt idx="0">
                  <c:v>3.8161033333333334</c:v>
                </c:pt>
                <c:pt idx="1">
                  <c:v>41.177357142857147</c:v>
                </c:pt>
              </c:numCache>
            </c:numRef>
          </c:val>
        </c:ser>
        <c:ser>
          <c:idx val="8"/>
          <c:order val="8"/>
          <c:tx>
            <c:strRef>
              <c:f>'average-execution-time'!$J$72</c:f>
              <c:strCache>
                <c:ptCount val="1"/>
                <c:pt idx="0">
                  <c:v>PCo</c:v>
                </c:pt>
              </c:strCache>
            </c:strRef>
          </c:tx>
          <c:spPr>
            <a:pattFill prst="lgCheck">
              <a:fgClr>
                <a:schemeClr val="accent4">
                  <a:lumMod val="50000"/>
                </a:schemeClr>
              </a:fgClr>
              <a:bgClr>
                <a:schemeClr val="bg1"/>
              </a:bgClr>
            </a:pattFill>
            <a:ln>
              <a:noFill/>
            </a:ln>
            <a:effectLst/>
          </c:spPr>
          <c:invertIfNegative val="0"/>
          <c:dLbls>
            <c:spPr>
              <a:noFill/>
              <a:ln>
                <a:noFill/>
              </a:ln>
              <a:effectLst/>
            </c:spPr>
            <c:txPr>
              <a:bodyPr rot="-5400000" spcFirstLastPara="1" vertOverflow="clip" horzOverflow="clip" vert="horz" wrap="square" lIns="38100" tIns="19050" rIns="38100" bIns="19050" anchor="ctr" anchorCtr="0">
                <a:spAutoFit/>
              </a:bodyPr>
              <a:lstStyle/>
              <a:p>
                <a:pPr algn="ctr">
                  <a:defRPr lang="en-US" sz="24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'average-execution-time'!$A$73:$A$74</c:f>
              <c:strCache>
                <c:ptCount val="2"/>
                <c:pt idx="0">
                  <c:v>SW-BGP</c:v>
                </c:pt>
                <c:pt idx="1">
                  <c:v>DB-BGP</c:v>
                </c:pt>
              </c:strCache>
            </c:strRef>
          </c:cat>
          <c:val>
            <c:numRef>
              <c:f>'average-execution-time'!$J$73:$J$74</c:f>
              <c:numCache>
                <c:formatCode>0</c:formatCode>
                <c:ptCount val="2"/>
                <c:pt idx="0" formatCode="General">
                  <c:v>3.29</c:v>
                </c:pt>
                <c:pt idx="1">
                  <c:v>21.888854771784231</c:v>
                </c:pt>
              </c:numCache>
            </c:numRef>
          </c:val>
        </c:ser>
        <c:dLbls>
          <c:dLblPos val="outEnd"/>
          <c:showLegendKey val="0"/>
          <c:showVal val="1"/>
          <c:showCatName val="0"/>
          <c:showSerName val="0"/>
          <c:showPercent val="0"/>
          <c:showBubbleSize val="0"/>
        </c:dLbls>
        <c:gapWidth val="20"/>
        <c:overlap val="-20"/>
        <c:axId val="1118636048"/>
        <c:axId val="1256137568"/>
      </c:barChart>
      <c:catAx>
        <c:axId val="111863604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3200" b="1" i="0" u="none" strike="noStrike" kern="1200" cap="all" spc="120" normalizeH="0" baseline="0">
                <a:solidFill>
                  <a:sysClr val="windowText" lastClr="000000"/>
                </a:solidFill>
                <a:latin typeface="+mn-lt"/>
                <a:ea typeface="+mn-ea"/>
                <a:cs typeface="+mn-cs"/>
              </a:defRPr>
            </a:pPr>
            <a:endParaRPr lang="en-US"/>
          </a:p>
        </c:txPr>
        <c:crossAx val="1256137568"/>
        <c:crosses val="autoZero"/>
        <c:auto val="1"/>
        <c:lblAlgn val="ctr"/>
        <c:lblOffset val="100"/>
        <c:noMultiLvlLbl val="0"/>
      </c:catAx>
      <c:valAx>
        <c:axId val="1256137568"/>
        <c:scaling>
          <c:orientation val="minMax"/>
        </c:scaling>
        <c:delete val="1"/>
        <c:axPos val="l"/>
        <c:numFmt formatCode="0.0" sourceLinked="1"/>
        <c:majorTickMark val="none"/>
        <c:minorTickMark val="none"/>
        <c:tickLblPos val="nextTo"/>
        <c:crossAx val="1118636048"/>
        <c:crosses val="autoZero"/>
        <c:crossBetween val="between"/>
      </c:valAx>
      <c:spPr>
        <a:noFill/>
        <a:ln>
          <a:noFill/>
        </a:ln>
        <a:effectLst/>
      </c:spPr>
    </c:plotArea>
    <c:legend>
      <c:legendPos val="t"/>
      <c:layout>
        <c:manualLayout>
          <c:xMode val="edge"/>
          <c:yMode val="edge"/>
          <c:x val="2.8542852371251974E-2"/>
          <c:y val="0.90390681791057725"/>
          <c:w val="0.94742980414744482"/>
          <c:h val="9.4668997981967901E-2"/>
        </c:manualLayout>
      </c:layout>
      <c:overlay val="0"/>
      <c:spPr>
        <a:noFill/>
        <a:ln>
          <a:noFill/>
        </a:ln>
        <a:effectLst/>
      </c:spPr>
      <c:txPr>
        <a:bodyPr rot="0" spcFirstLastPara="1" vertOverflow="ellipsis" vert="horz" wrap="square" anchor="ctr" anchorCtr="1"/>
        <a:lstStyle/>
        <a:p>
          <a:pPr>
            <a:defRPr sz="4000" b="1"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1315314340036368"/>
          <c:y val="2.995674324590207E-2"/>
          <c:w val="0.75623277135924127"/>
          <c:h val="0.6138166574408348"/>
        </c:manualLayout>
      </c:layout>
      <c:barChart>
        <c:barDir val="col"/>
        <c:grouping val="stacked"/>
        <c:varyColors val="0"/>
        <c:ser>
          <c:idx val="0"/>
          <c:order val="0"/>
          <c:tx>
            <c:strRef>
              <c:f>'benchmark-execution'!$E$63</c:f>
              <c:strCache>
                <c:ptCount val="1"/>
                <c:pt idx="0">
                  <c:v>SWDF BGP-only</c:v>
                </c:pt>
              </c:strCache>
            </c:strRef>
          </c:tx>
          <c:spPr>
            <a:pattFill prst="pct50">
              <a:fgClr>
                <a:srgbClr val="92D050"/>
              </a:fgClr>
              <a:bgClr>
                <a:schemeClr val="bg1"/>
              </a:bgClr>
            </a:patt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'benchmark-execution'!$D$64:$D$71</c:f>
              <c:strCache>
                <c:ptCount val="8"/>
                <c:pt idx="0">
                  <c:v>PB</c:v>
                </c:pt>
                <c:pt idx="1">
                  <c:v>SB</c:v>
                </c:pt>
                <c:pt idx="2">
                  <c:v>Hi</c:v>
                </c:pt>
                <c:pt idx="3">
                  <c:v>Ho</c:v>
                </c:pt>
                <c:pt idx="4">
                  <c:v>TC</c:v>
                </c:pt>
                <c:pt idx="5">
                  <c:v>ME</c:v>
                </c:pt>
                <c:pt idx="6">
                  <c:v>RB</c:v>
                </c:pt>
                <c:pt idx="7">
                  <c:v>MCL</c:v>
                </c:pt>
              </c:strCache>
            </c:strRef>
          </c:cat>
          <c:val>
            <c:numRef>
              <c:f>'benchmark-execution'!$E$64:$E$71</c:f>
              <c:numCache>
                <c:formatCode>0</c:formatCode>
                <c:ptCount val="8"/>
                <c:pt idx="0">
                  <c:v>11.368</c:v>
                </c:pt>
                <c:pt idx="1">
                  <c:v>20.064999999999998</c:v>
                </c:pt>
                <c:pt idx="2">
                  <c:v>20.823</c:v>
                </c:pt>
                <c:pt idx="3">
                  <c:v>17.128999999999998</c:v>
                </c:pt>
                <c:pt idx="4">
                  <c:v>20.055</c:v>
                </c:pt>
                <c:pt idx="5">
                  <c:v>20.413</c:v>
                </c:pt>
                <c:pt idx="6">
                  <c:v>20.133000000000003</c:v>
                </c:pt>
                <c:pt idx="7">
                  <c:v>15.954000000000001</c:v>
                </c:pt>
              </c:numCache>
            </c:numRef>
          </c:val>
        </c:ser>
        <c:ser>
          <c:idx val="1"/>
          <c:order val="1"/>
          <c:tx>
            <c:strRef>
              <c:f>'benchmark-execution'!$F$63</c:f>
              <c:strCache>
                <c:ptCount val="1"/>
                <c:pt idx="0">
                  <c:v>SWDF fully-featured</c:v>
                </c:pt>
              </c:strCache>
            </c:strRef>
          </c:tx>
          <c:spPr>
            <a:pattFill prst="pct90">
              <a:fgClr>
                <a:schemeClr val="accent4">
                  <a:lumMod val="75000"/>
                </a:schemeClr>
              </a:fgClr>
              <a:bgClr>
                <a:schemeClr val="bg1"/>
              </a:bgClr>
            </a:patt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'benchmark-execution'!$D$64:$D$71</c:f>
              <c:strCache>
                <c:ptCount val="8"/>
                <c:pt idx="0">
                  <c:v>PB</c:v>
                </c:pt>
                <c:pt idx="1">
                  <c:v>SB</c:v>
                </c:pt>
                <c:pt idx="2">
                  <c:v>Hi</c:v>
                </c:pt>
                <c:pt idx="3">
                  <c:v>Ho</c:v>
                </c:pt>
                <c:pt idx="4">
                  <c:v>TC</c:v>
                </c:pt>
                <c:pt idx="5">
                  <c:v>ME</c:v>
                </c:pt>
                <c:pt idx="6">
                  <c:v>RB</c:v>
                </c:pt>
                <c:pt idx="7">
                  <c:v>MCL</c:v>
                </c:pt>
              </c:strCache>
            </c:strRef>
          </c:cat>
          <c:val>
            <c:numRef>
              <c:f>'benchmark-execution'!$F$64:$F$71</c:f>
              <c:numCache>
                <c:formatCode>0</c:formatCode>
                <c:ptCount val="8"/>
                <c:pt idx="0">
                  <c:v>7466.875</c:v>
                </c:pt>
                <c:pt idx="1">
                  <c:v>5546.4209999999994</c:v>
                </c:pt>
                <c:pt idx="2">
                  <c:v>6246.0499999999993</c:v>
                </c:pt>
                <c:pt idx="3">
                  <c:v>3367.8010000000004</c:v>
                </c:pt>
                <c:pt idx="4">
                  <c:v>5531.4969999999994</c:v>
                </c:pt>
                <c:pt idx="5">
                  <c:v>6597.5529999999999</c:v>
                </c:pt>
                <c:pt idx="6">
                  <c:v>4782.3249999999998</c:v>
                </c:pt>
                <c:pt idx="7">
                  <c:v>4902.9849999999997</c:v>
                </c:pt>
              </c:numCache>
            </c:numRef>
          </c:val>
        </c:ser>
        <c:ser>
          <c:idx val="2"/>
          <c:order val="2"/>
          <c:tx>
            <c:strRef>
              <c:f>'benchmark-execution'!$G$63</c:f>
              <c:strCache>
                <c:ptCount val="1"/>
                <c:pt idx="0">
                  <c:v>DBpedia BGP-only</c:v>
                </c:pt>
              </c:strCache>
            </c:strRef>
          </c:tx>
          <c:spPr>
            <a:solidFill>
              <a:schemeClr val="accent6"/>
            </a:solidFill>
            <a:ln>
              <a:noFill/>
            </a:ln>
            <a:effectLst/>
          </c:spPr>
          <c:invertIfNegative val="0"/>
          <c:dLbls>
            <c:dLbl>
              <c:idx val="0"/>
              <c:tx>
                <c:rich>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fld id="{20A39220-105D-4F6B-80E7-975A61F0CFF4}" type="VALUE">
                      <a:rPr lang="en-US" sz="1000"/>
                      <a:pPr>
                        <a:defRPr sz="1000"/>
                      </a:pPr>
                      <a:t>[VALUE]</a:t>
                    </a:fld>
                    <a:endParaRPr lang="en-US"/>
                  </a:p>
                </c:rich>
              </c:tx>
              <c:spPr>
                <a:pattFill prst="pct75">
                  <a:fgClr>
                    <a:schemeClr val="accent6"/>
                  </a:fgClr>
                  <a:bgClr>
                    <a:schemeClr val="bg1"/>
                  </a:bgClr>
                </a:patt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spPr>
              <a:pattFill prst="pct75">
                <a:fgClr>
                  <a:schemeClr val="accent6"/>
                </a:fgClr>
                <a:bgClr>
                  <a:schemeClr val="bg1"/>
                </a:bgClr>
              </a:patt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'benchmark-execution'!$D$64:$D$71</c:f>
              <c:strCache>
                <c:ptCount val="8"/>
                <c:pt idx="0">
                  <c:v>PB</c:v>
                </c:pt>
                <c:pt idx="1">
                  <c:v>SB</c:v>
                </c:pt>
                <c:pt idx="2">
                  <c:v>Hi</c:v>
                </c:pt>
                <c:pt idx="3">
                  <c:v>Ho</c:v>
                </c:pt>
                <c:pt idx="4">
                  <c:v>TC</c:v>
                </c:pt>
                <c:pt idx="5">
                  <c:v>ME</c:v>
                </c:pt>
                <c:pt idx="6">
                  <c:v>RB</c:v>
                </c:pt>
                <c:pt idx="7">
                  <c:v>MCL</c:v>
                </c:pt>
              </c:strCache>
            </c:strRef>
          </c:cat>
          <c:val>
            <c:numRef>
              <c:f>'benchmark-execution'!$G$64:$G$71</c:f>
              <c:numCache>
                <c:formatCode>0</c:formatCode>
                <c:ptCount val="8"/>
                <c:pt idx="0">
                  <c:v>11977.991</c:v>
                </c:pt>
                <c:pt idx="1">
                  <c:v>7958.1180000000004</c:v>
                </c:pt>
                <c:pt idx="2">
                  <c:v>7892.8230000000003</c:v>
                </c:pt>
                <c:pt idx="3">
                  <c:v>8287.4560000000001</c:v>
                </c:pt>
                <c:pt idx="4">
                  <c:v>8596.634</c:v>
                </c:pt>
                <c:pt idx="5">
                  <c:v>8686.2750000000015</c:v>
                </c:pt>
                <c:pt idx="6">
                  <c:v>7958.5019999999995</c:v>
                </c:pt>
                <c:pt idx="7">
                  <c:v>8839.1659999999993</c:v>
                </c:pt>
              </c:numCache>
            </c:numRef>
          </c:val>
        </c:ser>
        <c:ser>
          <c:idx val="3"/>
          <c:order val="3"/>
          <c:tx>
            <c:strRef>
              <c:f>'benchmark-execution'!$H$63</c:f>
              <c:strCache>
                <c:ptCount val="1"/>
                <c:pt idx="0">
                  <c:v>DBpedia fully-featured</c:v>
                </c:pt>
              </c:strCache>
            </c:strRef>
          </c:tx>
          <c:spPr>
            <a:solidFill>
              <a:schemeClr val="accent2">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'benchmark-execution'!$D$64:$D$71</c:f>
              <c:strCache>
                <c:ptCount val="8"/>
                <c:pt idx="0">
                  <c:v>PB</c:v>
                </c:pt>
                <c:pt idx="1">
                  <c:v>SB</c:v>
                </c:pt>
                <c:pt idx="2">
                  <c:v>Hi</c:v>
                </c:pt>
                <c:pt idx="3">
                  <c:v>Ho</c:v>
                </c:pt>
                <c:pt idx="4">
                  <c:v>TC</c:v>
                </c:pt>
                <c:pt idx="5">
                  <c:v>ME</c:v>
                </c:pt>
                <c:pt idx="6">
                  <c:v>RB</c:v>
                </c:pt>
                <c:pt idx="7">
                  <c:v>MCL</c:v>
                </c:pt>
              </c:strCache>
            </c:strRef>
          </c:cat>
          <c:val>
            <c:numRef>
              <c:f>'benchmark-execution'!$H$64:$H$71</c:f>
              <c:numCache>
                <c:formatCode>0</c:formatCode>
                <c:ptCount val="8"/>
                <c:pt idx="0">
                  <c:v>14408.012000000001</c:v>
                </c:pt>
                <c:pt idx="1">
                  <c:v>15104.743</c:v>
                </c:pt>
                <c:pt idx="2">
                  <c:v>14707.791000000001</c:v>
                </c:pt>
                <c:pt idx="3">
                  <c:v>14866.288</c:v>
                </c:pt>
                <c:pt idx="4">
                  <c:v>14591.718999999999</c:v>
                </c:pt>
                <c:pt idx="5">
                  <c:v>15178.582</c:v>
                </c:pt>
                <c:pt idx="6">
                  <c:v>14201.633</c:v>
                </c:pt>
                <c:pt idx="7">
                  <c:v>14218.47</c:v>
                </c:pt>
              </c:numCache>
            </c:numRef>
          </c:val>
        </c:ser>
        <c:dLbls>
          <c:dLblPos val="ctr"/>
          <c:showLegendKey val="0"/>
          <c:showVal val="1"/>
          <c:showCatName val="0"/>
          <c:showSerName val="0"/>
          <c:showPercent val="0"/>
          <c:showBubbleSize val="0"/>
        </c:dLbls>
        <c:gapWidth val="40"/>
        <c:overlap val="100"/>
        <c:axId val="1251162928"/>
        <c:axId val="1251161296"/>
      </c:barChart>
      <c:catAx>
        <c:axId val="12511629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endParaRPr lang="en-US"/>
          </a:p>
        </c:txPr>
        <c:crossAx val="1251161296"/>
        <c:crossesAt val="1.0000000000000002E-2"/>
        <c:auto val="1"/>
        <c:lblAlgn val="ctr"/>
        <c:lblOffset val="100"/>
        <c:noMultiLvlLbl val="0"/>
      </c:catAx>
      <c:valAx>
        <c:axId val="1251161296"/>
        <c:scaling>
          <c:logBase val="10"/>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ysClr val="windowText" lastClr="000000"/>
                    </a:solidFill>
                    <a:latin typeface="+mn-lt"/>
                    <a:ea typeface="+mn-ea"/>
                    <a:cs typeface="+mn-cs"/>
                  </a:defRPr>
                </a:pPr>
                <a:r>
                  <a:rPr lang="en-US" sz="1400" b="1">
                    <a:solidFill>
                      <a:sysClr val="windowText" lastClr="000000"/>
                    </a:solidFill>
                  </a:rPr>
                  <a:t> Benchmark execution time in sec (log scale)</a:t>
                </a:r>
              </a:p>
              <a:p>
                <a:pPr>
                  <a:defRPr sz="1400" b="1">
                    <a:solidFill>
                      <a:sysClr val="windowText" lastClr="000000"/>
                    </a:solidFill>
                  </a:defRPr>
                </a:pPr>
                <a:endParaRPr lang="en-US" sz="1400" b="1">
                  <a:solidFill>
                    <a:sysClr val="windowText" lastClr="000000"/>
                  </a:solidFill>
                </a:endParaRPr>
              </a:p>
            </c:rich>
          </c:tx>
          <c:layout>
            <c:manualLayout>
              <c:xMode val="edge"/>
              <c:yMode val="edge"/>
              <c:x val="0"/>
              <c:y val="6.1890344231271516E-2"/>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ysClr val="windowText" lastClr="000000"/>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endParaRPr lang="en-US"/>
          </a:p>
        </c:txPr>
        <c:crossAx val="1251162928"/>
        <c:crosses val="autoZero"/>
        <c:crossBetween val="between"/>
      </c:valAx>
      <c:spPr>
        <a:noFill/>
        <a:ln>
          <a:noFill/>
        </a:ln>
        <a:effectLst/>
      </c:spPr>
    </c:plotArea>
    <c:legend>
      <c:legendPos val="b"/>
      <c:layout>
        <c:manualLayout>
          <c:xMode val="edge"/>
          <c:yMode val="edge"/>
          <c:x val="0.16132088930301786"/>
          <c:y val="0.75732938409762829"/>
          <c:w val="0.82207913247965969"/>
          <c:h val="0.17698329556944578"/>
        </c:manualLayout>
      </c:layout>
      <c:overlay val="0"/>
      <c:spPr>
        <a:noFill/>
        <a:ln>
          <a:noFill/>
        </a:ln>
        <a:effectLst/>
      </c:spPr>
      <c:txPr>
        <a:bodyPr rot="0" spcFirstLastPara="1" vertOverflow="ellipsis" vert="horz" wrap="square" anchor="ctr" anchorCtr="1"/>
        <a:lstStyle/>
        <a:p>
          <a:pPr>
            <a:defRPr sz="1400" b="1"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2.1227034120734899E-4"/>
          <c:y val="0.10327719451735201"/>
          <c:w val="0.99975656167978988"/>
          <c:h val="0.63638363954505683"/>
        </c:manualLayout>
      </c:layout>
      <c:barChart>
        <c:barDir val="col"/>
        <c:grouping val="clustered"/>
        <c:varyColors val="0"/>
        <c:ser>
          <c:idx val="0"/>
          <c:order val="0"/>
          <c:tx>
            <c:strRef>
              <c:f>'query-mix-per-hour'!$C$4</c:f>
              <c:strCache>
                <c:ptCount val="1"/>
                <c:pt idx="0">
                  <c:v>PB</c:v>
                </c:pt>
              </c:strCache>
            </c:strRef>
          </c:tx>
          <c:spPr>
            <a:pattFill prst="pct75">
              <a:fgClr>
                <a:schemeClr val="accent6">
                  <a:lumMod val="50000"/>
                </a:schemeClr>
              </a:fgClr>
              <a:bgClr>
                <a:schemeClr val="bg1"/>
              </a:bgClr>
            </a:pattFill>
            <a:ln>
              <a:noFill/>
            </a:ln>
            <a:effectLst/>
          </c:spPr>
          <c:invertIfNegative val="0"/>
          <c:dLbls>
            <c:spPr>
              <a:noFill/>
              <a:ln>
                <a:noFill/>
              </a:ln>
              <a:effectLst/>
            </c:spPr>
            <c:txPr>
              <a:bodyPr rot="-5400000" spcFirstLastPara="1" vertOverflow="clip" horzOverflow="clip" vert="horz" wrap="square" lIns="38100" tIns="19050" rIns="38100" bIns="19050" anchor="ctr" anchorCtr="0">
                <a:spAutoFit/>
              </a:bodyPr>
              <a:lstStyle/>
              <a:p>
                <a:pPr algn="ctr">
                  <a:defRPr lang="en-US" sz="32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'query-mix-per-hour'!$B$5</c:f>
              <c:strCache>
                <c:ptCount val="1"/>
                <c:pt idx="0">
                  <c:v>SWDF - BGP</c:v>
                </c:pt>
              </c:strCache>
            </c:strRef>
          </c:cat>
          <c:val>
            <c:numRef>
              <c:f>'query-mix-per-hour'!$C$5</c:f>
              <c:numCache>
                <c:formatCode>0.00</c:formatCode>
                <c:ptCount val="1"/>
                <c:pt idx="0">
                  <c:v>316.67839549612944</c:v>
                </c:pt>
              </c:numCache>
            </c:numRef>
          </c:val>
        </c:ser>
        <c:ser>
          <c:idx val="1"/>
          <c:order val="1"/>
          <c:tx>
            <c:strRef>
              <c:f>'query-mix-per-hour'!$D$4</c:f>
              <c:strCache>
                <c:ptCount val="1"/>
                <c:pt idx="0">
                  <c:v>SB</c:v>
                </c:pt>
              </c:strCache>
            </c:strRef>
          </c:tx>
          <c:spPr>
            <a:pattFill prst="pct80">
              <a:fgClr>
                <a:schemeClr val="accent2"/>
              </a:fgClr>
              <a:bgClr>
                <a:schemeClr val="bg1"/>
              </a:bgClr>
            </a:pattFill>
            <a:ln>
              <a:noFill/>
            </a:ln>
            <a:effectLst/>
          </c:spPr>
          <c:invertIfNegative val="0"/>
          <c:dLbls>
            <c:spPr>
              <a:noFill/>
              <a:ln>
                <a:noFill/>
              </a:ln>
              <a:effectLst/>
            </c:spPr>
            <c:txPr>
              <a:bodyPr rot="-5400000" spcFirstLastPara="1" vertOverflow="clip" horzOverflow="clip" vert="horz" wrap="square" lIns="38100" tIns="19050" rIns="38100" bIns="19050" anchor="ctr" anchorCtr="0">
                <a:spAutoFit/>
              </a:bodyPr>
              <a:lstStyle/>
              <a:p>
                <a:pPr algn="ctr">
                  <a:defRPr lang="en-US" sz="32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'query-mix-per-hour'!$B$5</c:f>
              <c:strCache>
                <c:ptCount val="1"/>
                <c:pt idx="0">
                  <c:v>SWDF - BGP</c:v>
                </c:pt>
              </c:strCache>
            </c:strRef>
          </c:cat>
          <c:val>
            <c:numRef>
              <c:f>'query-mix-per-hour'!$D$5</c:f>
              <c:numCache>
                <c:formatCode>0.00</c:formatCode>
                <c:ptCount val="1"/>
                <c:pt idx="0">
                  <c:v>179.4168950909544</c:v>
                </c:pt>
              </c:numCache>
            </c:numRef>
          </c:val>
        </c:ser>
        <c:ser>
          <c:idx val="2"/>
          <c:order val="2"/>
          <c:tx>
            <c:strRef>
              <c:f>'query-mix-per-hour'!$E$4</c:f>
              <c:strCache>
                <c:ptCount val="1"/>
                <c:pt idx="0">
                  <c:v>Hi</c:v>
                </c:pt>
              </c:strCache>
            </c:strRef>
          </c:tx>
          <c:spPr>
            <a:pattFill prst="pct90">
              <a:fgClr>
                <a:schemeClr val="accent3"/>
              </a:fgClr>
              <a:bgClr>
                <a:schemeClr val="bg1"/>
              </a:bgClr>
            </a:pattFill>
            <a:ln>
              <a:noFill/>
            </a:ln>
            <a:effectLst/>
          </c:spPr>
          <c:invertIfNegative val="0"/>
          <c:dLbls>
            <c:spPr>
              <a:noFill/>
              <a:ln>
                <a:noFill/>
              </a:ln>
              <a:effectLst/>
            </c:spPr>
            <c:txPr>
              <a:bodyPr rot="-5400000" spcFirstLastPara="1" vertOverflow="clip" horzOverflow="clip" vert="horz" wrap="square" lIns="38100" tIns="19050" rIns="38100" bIns="19050" anchor="ctr" anchorCtr="0">
                <a:spAutoFit/>
              </a:bodyPr>
              <a:lstStyle/>
              <a:p>
                <a:pPr algn="ctr">
                  <a:defRPr lang="en-US" sz="32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'query-mix-per-hour'!$B$5</c:f>
              <c:strCache>
                <c:ptCount val="1"/>
                <c:pt idx="0">
                  <c:v>SWDF - BGP</c:v>
                </c:pt>
              </c:strCache>
            </c:strRef>
          </c:cat>
          <c:val>
            <c:numRef>
              <c:f>'query-mix-per-hour'!$E$5</c:f>
              <c:numCache>
                <c:formatCode>0.00</c:formatCode>
                <c:ptCount val="1"/>
                <c:pt idx="0">
                  <c:v>172.88575133266099</c:v>
                </c:pt>
              </c:numCache>
            </c:numRef>
          </c:val>
        </c:ser>
        <c:ser>
          <c:idx val="3"/>
          <c:order val="3"/>
          <c:tx>
            <c:strRef>
              <c:f>'query-mix-per-hour'!$F$4</c:f>
              <c:strCache>
                <c:ptCount val="1"/>
                <c:pt idx="0">
                  <c:v>Ho</c:v>
                </c:pt>
              </c:strCache>
            </c:strRef>
          </c:tx>
          <c:spPr>
            <a:pattFill prst="dkDnDiag">
              <a:fgClr>
                <a:schemeClr val="accent4"/>
              </a:fgClr>
              <a:bgClr>
                <a:schemeClr val="bg1"/>
              </a:bgClr>
            </a:pattFill>
            <a:ln>
              <a:noFill/>
            </a:ln>
            <a:effectLst/>
          </c:spPr>
          <c:invertIfNegative val="0"/>
          <c:dLbls>
            <c:spPr>
              <a:noFill/>
              <a:ln>
                <a:noFill/>
              </a:ln>
              <a:effectLst/>
            </c:spPr>
            <c:txPr>
              <a:bodyPr rot="-5400000" spcFirstLastPara="1" vertOverflow="clip" horzOverflow="clip" vert="horz" wrap="square" lIns="38100" tIns="19050" rIns="38100" bIns="19050" anchor="ctr" anchorCtr="0">
                <a:spAutoFit/>
              </a:bodyPr>
              <a:lstStyle/>
              <a:p>
                <a:pPr algn="ctr">
                  <a:defRPr lang="en-US" sz="32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'query-mix-per-hour'!$B$5</c:f>
              <c:strCache>
                <c:ptCount val="1"/>
                <c:pt idx="0">
                  <c:v>SWDF - BGP</c:v>
                </c:pt>
              </c:strCache>
            </c:strRef>
          </c:cat>
          <c:val>
            <c:numRef>
              <c:f>'query-mix-per-hour'!$F$5</c:f>
              <c:numCache>
                <c:formatCode>0.00</c:formatCode>
                <c:ptCount val="1"/>
                <c:pt idx="0">
                  <c:v>210.16988732558821</c:v>
                </c:pt>
              </c:numCache>
            </c:numRef>
          </c:val>
        </c:ser>
        <c:ser>
          <c:idx val="4"/>
          <c:order val="4"/>
          <c:tx>
            <c:strRef>
              <c:f>'query-mix-per-hour'!$G$4</c:f>
              <c:strCache>
                <c:ptCount val="1"/>
                <c:pt idx="0">
                  <c:v>TC</c:v>
                </c:pt>
              </c:strCache>
            </c:strRef>
          </c:tx>
          <c:spPr>
            <a:pattFill prst="dkUpDiag">
              <a:fgClr>
                <a:schemeClr val="accent5"/>
              </a:fgClr>
              <a:bgClr>
                <a:schemeClr val="bg1"/>
              </a:bgClr>
            </a:pattFill>
            <a:ln>
              <a:noFill/>
            </a:ln>
            <a:effectLst/>
          </c:spPr>
          <c:invertIfNegative val="0"/>
          <c:dLbls>
            <c:spPr>
              <a:noFill/>
              <a:ln>
                <a:noFill/>
              </a:ln>
              <a:effectLst/>
            </c:spPr>
            <c:txPr>
              <a:bodyPr rot="-5400000" spcFirstLastPara="1" vertOverflow="clip" horzOverflow="clip" vert="horz" wrap="square" lIns="38100" tIns="19050" rIns="38100" bIns="19050" anchor="ctr" anchorCtr="0">
                <a:spAutoFit/>
              </a:bodyPr>
              <a:lstStyle/>
              <a:p>
                <a:pPr algn="ctr">
                  <a:defRPr lang="en-US" sz="32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'query-mix-per-hour'!$B$5</c:f>
              <c:strCache>
                <c:ptCount val="1"/>
                <c:pt idx="0">
                  <c:v>SWDF - BGP</c:v>
                </c:pt>
              </c:strCache>
            </c:strRef>
          </c:cat>
          <c:val>
            <c:numRef>
              <c:f>'query-mix-per-hour'!$G$5</c:f>
              <c:numCache>
                <c:formatCode>0.00</c:formatCode>
                <c:ptCount val="1"/>
                <c:pt idx="0">
                  <c:v>179.50635751682873</c:v>
                </c:pt>
              </c:numCache>
            </c:numRef>
          </c:val>
        </c:ser>
        <c:ser>
          <c:idx val="5"/>
          <c:order val="5"/>
          <c:tx>
            <c:strRef>
              <c:f>'query-mix-per-hour'!$H$4</c:f>
              <c:strCache>
                <c:ptCount val="1"/>
                <c:pt idx="0">
                  <c:v>ME</c:v>
                </c:pt>
              </c:strCache>
            </c:strRef>
          </c:tx>
          <c:spPr>
            <a:pattFill prst="trellis">
              <a:fgClr>
                <a:schemeClr val="accent6"/>
              </a:fgClr>
              <a:bgClr>
                <a:schemeClr val="bg1"/>
              </a:bgClr>
            </a:pattFill>
            <a:ln>
              <a:noFill/>
            </a:ln>
            <a:effectLst/>
          </c:spPr>
          <c:invertIfNegative val="0"/>
          <c:dLbls>
            <c:spPr>
              <a:noFill/>
              <a:ln>
                <a:noFill/>
              </a:ln>
              <a:effectLst/>
            </c:spPr>
            <c:txPr>
              <a:bodyPr rot="-5400000" spcFirstLastPara="1" vertOverflow="clip" horzOverflow="clip" vert="horz" wrap="square" lIns="38100" tIns="19050" rIns="38100" bIns="19050" anchor="ctr" anchorCtr="0">
                <a:spAutoFit/>
              </a:bodyPr>
              <a:lstStyle/>
              <a:p>
                <a:pPr algn="ctr">
                  <a:defRPr lang="en-US" sz="32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'query-mix-per-hour'!$B$5</c:f>
              <c:strCache>
                <c:ptCount val="1"/>
                <c:pt idx="0">
                  <c:v>SWDF - BGP</c:v>
                </c:pt>
              </c:strCache>
            </c:strRef>
          </c:cat>
          <c:val>
            <c:numRef>
              <c:f>'query-mix-per-hour'!$H$5</c:f>
              <c:numCache>
                <c:formatCode>0.00</c:formatCode>
                <c:ptCount val="1"/>
                <c:pt idx="0">
                  <c:v>176.35820310586391</c:v>
                </c:pt>
              </c:numCache>
            </c:numRef>
          </c:val>
        </c:ser>
        <c:ser>
          <c:idx val="6"/>
          <c:order val="6"/>
          <c:tx>
            <c:strRef>
              <c:f>'query-mix-per-hour'!$I$4</c:f>
              <c:strCache>
                <c:ptCount val="1"/>
                <c:pt idx="0">
                  <c:v>RB</c:v>
                </c:pt>
              </c:strCache>
            </c:strRef>
          </c:tx>
          <c:spPr>
            <a:pattFill prst="pct50">
              <a:fgClr>
                <a:schemeClr val="accent5">
                  <a:lumMod val="75000"/>
                </a:schemeClr>
              </a:fgClr>
              <a:bgClr>
                <a:schemeClr val="bg1"/>
              </a:bgClr>
            </a:pattFill>
            <a:ln>
              <a:noFill/>
            </a:ln>
            <a:effectLst/>
          </c:spPr>
          <c:invertIfNegative val="0"/>
          <c:dLbls>
            <c:spPr>
              <a:noFill/>
              <a:ln>
                <a:noFill/>
              </a:ln>
              <a:effectLst/>
            </c:spPr>
            <c:txPr>
              <a:bodyPr rot="-5400000" spcFirstLastPara="1" vertOverflow="clip" horzOverflow="clip" vert="horz" wrap="square" lIns="38100" tIns="19050" rIns="38100" bIns="19050" anchor="ctr" anchorCtr="0">
                <a:spAutoFit/>
              </a:bodyPr>
              <a:lstStyle/>
              <a:p>
                <a:pPr algn="ctr">
                  <a:defRPr lang="en-US" sz="32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'query-mix-per-hour'!$B$5</c:f>
              <c:strCache>
                <c:ptCount val="1"/>
                <c:pt idx="0">
                  <c:v>SWDF - BGP</c:v>
                </c:pt>
              </c:strCache>
            </c:strRef>
          </c:cat>
          <c:val>
            <c:numRef>
              <c:f>'query-mix-per-hour'!$I$5</c:f>
              <c:numCache>
                <c:formatCode>0.00</c:formatCode>
                <c:ptCount val="1"/>
                <c:pt idx="0">
                  <c:v>178.81090746535534</c:v>
                </c:pt>
              </c:numCache>
            </c:numRef>
          </c:val>
        </c:ser>
        <c:ser>
          <c:idx val="7"/>
          <c:order val="7"/>
          <c:tx>
            <c:strRef>
              <c:f>'query-mix-per-hour'!$J$4</c:f>
              <c:strCache>
                <c:ptCount val="1"/>
                <c:pt idx="0">
                  <c:v>MCL</c:v>
                </c:pt>
              </c:strCache>
            </c:strRef>
          </c:tx>
          <c:spPr>
            <a:pattFill prst="pct70">
              <a:fgClr>
                <a:schemeClr val="accent2">
                  <a:lumMod val="50000"/>
                </a:schemeClr>
              </a:fgClr>
              <a:bgClr>
                <a:schemeClr val="bg1"/>
              </a:bgClr>
            </a:pattFill>
            <a:ln>
              <a:noFill/>
            </a:ln>
            <a:effectLst/>
          </c:spPr>
          <c:invertIfNegative val="0"/>
          <c:dLbls>
            <c:spPr>
              <a:noFill/>
              <a:ln>
                <a:noFill/>
              </a:ln>
              <a:effectLst/>
            </c:spPr>
            <c:txPr>
              <a:bodyPr rot="-5400000" spcFirstLastPara="1" vertOverflow="clip" horzOverflow="clip" vert="horz" wrap="square" lIns="38100" tIns="19050" rIns="38100" bIns="19050" anchor="ctr" anchorCtr="0">
                <a:spAutoFit/>
              </a:bodyPr>
              <a:lstStyle/>
              <a:p>
                <a:pPr algn="ctr">
                  <a:defRPr lang="en-US" sz="32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'query-mix-per-hour'!$B$5</c:f>
              <c:strCache>
                <c:ptCount val="1"/>
                <c:pt idx="0">
                  <c:v>SWDF - BGP</c:v>
                </c:pt>
              </c:strCache>
            </c:strRef>
          </c:cat>
          <c:val>
            <c:numRef>
              <c:f>'query-mix-per-hour'!$J$5</c:f>
              <c:numCache>
                <c:formatCode>0.00</c:formatCode>
                <c:ptCount val="1"/>
                <c:pt idx="0">
                  <c:v>225.6487401278676</c:v>
                </c:pt>
              </c:numCache>
            </c:numRef>
          </c:val>
        </c:ser>
        <c:ser>
          <c:idx val="8"/>
          <c:order val="8"/>
          <c:tx>
            <c:strRef>
              <c:f>'query-mix-per-hour'!$K$4</c:f>
              <c:strCache>
                <c:ptCount val="1"/>
                <c:pt idx="0">
                  <c:v>PCo</c:v>
                </c:pt>
              </c:strCache>
            </c:strRef>
          </c:tx>
          <c:spPr>
            <a:pattFill prst="lgCheck">
              <a:fgClr>
                <a:schemeClr val="accent4">
                  <a:lumMod val="50000"/>
                </a:schemeClr>
              </a:fgClr>
              <a:bgClr>
                <a:schemeClr val="bg1"/>
              </a:bgClr>
            </a:pattFill>
            <a:ln>
              <a:noFill/>
            </a:ln>
            <a:effectLst/>
          </c:spPr>
          <c:invertIfNegative val="0"/>
          <c:dLbls>
            <c:spPr>
              <a:noFill/>
              <a:ln>
                <a:noFill/>
              </a:ln>
              <a:effectLst/>
            </c:spPr>
            <c:txPr>
              <a:bodyPr rot="-5400000" spcFirstLastPara="1" vertOverflow="clip" horzOverflow="clip" vert="horz" wrap="square" lIns="38100" tIns="19050" rIns="38100" bIns="19050" anchor="ctr" anchorCtr="0">
                <a:spAutoFit/>
              </a:bodyPr>
              <a:lstStyle/>
              <a:p>
                <a:pPr algn="ctr">
                  <a:defRPr lang="en-US" sz="32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'query-mix-per-hour'!$B$5</c:f>
              <c:strCache>
                <c:ptCount val="1"/>
                <c:pt idx="0">
                  <c:v>SWDF - BGP</c:v>
                </c:pt>
              </c:strCache>
            </c:strRef>
          </c:cat>
          <c:val>
            <c:numRef>
              <c:f>'query-mix-per-hour'!$K$5</c:f>
              <c:numCache>
                <c:formatCode>0.00</c:formatCode>
                <c:ptCount val="1"/>
                <c:pt idx="0">
                  <c:v>1147.227533460803</c:v>
                </c:pt>
              </c:numCache>
            </c:numRef>
          </c:val>
        </c:ser>
        <c:ser>
          <c:idx val="9"/>
          <c:order val="9"/>
          <c:tx>
            <c:strRef>
              <c:f>'query-mix-per-hour'!$L$4</c:f>
              <c:strCache>
                <c:ptCount val="1"/>
                <c:pt idx="0">
                  <c:v>PT</c:v>
                </c:pt>
              </c:strCache>
            </c:strRef>
          </c:tx>
          <c:spPr>
            <a:solidFill>
              <a:schemeClr val="accent4">
                <a:lumMod val="60000"/>
              </a:schemeClr>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'query-mix-per-hour'!$B$5</c:f>
              <c:strCache>
                <c:ptCount val="1"/>
                <c:pt idx="0">
                  <c:v>SWDF - BGP</c:v>
                </c:pt>
              </c:strCache>
            </c:strRef>
          </c:cat>
          <c:val>
            <c:numRef>
              <c:f>'query-mix-per-hour'!$L$5</c:f>
              <c:numCache>
                <c:formatCode>0.00</c:formatCode>
                <c:ptCount val="1"/>
                <c:pt idx="0">
                  <c:v>1506.2761506276152</c:v>
                </c:pt>
              </c:numCache>
            </c:numRef>
          </c:val>
        </c:ser>
        <c:dLbls>
          <c:dLblPos val="outEnd"/>
          <c:showLegendKey val="0"/>
          <c:showVal val="1"/>
          <c:showCatName val="0"/>
          <c:showSerName val="0"/>
          <c:showPercent val="0"/>
          <c:showBubbleSize val="0"/>
        </c:dLbls>
        <c:gapWidth val="20"/>
        <c:overlap val="-20"/>
        <c:axId val="1256135392"/>
        <c:axId val="1256128320"/>
      </c:barChart>
      <c:catAx>
        <c:axId val="125613539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4000" b="1" i="0" u="none" strike="noStrike" kern="1200" cap="all" spc="120" normalizeH="0" baseline="0">
                <a:solidFill>
                  <a:sysClr val="windowText" lastClr="000000"/>
                </a:solidFill>
                <a:latin typeface="+mn-lt"/>
                <a:ea typeface="+mn-ea"/>
                <a:cs typeface="+mn-cs"/>
              </a:defRPr>
            </a:pPr>
            <a:endParaRPr lang="en-US"/>
          </a:p>
        </c:txPr>
        <c:crossAx val="1256128320"/>
        <c:crosses val="autoZero"/>
        <c:auto val="1"/>
        <c:lblAlgn val="ctr"/>
        <c:lblOffset val="100"/>
        <c:noMultiLvlLbl val="0"/>
      </c:catAx>
      <c:valAx>
        <c:axId val="1256128320"/>
        <c:scaling>
          <c:orientation val="minMax"/>
        </c:scaling>
        <c:delete val="1"/>
        <c:axPos val="l"/>
        <c:numFmt formatCode="0.00" sourceLinked="1"/>
        <c:majorTickMark val="none"/>
        <c:minorTickMark val="none"/>
        <c:tickLblPos val="nextTo"/>
        <c:crossAx val="1256135392"/>
        <c:crosses val="autoZero"/>
        <c:crossBetween val="between"/>
      </c:valAx>
      <c:spPr>
        <a:noFill/>
        <a:ln w="25400">
          <a:noFill/>
        </a:ln>
        <a:effectLst/>
      </c:spPr>
    </c:plotArea>
    <c:legend>
      <c:legendPos val="t"/>
      <c:layout>
        <c:manualLayout>
          <c:xMode val="edge"/>
          <c:yMode val="edge"/>
          <c:x val="0"/>
          <c:y val="0.88909200933216681"/>
          <c:w val="0.5759569570140568"/>
          <c:h val="0.11090823130471641"/>
        </c:manualLayout>
      </c:layout>
      <c:overlay val="0"/>
      <c:spPr>
        <a:noFill/>
        <a:ln>
          <a:noFill/>
        </a:ln>
        <a:effectLst/>
      </c:spPr>
      <c:txPr>
        <a:bodyPr rot="0" spcFirstLastPara="1" vertOverflow="ellipsis" vert="horz" wrap="square" anchor="ctr" anchorCtr="1"/>
        <a:lstStyle/>
        <a:p>
          <a:pPr>
            <a:defRPr sz="4000" b="1"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2.1227034120734899E-4"/>
          <c:y val="0.10327719451735201"/>
          <c:w val="0.99975656167978988"/>
          <c:h val="0.63638363954505683"/>
        </c:manualLayout>
      </c:layout>
      <c:barChart>
        <c:barDir val="col"/>
        <c:grouping val="clustered"/>
        <c:varyColors val="0"/>
        <c:ser>
          <c:idx val="0"/>
          <c:order val="0"/>
          <c:tx>
            <c:strRef>
              <c:f>'query-mix-per-hour'!$C$8</c:f>
              <c:strCache>
                <c:ptCount val="1"/>
                <c:pt idx="0">
                  <c:v>PB</c:v>
                </c:pt>
              </c:strCache>
            </c:strRef>
          </c:tx>
          <c:spPr>
            <a:pattFill prst="pct75">
              <a:fgClr>
                <a:schemeClr val="accent6">
                  <a:lumMod val="50000"/>
                </a:schemeClr>
              </a:fgClr>
              <a:bgClr>
                <a:schemeClr val="bg1"/>
              </a:bgClr>
            </a:pattFill>
            <a:ln>
              <a:noFill/>
            </a:ln>
            <a:effectLst/>
          </c:spPr>
          <c:invertIfNegative val="0"/>
          <c:dLbls>
            <c:spPr>
              <a:noFill/>
              <a:ln>
                <a:noFill/>
              </a:ln>
              <a:effectLst/>
            </c:spPr>
            <c:txPr>
              <a:bodyPr rot="-5400000" spcFirstLastPara="1" vertOverflow="clip" horzOverflow="clip" vert="horz" wrap="square" lIns="38100" tIns="19050" rIns="38100" bIns="19050" anchor="ctr" anchorCtr="0">
                <a:spAutoFit/>
              </a:bodyPr>
              <a:lstStyle/>
              <a:p>
                <a:pPr algn="ctr">
                  <a:defRPr lang="en-US" sz="32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'query-mix-per-hour'!$B$9:$B$10</c:f>
              <c:strCache>
                <c:ptCount val="2"/>
                <c:pt idx="0">
                  <c:v>Dbpedia - BGP</c:v>
                </c:pt>
                <c:pt idx="1">
                  <c:v>DBpedia - FF</c:v>
                </c:pt>
              </c:strCache>
            </c:strRef>
          </c:cat>
          <c:val>
            <c:numRef>
              <c:f>'query-mix-per-hour'!$C$9:$C$10</c:f>
              <c:numCache>
                <c:formatCode>0.0000</c:formatCode>
                <c:ptCount val="2"/>
                <c:pt idx="0" formatCode="0.00">
                  <c:v>0.30055123601278377</c:v>
                </c:pt>
                <c:pt idx="1">
                  <c:v>0.24986098012689051</c:v>
                </c:pt>
              </c:numCache>
            </c:numRef>
          </c:val>
        </c:ser>
        <c:ser>
          <c:idx val="1"/>
          <c:order val="1"/>
          <c:tx>
            <c:strRef>
              <c:f>'query-mix-per-hour'!$D$8</c:f>
              <c:strCache>
                <c:ptCount val="1"/>
                <c:pt idx="0">
                  <c:v>SB</c:v>
                </c:pt>
              </c:strCache>
            </c:strRef>
          </c:tx>
          <c:spPr>
            <a:pattFill prst="pct80">
              <a:fgClr>
                <a:schemeClr val="accent2"/>
              </a:fgClr>
              <a:bgClr>
                <a:schemeClr val="bg1"/>
              </a:bgClr>
            </a:pattFill>
            <a:ln>
              <a:noFill/>
            </a:ln>
            <a:effectLst/>
          </c:spPr>
          <c:invertIfNegative val="0"/>
          <c:dLbls>
            <c:spPr>
              <a:noFill/>
              <a:ln>
                <a:noFill/>
              </a:ln>
              <a:effectLst/>
            </c:spPr>
            <c:txPr>
              <a:bodyPr rot="-5400000" spcFirstLastPara="1" vertOverflow="clip" horzOverflow="clip" vert="horz" wrap="square" lIns="38100" tIns="19050" rIns="38100" bIns="19050" anchor="ctr" anchorCtr="0">
                <a:spAutoFit/>
              </a:bodyPr>
              <a:lstStyle/>
              <a:p>
                <a:pPr algn="ctr">
                  <a:defRPr lang="en-US" sz="32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'query-mix-per-hour'!$B$9:$B$10</c:f>
              <c:strCache>
                <c:ptCount val="2"/>
                <c:pt idx="0">
                  <c:v>Dbpedia - BGP</c:v>
                </c:pt>
                <c:pt idx="1">
                  <c:v>DBpedia - FF</c:v>
                </c:pt>
              </c:strCache>
            </c:strRef>
          </c:cat>
          <c:val>
            <c:numRef>
              <c:f>'query-mix-per-hour'!$D$9:$D$10</c:f>
              <c:numCache>
                <c:formatCode>0.0000</c:formatCode>
                <c:ptCount val="2"/>
                <c:pt idx="0" formatCode="0.00">
                  <c:v>0.45236826093807603</c:v>
                </c:pt>
                <c:pt idx="1">
                  <c:v>0.23833573335210007</c:v>
                </c:pt>
              </c:numCache>
            </c:numRef>
          </c:val>
        </c:ser>
        <c:ser>
          <c:idx val="2"/>
          <c:order val="2"/>
          <c:tx>
            <c:strRef>
              <c:f>'query-mix-per-hour'!$E$8</c:f>
              <c:strCache>
                <c:ptCount val="1"/>
                <c:pt idx="0">
                  <c:v>Hi</c:v>
                </c:pt>
              </c:strCache>
            </c:strRef>
          </c:tx>
          <c:spPr>
            <a:pattFill prst="pct90">
              <a:fgClr>
                <a:schemeClr val="accent3"/>
              </a:fgClr>
              <a:bgClr>
                <a:schemeClr val="bg1"/>
              </a:bgClr>
            </a:pattFill>
            <a:ln>
              <a:noFill/>
            </a:ln>
            <a:effectLst/>
          </c:spPr>
          <c:invertIfNegative val="0"/>
          <c:dLbls>
            <c:spPr>
              <a:noFill/>
              <a:ln>
                <a:noFill/>
              </a:ln>
              <a:effectLst/>
            </c:spPr>
            <c:txPr>
              <a:bodyPr rot="-5400000" spcFirstLastPara="1" vertOverflow="clip" horzOverflow="clip" vert="horz" wrap="square" lIns="38100" tIns="19050" rIns="38100" bIns="19050" anchor="ctr" anchorCtr="0">
                <a:spAutoFit/>
              </a:bodyPr>
              <a:lstStyle/>
              <a:p>
                <a:pPr algn="ctr">
                  <a:defRPr lang="en-US" sz="32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'query-mix-per-hour'!$B$9:$B$10</c:f>
              <c:strCache>
                <c:ptCount val="2"/>
                <c:pt idx="0">
                  <c:v>Dbpedia - BGP</c:v>
                </c:pt>
                <c:pt idx="1">
                  <c:v>DBpedia - FF</c:v>
                </c:pt>
              </c:strCache>
            </c:strRef>
          </c:cat>
          <c:val>
            <c:numRef>
              <c:f>'query-mix-per-hour'!$E$9:$E$10</c:f>
              <c:numCache>
                <c:formatCode>0.0000</c:formatCode>
                <c:ptCount val="2"/>
                <c:pt idx="0" formatCode="0.00">
                  <c:v>0.45611057032445801</c:v>
                </c:pt>
                <c:pt idx="1">
                  <c:v>0.24476823202070247</c:v>
                </c:pt>
              </c:numCache>
            </c:numRef>
          </c:val>
        </c:ser>
        <c:ser>
          <c:idx val="3"/>
          <c:order val="3"/>
          <c:tx>
            <c:strRef>
              <c:f>'query-mix-per-hour'!$F$8</c:f>
              <c:strCache>
                <c:ptCount val="1"/>
                <c:pt idx="0">
                  <c:v>Ho</c:v>
                </c:pt>
              </c:strCache>
            </c:strRef>
          </c:tx>
          <c:spPr>
            <a:pattFill prst="dkDnDiag">
              <a:fgClr>
                <a:schemeClr val="accent4"/>
              </a:fgClr>
              <a:bgClr>
                <a:schemeClr val="bg1"/>
              </a:bgClr>
            </a:pattFill>
            <a:ln>
              <a:noFill/>
            </a:ln>
            <a:effectLst/>
          </c:spPr>
          <c:invertIfNegative val="0"/>
          <c:dLbls>
            <c:spPr>
              <a:noFill/>
              <a:ln>
                <a:noFill/>
              </a:ln>
              <a:effectLst/>
            </c:spPr>
            <c:txPr>
              <a:bodyPr rot="-5400000" spcFirstLastPara="1" vertOverflow="clip" horzOverflow="clip" vert="horz" wrap="square" lIns="38100" tIns="19050" rIns="38100" bIns="19050" anchor="ctr" anchorCtr="0">
                <a:spAutoFit/>
              </a:bodyPr>
              <a:lstStyle/>
              <a:p>
                <a:pPr algn="ctr">
                  <a:defRPr lang="en-US" sz="32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'query-mix-per-hour'!$B$9:$B$10</c:f>
              <c:strCache>
                <c:ptCount val="2"/>
                <c:pt idx="0">
                  <c:v>Dbpedia - BGP</c:v>
                </c:pt>
                <c:pt idx="1">
                  <c:v>DBpedia - FF</c:v>
                </c:pt>
              </c:strCache>
            </c:strRef>
          </c:cat>
          <c:val>
            <c:numRef>
              <c:f>'query-mix-per-hour'!$F$9:$F$10</c:f>
              <c:numCache>
                <c:formatCode>0.0000</c:formatCode>
                <c:ptCount val="2"/>
                <c:pt idx="0" formatCode="0.00">
                  <c:v>0.43439144654282325</c:v>
                </c:pt>
                <c:pt idx="1">
                  <c:v>0.24215863435445351</c:v>
                </c:pt>
              </c:numCache>
            </c:numRef>
          </c:val>
        </c:ser>
        <c:ser>
          <c:idx val="4"/>
          <c:order val="4"/>
          <c:tx>
            <c:strRef>
              <c:f>'query-mix-per-hour'!$G$8</c:f>
              <c:strCache>
                <c:ptCount val="1"/>
                <c:pt idx="0">
                  <c:v>TC</c:v>
                </c:pt>
              </c:strCache>
            </c:strRef>
          </c:tx>
          <c:spPr>
            <a:pattFill prst="dkUpDiag">
              <a:fgClr>
                <a:schemeClr val="accent5"/>
              </a:fgClr>
              <a:bgClr>
                <a:schemeClr val="bg1"/>
              </a:bgClr>
            </a:pattFill>
            <a:ln>
              <a:noFill/>
            </a:ln>
            <a:effectLst/>
          </c:spPr>
          <c:invertIfNegative val="0"/>
          <c:dLbls>
            <c:spPr>
              <a:noFill/>
              <a:ln>
                <a:noFill/>
              </a:ln>
              <a:effectLst/>
            </c:spPr>
            <c:txPr>
              <a:bodyPr rot="-5400000" spcFirstLastPara="1" vertOverflow="clip" horzOverflow="clip" vert="horz" wrap="square" lIns="38100" tIns="19050" rIns="38100" bIns="19050" anchor="ctr" anchorCtr="0">
                <a:spAutoFit/>
              </a:bodyPr>
              <a:lstStyle/>
              <a:p>
                <a:pPr algn="ctr">
                  <a:defRPr lang="en-US" sz="32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'query-mix-per-hour'!$B$9:$B$10</c:f>
              <c:strCache>
                <c:ptCount val="2"/>
                <c:pt idx="0">
                  <c:v>Dbpedia - BGP</c:v>
                </c:pt>
                <c:pt idx="1">
                  <c:v>DBpedia - FF</c:v>
                </c:pt>
              </c:strCache>
            </c:strRef>
          </c:cat>
          <c:val>
            <c:numRef>
              <c:f>'query-mix-per-hour'!$G$9:$G$10</c:f>
              <c:numCache>
                <c:formatCode>0.0000</c:formatCode>
                <c:ptCount val="2"/>
                <c:pt idx="0" formatCode="0.00">
                  <c:v>0.41876855522754608</c:v>
                </c:pt>
                <c:pt idx="1">
                  <c:v>0.24671527734326573</c:v>
                </c:pt>
              </c:numCache>
            </c:numRef>
          </c:val>
        </c:ser>
        <c:ser>
          <c:idx val="5"/>
          <c:order val="5"/>
          <c:tx>
            <c:strRef>
              <c:f>'query-mix-per-hour'!$H$8</c:f>
              <c:strCache>
                <c:ptCount val="1"/>
                <c:pt idx="0">
                  <c:v>ME</c:v>
                </c:pt>
              </c:strCache>
            </c:strRef>
          </c:tx>
          <c:spPr>
            <a:pattFill prst="trellis">
              <a:fgClr>
                <a:schemeClr val="accent6"/>
              </a:fgClr>
              <a:bgClr>
                <a:schemeClr val="bg1"/>
              </a:bgClr>
            </a:pattFill>
            <a:ln>
              <a:noFill/>
            </a:ln>
            <a:effectLst/>
          </c:spPr>
          <c:invertIfNegative val="0"/>
          <c:dLbls>
            <c:spPr>
              <a:noFill/>
              <a:ln>
                <a:noFill/>
              </a:ln>
              <a:effectLst/>
            </c:spPr>
            <c:txPr>
              <a:bodyPr rot="-5400000" spcFirstLastPara="1" vertOverflow="clip" horzOverflow="clip" vert="horz" wrap="square" lIns="38100" tIns="19050" rIns="38100" bIns="19050" anchor="ctr" anchorCtr="0">
                <a:spAutoFit/>
              </a:bodyPr>
              <a:lstStyle/>
              <a:p>
                <a:pPr algn="ctr">
                  <a:defRPr lang="en-US" sz="32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'query-mix-per-hour'!$B$9:$B$10</c:f>
              <c:strCache>
                <c:ptCount val="2"/>
                <c:pt idx="0">
                  <c:v>Dbpedia - BGP</c:v>
                </c:pt>
                <c:pt idx="1">
                  <c:v>DBpedia - FF</c:v>
                </c:pt>
              </c:strCache>
            </c:strRef>
          </c:cat>
          <c:val>
            <c:numRef>
              <c:f>'query-mix-per-hour'!$H$9:$H$10</c:f>
              <c:numCache>
                <c:formatCode>0.0000</c:formatCode>
                <c:ptCount val="2"/>
                <c:pt idx="0" formatCode="0.00">
                  <c:v>0.41444692920728388</c:v>
                </c:pt>
                <c:pt idx="1">
                  <c:v>0.23717630540191434</c:v>
                </c:pt>
              </c:numCache>
            </c:numRef>
          </c:val>
        </c:ser>
        <c:ser>
          <c:idx val="6"/>
          <c:order val="6"/>
          <c:tx>
            <c:strRef>
              <c:f>'query-mix-per-hour'!$I$8</c:f>
              <c:strCache>
                <c:ptCount val="1"/>
                <c:pt idx="0">
                  <c:v>RB</c:v>
                </c:pt>
              </c:strCache>
            </c:strRef>
          </c:tx>
          <c:spPr>
            <a:pattFill prst="pct50">
              <a:fgClr>
                <a:schemeClr val="accent5">
                  <a:lumMod val="75000"/>
                </a:schemeClr>
              </a:fgClr>
              <a:bgClr>
                <a:schemeClr val="bg1"/>
              </a:bgClr>
            </a:pattFill>
            <a:ln>
              <a:noFill/>
            </a:ln>
            <a:effectLst/>
          </c:spPr>
          <c:invertIfNegative val="0"/>
          <c:dLbls>
            <c:spPr>
              <a:noFill/>
              <a:ln>
                <a:noFill/>
              </a:ln>
              <a:effectLst/>
            </c:spPr>
            <c:txPr>
              <a:bodyPr rot="-5400000" spcFirstLastPara="1" vertOverflow="clip" horzOverflow="clip" vert="horz" wrap="square" lIns="38100" tIns="19050" rIns="38100" bIns="19050" anchor="ctr" anchorCtr="0">
                <a:spAutoFit/>
              </a:bodyPr>
              <a:lstStyle/>
              <a:p>
                <a:pPr algn="ctr">
                  <a:defRPr lang="en-US" sz="32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'query-mix-per-hour'!$B$9:$B$10</c:f>
              <c:strCache>
                <c:ptCount val="2"/>
                <c:pt idx="0">
                  <c:v>Dbpedia - BGP</c:v>
                </c:pt>
                <c:pt idx="1">
                  <c:v>DBpedia - FF</c:v>
                </c:pt>
              </c:strCache>
            </c:strRef>
          </c:cat>
          <c:val>
            <c:numRef>
              <c:f>'query-mix-per-hour'!$I$9:$I$10</c:f>
              <c:numCache>
                <c:formatCode>0.0000</c:formatCode>
                <c:ptCount val="2"/>
                <c:pt idx="0" formatCode="0.00">
                  <c:v>0.45234643403997388</c:v>
                </c:pt>
                <c:pt idx="1">
                  <c:v>0.25349197518341732</c:v>
                </c:pt>
              </c:numCache>
            </c:numRef>
          </c:val>
        </c:ser>
        <c:ser>
          <c:idx val="7"/>
          <c:order val="7"/>
          <c:tx>
            <c:strRef>
              <c:f>'query-mix-per-hour'!$J$8</c:f>
              <c:strCache>
                <c:ptCount val="1"/>
                <c:pt idx="0">
                  <c:v>MCL</c:v>
                </c:pt>
              </c:strCache>
            </c:strRef>
          </c:tx>
          <c:spPr>
            <a:pattFill prst="pct70">
              <a:fgClr>
                <a:schemeClr val="accent2">
                  <a:lumMod val="50000"/>
                </a:schemeClr>
              </a:fgClr>
              <a:bgClr>
                <a:schemeClr val="bg1"/>
              </a:bgClr>
            </a:pattFill>
            <a:ln>
              <a:noFill/>
            </a:ln>
            <a:effectLst/>
          </c:spPr>
          <c:invertIfNegative val="0"/>
          <c:dLbls>
            <c:spPr>
              <a:noFill/>
              <a:ln>
                <a:noFill/>
              </a:ln>
              <a:effectLst/>
            </c:spPr>
            <c:txPr>
              <a:bodyPr rot="-5400000" spcFirstLastPara="1" vertOverflow="clip" horzOverflow="clip" vert="horz" wrap="square" lIns="38100" tIns="19050" rIns="38100" bIns="19050" anchor="ctr" anchorCtr="0">
                <a:spAutoFit/>
              </a:bodyPr>
              <a:lstStyle/>
              <a:p>
                <a:pPr algn="ctr">
                  <a:defRPr lang="en-US" sz="32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'query-mix-per-hour'!$B$9:$B$10</c:f>
              <c:strCache>
                <c:ptCount val="2"/>
                <c:pt idx="0">
                  <c:v>Dbpedia - BGP</c:v>
                </c:pt>
                <c:pt idx="1">
                  <c:v>DBpedia - FF</c:v>
                </c:pt>
              </c:strCache>
            </c:strRef>
          </c:cat>
          <c:val>
            <c:numRef>
              <c:f>'query-mix-per-hour'!$J$9:$J$10</c:f>
              <c:numCache>
                <c:formatCode>0.0000</c:formatCode>
                <c:ptCount val="2"/>
                <c:pt idx="0" formatCode="0.00">
                  <c:v>0.40727824321887385</c:v>
                </c:pt>
                <c:pt idx="1">
                  <c:v>0.25319179911762657</c:v>
                </c:pt>
              </c:numCache>
            </c:numRef>
          </c:val>
        </c:ser>
        <c:ser>
          <c:idx val="8"/>
          <c:order val="8"/>
          <c:tx>
            <c:strRef>
              <c:f>'query-mix-per-hour'!$K$8</c:f>
              <c:strCache>
                <c:ptCount val="1"/>
                <c:pt idx="0">
                  <c:v>PCo</c:v>
                </c:pt>
              </c:strCache>
            </c:strRef>
          </c:tx>
          <c:spPr>
            <a:pattFill prst="lgCheck">
              <a:fgClr>
                <a:schemeClr val="accent4">
                  <a:lumMod val="50000"/>
                </a:schemeClr>
              </a:fgClr>
              <a:bgClr>
                <a:schemeClr val="bg1"/>
              </a:bgClr>
            </a:pattFill>
            <a:ln>
              <a:noFill/>
            </a:ln>
            <a:effectLst/>
          </c:spPr>
          <c:invertIfNegative val="0"/>
          <c:dLbls>
            <c:spPr>
              <a:noFill/>
              <a:ln>
                <a:noFill/>
              </a:ln>
              <a:effectLst/>
            </c:spPr>
            <c:txPr>
              <a:bodyPr rot="-5400000" spcFirstLastPara="1" vertOverflow="clip" horzOverflow="clip" vert="horz" wrap="square" lIns="38100" tIns="19050" rIns="38100" bIns="19050" anchor="ctr" anchorCtr="0">
                <a:spAutoFit/>
              </a:bodyPr>
              <a:lstStyle/>
              <a:p>
                <a:pPr algn="ctr">
                  <a:defRPr lang="en-US" sz="32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'query-mix-per-hour'!$B$9:$B$10</c:f>
              <c:strCache>
                <c:ptCount val="2"/>
                <c:pt idx="0">
                  <c:v>Dbpedia - BGP</c:v>
                </c:pt>
                <c:pt idx="1">
                  <c:v>DBpedia - FF</c:v>
                </c:pt>
              </c:strCache>
            </c:strRef>
          </c:cat>
          <c:val>
            <c:numRef>
              <c:f>'query-mix-per-hour'!$K$9:$K$10</c:f>
              <c:numCache>
                <c:formatCode>0.0000</c:formatCode>
                <c:ptCount val="2"/>
                <c:pt idx="0" formatCode="0.00">
                  <c:v>0.32885631993335179</c:v>
                </c:pt>
                <c:pt idx="1">
                  <c:v>0.23679499552194352</c:v>
                </c:pt>
              </c:numCache>
            </c:numRef>
          </c:val>
        </c:ser>
        <c:dLbls>
          <c:dLblPos val="outEnd"/>
          <c:showLegendKey val="0"/>
          <c:showVal val="1"/>
          <c:showCatName val="0"/>
          <c:showSerName val="0"/>
          <c:showPercent val="0"/>
          <c:showBubbleSize val="0"/>
        </c:dLbls>
        <c:gapWidth val="20"/>
        <c:overlap val="-20"/>
        <c:axId val="1256131584"/>
        <c:axId val="1256130496"/>
      </c:barChart>
      <c:catAx>
        <c:axId val="1256131584"/>
        <c:scaling>
          <c:orientation val="minMax"/>
        </c:scaling>
        <c:delete val="0"/>
        <c:axPos val="b"/>
        <c:majorGridlines>
          <c:spPr>
            <a:ln w="9525" cap="flat" cmpd="sng" algn="ctr">
              <a:solidFill>
                <a:schemeClr val="tx1"/>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4000" b="1" i="0" u="none" strike="noStrike" kern="1200" cap="all" spc="120" normalizeH="0" baseline="0">
                <a:solidFill>
                  <a:sysClr val="windowText" lastClr="000000"/>
                </a:solidFill>
                <a:latin typeface="+mn-lt"/>
                <a:ea typeface="+mn-ea"/>
                <a:cs typeface="+mn-cs"/>
              </a:defRPr>
            </a:pPr>
            <a:endParaRPr lang="en-US"/>
          </a:p>
        </c:txPr>
        <c:crossAx val="1256130496"/>
        <c:crosses val="autoZero"/>
        <c:auto val="1"/>
        <c:lblAlgn val="ctr"/>
        <c:lblOffset val="100"/>
        <c:noMultiLvlLbl val="0"/>
      </c:catAx>
      <c:valAx>
        <c:axId val="1256130496"/>
        <c:scaling>
          <c:orientation val="minMax"/>
        </c:scaling>
        <c:delete val="1"/>
        <c:axPos val="l"/>
        <c:numFmt formatCode="0.00" sourceLinked="1"/>
        <c:majorTickMark val="none"/>
        <c:minorTickMark val="none"/>
        <c:tickLblPos val="nextTo"/>
        <c:crossAx val="1256131584"/>
        <c:crosses val="autoZero"/>
        <c:crossBetween val="between"/>
      </c:valAx>
      <c:spPr>
        <a:noFill/>
        <a:ln w="25400">
          <a:noFill/>
        </a:ln>
        <a:effectLst/>
      </c:spPr>
    </c:plotArea>
    <c:legend>
      <c:legendPos val="t"/>
      <c:layout>
        <c:manualLayout>
          <c:xMode val="edge"/>
          <c:yMode val="edge"/>
          <c:x val="0"/>
          <c:y val="0.88909200933216681"/>
          <c:w val="0.99951312335958009"/>
          <c:h val="9.2817147856517929E-2"/>
        </c:manualLayout>
      </c:layout>
      <c:overlay val="0"/>
      <c:spPr>
        <a:noFill/>
        <a:ln>
          <a:noFill/>
        </a:ln>
        <a:effectLst/>
      </c:spPr>
      <c:txPr>
        <a:bodyPr rot="0" spcFirstLastPara="1" vertOverflow="ellipsis" vert="horz" wrap="square" anchor="ctr" anchorCtr="1"/>
        <a:lstStyle/>
        <a:p>
          <a:pPr>
            <a:defRPr sz="4000" b="1"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2.1227034120734899E-4"/>
          <c:y val="0.10327719451735201"/>
          <c:w val="0.99975656167978988"/>
          <c:h val="0.63638363954505683"/>
        </c:manualLayout>
      </c:layout>
      <c:barChart>
        <c:barDir val="col"/>
        <c:grouping val="clustered"/>
        <c:varyColors val="0"/>
        <c:ser>
          <c:idx val="0"/>
          <c:order val="0"/>
          <c:tx>
            <c:strRef>
              <c:f>'query-mix-per-hour'!$C$17</c:f>
              <c:strCache>
                <c:ptCount val="1"/>
                <c:pt idx="0">
                  <c:v>PB</c:v>
                </c:pt>
              </c:strCache>
            </c:strRef>
          </c:tx>
          <c:spPr>
            <a:pattFill prst="pct75">
              <a:fgClr>
                <a:schemeClr val="accent6">
                  <a:lumMod val="50000"/>
                </a:schemeClr>
              </a:fgClr>
              <a:bgClr>
                <a:schemeClr val="bg1"/>
              </a:bgClr>
            </a:pattFill>
            <a:ln>
              <a:noFill/>
            </a:ln>
            <a:effectLst/>
          </c:spPr>
          <c:invertIfNegative val="0"/>
          <c:dLbls>
            <c:spPr>
              <a:noFill/>
              <a:ln>
                <a:noFill/>
              </a:ln>
              <a:effectLst/>
            </c:spPr>
            <c:txPr>
              <a:bodyPr rot="-5400000" spcFirstLastPara="1" vertOverflow="clip" horzOverflow="clip" vert="horz" wrap="square" lIns="38100" tIns="19050" rIns="38100" bIns="19050" anchor="ctr" anchorCtr="0">
                <a:spAutoFit/>
              </a:bodyPr>
              <a:lstStyle/>
              <a:p>
                <a:pPr algn="ctr">
                  <a:defRPr lang="en-US" sz="32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'query-mix-per-hour'!$B$18</c:f>
              <c:strCache>
                <c:ptCount val="1"/>
                <c:pt idx="0">
                  <c:v>SWDF - BGP</c:v>
                </c:pt>
              </c:strCache>
            </c:strRef>
          </c:cat>
          <c:val>
            <c:numRef>
              <c:f>'query-mix-per-hour'!$C$18</c:f>
              <c:numCache>
                <c:formatCode>0.00</c:formatCode>
                <c:ptCount val="1"/>
                <c:pt idx="0">
                  <c:v>44.020004646556046</c:v>
                </c:pt>
              </c:numCache>
            </c:numRef>
          </c:val>
        </c:ser>
        <c:ser>
          <c:idx val="1"/>
          <c:order val="1"/>
          <c:tx>
            <c:strRef>
              <c:f>'query-mix-per-hour'!$D$17</c:f>
              <c:strCache>
                <c:ptCount val="1"/>
                <c:pt idx="0">
                  <c:v>SB</c:v>
                </c:pt>
              </c:strCache>
            </c:strRef>
          </c:tx>
          <c:spPr>
            <a:pattFill prst="pct80">
              <a:fgClr>
                <a:schemeClr val="accent2"/>
              </a:fgClr>
              <a:bgClr>
                <a:schemeClr val="bg1"/>
              </a:bgClr>
            </a:pattFill>
            <a:ln>
              <a:noFill/>
            </a:ln>
            <a:effectLst/>
          </c:spPr>
          <c:invertIfNegative val="0"/>
          <c:dLbls>
            <c:spPr>
              <a:noFill/>
              <a:ln>
                <a:noFill/>
              </a:ln>
              <a:effectLst/>
            </c:spPr>
            <c:txPr>
              <a:bodyPr rot="-5400000" spcFirstLastPara="1" vertOverflow="clip" horzOverflow="clip" vert="horz" wrap="square" lIns="38100" tIns="19050" rIns="38100" bIns="19050" anchor="ctr" anchorCtr="0">
                <a:spAutoFit/>
              </a:bodyPr>
              <a:lstStyle/>
              <a:p>
                <a:pPr algn="ctr">
                  <a:defRPr lang="en-US" sz="32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'query-mix-per-hour'!$B$18</c:f>
              <c:strCache>
                <c:ptCount val="1"/>
                <c:pt idx="0">
                  <c:v>SWDF - BGP</c:v>
                </c:pt>
              </c:strCache>
            </c:strRef>
          </c:cat>
          <c:val>
            <c:numRef>
              <c:f>'query-mix-per-hour'!$D$18</c:f>
              <c:numCache>
                <c:formatCode>0.00</c:formatCode>
                <c:ptCount val="1"/>
                <c:pt idx="0">
                  <c:v>71.033938437253354</c:v>
                </c:pt>
              </c:numCache>
            </c:numRef>
          </c:val>
        </c:ser>
        <c:ser>
          <c:idx val="2"/>
          <c:order val="2"/>
          <c:tx>
            <c:strRef>
              <c:f>'query-mix-per-hour'!$E$17</c:f>
              <c:strCache>
                <c:ptCount val="1"/>
                <c:pt idx="0">
                  <c:v>Hi</c:v>
                </c:pt>
              </c:strCache>
            </c:strRef>
          </c:tx>
          <c:spPr>
            <a:pattFill prst="pct90">
              <a:fgClr>
                <a:schemeClr val="accent3"/>
              </a:fgClr>
              <a:bgClr>
                <a:schemeClr val="bg1"/>
              </a:bgClr>
            </a:pattFill>
            <a:ln>
              <a:noFill/>
            </a:ln>
            <a:effectLst/>
          </c:spPr>
          <c:invertIfNegative val="0"/>
          <c:dLbls>
            <c:spPr>
              <a:noFill/>
              <a:ln>
                <a:noFill/>
              </a:ln>
              <a:effectLst/>
            </c:spPr>
            <c:txPr>
              <a:bodyPr rot="-5400000" spcFirstLastPara="1" vertOverflow="clip" horzOverflow="clip" vert="horz" wrap="square" lIns="38100" tIns="19050" rIns="38100" bIns="19050" anchor="ctr" anchorCtr="0">
                <a:spAutoFit/>
              </a:bodyPr>
              <a:lstStyle/>
              <a:p>
                <a:pPr algn="ctr">
                  <a:defRPr lang="en-US" sz="32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'query-mix-per-hour'!$B$18</c:f>
              <c:strCache>
                <c:ptCount val="1"/>
                <c:pt idx="0">
                  <c:v>SWDF - BGP</c:v>
                </c:pt>
              </c:strCache>
            </c:strRef>
          </c:cat>
          <c:val>
            <c:numRef>
              <c:f>'query-mix-per-hour'!$E$18</c:f>
              <c:numCache>
                <c:formatCode>0.00</c:formatCode>
                <c:ptCount val="1"/>
                <c:pt idx="0">
                  <c:v>70.72830507475588</c:v>
                </c:pt>
              </c:numCache>
            </c:numRef>
          </c:val>
        </c:ser>
        <c:ser>
          <c:idx val="3"/>
          <c:order val="3"/>
          <c:tx>
            <c:strRef>
              <c:f>'query-mix-per-hour'!$F$17</c:f>
              <c:strCache>
                <c:ptCount val="1"/>
                <c:pt idx="0">
                  <c:v>Ho</c:v>
                </c:pt>
              </c:strCache>
            </c:strRef>
          </c:tx>
          <c:spPr>
            <a:pattFill prst="dkDnDiag">
              <a:fgClr>
                <a:schemeClr val="accent4"/>
              </a:fgClr>
              <a:bgClr>
                <a:schemeClr val="bg1"/>
              </a:bgClr>
            </a:pattFill>
            <a:ln>
              <a:noFill/>
            </a:ln>
            <a:effectLst/>
          </c:spPr>
          <c:invertIfNegative val="0"/>
          <c:dLbls>
            <c:spPr>
              <a:noFill/>
              <a:ln>
                <a:noFill/>
              </a:ln>
              <a:effectLst/>
            </c:spPr>
            <c:txPr>
              <a:bodyPr rot="-5400000" spcFirstLastPara="1" vertOverflow="clip" horzOverflow="clip" vert="horz" wrap="square" lIns="38100" tIns="19050" rIns="38100" bIns="19050" anchor="ctr" anchorCtr="0">
                <a:spAutoFit/>
              </a:bodyPr>
              <a:lstStyle/>
              <a:p>
                <a:pPr algn="ctr">
                  <a:defRPr lang="en-US" sz="32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'query-mix-per-hour'!$B$18</c:f>
              <c:strCache>
                <c:ptCount val="1"/>
                <c:pt idx="0">
                  <c:v>SWDF - BGP</c:v>
                </c:pt>
              </c:strCache>
            </c:strRef>
          </c:cat>
          <c:val>
            <c:numRef>
              <c:f>'query-mix-per-hour'!$F$18</c:f>
              <c:numCache>
                <c:formatCode>0.00</c:formatCode>
                <c:ptCount val="1"/>
                <c:pt idx="0">
                  <c:v>24.370595522580036</c:v>
                </c:pt>
              </c:numCache>
            </c:numRef>
          </c:val>
        </c:ser>
        <c:ser>
          <c:idx val="4"/>
          <c:order val="4"/>
          <c:tx>
            <c:strRef>
              <c:f>'query-mix-per-hour'!$G$17</c:f>
              <c:strCache>
                <c:ptCount val="1"/>
                <c:pt idx="0">
                  <c:v>TC</c:v>
                </c:pt>
              </c:strCache>
            </c:strRef>
          </c:tx>
          <c:spPr>
            <a:pattFill prst="dkUpDiag">
              <a:fgClr>
                <a:schemeClr val="accent5"/>
              </a:fgClr>
              <a:bgClr>
                <a:schemeClr val="bg1"/>
              </a:bgClr>
            </a:pattFill>
            <a:ln>
              <a:noFill/>
            </a:ln>
            <a:effectLst/>
          </c:spPr>
          <c:invertIfNegative val="0"/>
          <c:dLbls>
            <c:spPr>
              <a:noFill/>
              <a:ln>
                <a:noFill/>
              </a:ln>
              <a:effectLst/>
            </c:spPr>
            <c:txPr>
              <a:bodyPr rot="-5400000" spcFirstLastPara="1" vertOverflow="clip" horzOverflow="clip" vert="horz" wrap="square" lIns="38100" tIns="19050" rIns="38100" bIns="19050" anchor="ctr" anchorCtr="0">
                <a:spAutoFit/>
              </a:bodyPr>
              <a:lstStyle/>
              <a:p>
                <a:pPr algn="ctr">
                  <a:defRPr lang="en-US" sz="32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'query-mix-per-hour'!$B$18</c:f>
              <c:strCache>
                <c:ptCount val="1"/>
                <c:pt idx="0">
                  <c:v>SWDF - BGP</c:v>
                </c:pt>
              </c:strCache>
            </c:strRef>
          </c:cat>
          <c:val>
            <c:numRef>
              <c:f>'query-mix-per-hour'!$G$18</c:f>
              <c:numCache>
                <c:formatCode>0.00</c:formatCode>
                <c:ptCount val="1"/>
                <c:pt idx="0">
                  <c:v>73.71460163400701</c:v>
                </c:pt>
              </c:numCache>
            </c:numRef>
          </c:val>
        </c:ser>
        <c:ser>
          <c:idx val="5"/>
          <c:order val="5"/>
          <c:tx>
            <c:strRef>
              <c:f>'query-mix-per-hour'!$H$17</c:f>
              <c:strCache>
                <c:ptCount val="1"/>
                <c:pt idx="0">
                  <c:v>ME</c:v>
                </c:pt>
              </c:strCache>
            </c:strRef>
          </c:tx>
          <c:spPr>
            <a:pattFill prst="trellis">
              <a:fgClr>
                <a:schemeClr val="accent6"/>
              </a:fgClr>
              <a:bgClr>
                <a:schemeClr val="bg1"/>
              </a:bgClr>
            </a:pattFill>
            <a:ln>
              <a:noFill/>
            </a:ln>
            <a:effectLst/>
          </c:spPr>
          <c:invertIfNegative val="0"/>
          <c:dLbls>
            <c:spPr>
              <a:noFill/>
              <a:ln>
                <a:noFill/>
              </a:ln>
              <a:effectLst/>
            </c:spPr>
            <c:txPr>
              <a:bodyPr rot="-5400000" spcFirstLastPara="1" vertOverflow="clip" horzOverflow="clip" vert="horz" wrap="square" lIns="38100" tIns="19050" rIns="38100" bIns="19050" anchor="ctr" anchorCtr="0">
                <a:spAutoFit/>
              </a:bodyPr>
              <a:lstStyle/>
              <a:p>
                <a:pPr algn="ctr">
                  <a:defRPr lang="en-US" sz="32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'query-mix-per-hour'!$B$18</c:f>
              <c:strCache>
                <c:ptCount val="1"/>
                <c:pt idx="0">
                  <c:v>SWDF - BGP</c:v>
                </c:pt>
              </c:strCache>
            </c:strRef>
          </c:cat>
          <c:val>
            <c:numRef>
              <c:f>'query-mix-per-hour'!$H$18</c:f>
              <c:numCache>
                <c:formatCode>0.00</c:formatCode>
                <c:ptCount val="1"/>
                <c:pt idx="0">
                  <c:v>72.138505931388266</c:v>
                </c:pt>
              </c:numCache>
            </c:numRef>
          </c:val>
        </c:ser>
        <c:ser>
          <c:idx val="6"/>
          <c:order val="6"/>
          <c:tx>
            <c:strRef>
              <c:f>'query-mix-per-hour'!$I$17</c:f>
              <c:strCache>
                <c:ptCount val="1"/>
                <c:pt idx="0">
                  <c:v>RB</c:v>
                </c:pt>
              </c:strCache>
            </c:strRef>
          </c:tx>
          <c:spPr>
            <a:pattFill prst="pct50">
              <a:fgClr>
                <a:schemeClr val="accent5">
                  <a:lumMod val="75000"/>
                </a:schemeClr>
              </a:fgClr>
              <a:bgClr>
                <a:schemeClr val="bg1"/>
              </a:bgClr>
            </a:pattFill>
            <a:ln>
              <a:noFill/>
            </a:ln>
            <a:effectLst/>
          </c:spPr>
          <c:invertIfNegative val="0"/>
          <c:dLbls>
            <c:spPr>
              <a:noFill/>
              <a:ln>
                <a:noFill/>
              </a:ln>
              <a:effectLst/>
            </c:spPr>
            <c:txPr>
              <a:bodyPr rot="-5400000" spcFirstLastPara="1" vertOverflow="clip" horzOverflow="clip" vert="horz" wrap="square" lIns="38100" tIns="19050" rIns="38100" bIns="19050" anchor="ctr" anchorCtr="0">
                <a:spAutoFit/>
              </a:bodyPr>
              <a:lstStyle/>
              <a:p>
                <a:pPr algn="ctr">
                  <a:defRPr lang="en-US" sz="32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'query-mix-per-hour'!$B$18</c:f>
              <c:strCache>
                <c:ptCount val="1"/>
                <c:pt idx="0">
                  <c:v>SWDF - BGP</c:v>
                </c:pt>
              </c:strCache>
            </c:strRef>
          </c:cat>
          <c:val>
            <c:numRef>
              <c:f>'query-mix-per-hour'!$I$18</c:f>
              <c:numCache>
                <c:formatCode>0.00</c:formatCode>
                <c:ptCount val="1"/>
                <c:pt idx="0">
                  <c:v>69.852727166889807</c:v>
                </c:pt>
              </c:numCache>
            </c:numRef>
          </c:val>
        </c:ser>
        <c:ser>
          <c:idx val="7"/>
          <c:order val="7"/>
          <c:tx>
            <c:strRef>
              <c:f>'query-mix-per-hour'!$J$17</c:f>
              <c:strCache>
                <c:ptCount val="1"/>
                <c:pt idx="0">
                  <c:v>MCL</c:v>
                </c:pt>
              </c:strCache>
            </c:strRef>
          </c:tx>
          <c:spPr>
            <a:pattFill prst="pct70">
              <a:fgClr>
                <a:schemeClr val="accent2">
                  <a:lumMod val="50000"/>
                </a:schemeClr>
              </a:fgClr>
              <a:bgClr>
                <a:schemeClr val="bg1"/>
              </a:bgClr>
            </a:pattFill>
            <a:ln>
              <a:noFill/>
            </a:ln>
            <a:effectLst/>
          </c:spPr>
          <c:invertIfNegative val="0"/>
          <c:dLbls>
            <c:spPr>
              <a:noFill/>
              <a:ln>
                <a:noFill/>
              </a:ln>
              <a:effectLst/>
            </c:spPr>
            <c:txPr>
              <a:bodyPr rot="-5400000" spcFirstLastPara="1" vertOverflow="clip" horzOverflow="clip" vert="horz" wrap="square" lIns="38100" tIns="19050" rIns="38100" bIns="19050" anchor="ctr" anchorCtr="0">
                <a:spAutoFit/>
              </a:bodyPr>
              <a:lstStyle/>
              <a:p>
                <a:pPr algn="ctr">
                  <a:defRPr lang="en-US" sz="32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'query-mix-per-hour'!$B$18</c:f>
              <c:strCache>
                <c:ptCount val="1"/>
                <c:pt idx="0">
                  <c:v>SWDF - BGP</c:v>
                </c:pt>
              </c:strCache>
            </c:strRef>
          </c:cat>
          <c:val>
            <c:numRef>
              <c:f>'query-mix-per-hour'!$J$18</c:f>
              <c:numCache>
                <c:formatCode>0.00</c:formatCode>
                <c:ptCount val="1"/>
                <c:pt idx="0">
                  <c:v>20.641728400724755</c:v>
                </c:pt>
              </c:numCache>
            </c:numRef>
          </c:val>
        </c:ser>
        <c:ser>
          <c:idx val="8"/>
          <c:order val="8"/>
          <c:tx>
            <c:strRef>
              <c:f>'query-mix-per-hour'!$K$17</c:f>
              <c:strCache>
                <c:ptCount val="1"/>
                <c:pt idx="0">
                  <c:v>PCo</c:v>
                </c:pt>
              </c:strCache>
            </c:strRef>
          </c:tx>
          <c:spPr>
            <a:pattFill prst="lgCheck">
              <a:fgClr>
                <a:schemeClr val="accent4">
                  <a:lumMod val="50000"/>
                </a:schemeClr>
              </a:fgClr>
              <a:bgClr>
                <a:schemeClr val="bg1"/>
              </a:bgClr>
            </a:pattFill>
            <a:ln>
              <a:noFill/>
            </a:ln>
            <a:effectLst/>
          </c:spPr>
          <c:invertIfNegative val="0"/>
          <c:dLbls>
            <c:spPr>
              <a:noFill/>
              <a:ln>
                <a:noFill/>
              </a:ln>
              <a:effectLst/>
            </c:spPr>
            <c:txPr>
              <a:bodyPr rot="-5400000" spcFirstLastPara="1" vertOverflow="clip" horzOverflow="clip" vert="horz" wrap="square" lIns="38100" tIns="19050" rIns="38100" bIns="19050" anchor="ctr" anchorCtr="0">
                <a:spAutoFit/>
              </a:bodyPr>
              <a:lstStyle/>
              <a:p>
                <a:pPr algn="ctr">
                  <a:defRPr lang="en-US" sz="32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'query-mix-per-hour'!$B$18</c:f>
              <c:strCache>
                <c:ptCount val="1"/>
                <c:pt idx="0">
                  <c:v>SWDF - BGP</c:v>
                </c:pt>
              </c:strCache>
            </c:strRef>
          </c:cat>
          <c:val>
            <c:numRef>
              <c:f>'query-mix-per-hour'!$K$18</c:f>
              <c:numCache>
                <c:formatCode>0.00</c:formatCode>
                <c:ptCount val="1"/>
                <c:pt idx="0">
                  <c:v>31.23644251626898</c:v>
                </c:pt>
              </c:numCache>
            </c:numRef>
          </c:val>
        </c:ser>
        <c:dLbls>
          <c:dLblPos val="outEnd"/>
          <c:showLegendKey val="0"/>
          <c:showVal val="1"/>
          <c:showCatName val="0"/>
          <c:showSerName val="0"/>
          <c:showPercent val="0"/>
          <c:showBubbleSize val="0"/>
        </c:dLbls>
        <c:gapWidth val="20"/>
        <c:overlap val="-20"/>
        <c:axId val="1256132128"/>
        <c:axId val="1256133760"/>
      </c:barChart>
      <c:catAx>
        <c:axId val="125613212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4000" b="1" i="0" u="none" strike="noStrike" kern="1200" cap="all" spc="120" normalizeH="0" baseline="0">
                <a:solidFill>
                  <a:sysClr val="windowText" lastClr="000000"/>
                </a:solidFill>
                <a:latin typeface="+mn-lt"/>
                <a:ea typeface="+mn-ea"/>
                <a:cs typeface="+mn-cs"/>
              </a:defRPr>
            </a:pPr>
            <a:endParaRPr lang="en-US"/>
          </a:p>
        </c:txPr>
        <c:crossAx val="1256133760"/>
        <c:crosses val="autoZero"/>
        <c:auto val="1"/>
        <c:lblAlgn val="ctr"/>
        <c:lblOffset val="100"/>
        <c:noMultiLvlLbl val="0"/>
      </c:catAx>
      <c:valAx>
        <c:axId val="1256133760"/>
        <c:scaling>
          <c:orientation val="minMax"/>
        </c:scaling>
        <c:delete val="1"/>
        <c:axPos val="l"/>
        <c:numFmt formatCode="0.00" sourceLinked="1"/>
        <c:majorTickMark val="none"/>
        <c:minorTickMark val="none"/>
        <c:tickLblPos val="nextTo"/>
        <c:crossAx val="1256132128"/>
        <c:crosses val="autoZero"/>
        <c:crossBetween val="between"/>
      </c:valAx>
      <c:spPr>
        <a:noFill/>
        <a:ln w="25400">
          <a:noFill/>
        </a:ln>
        <a:effectLst/>
      </c:spPr>
    </c:plotArea>
    <c:legend>
      <c:legendPos val="t"/>
      <c:layout>
        <c:manualLayout>
          <c:xMode val="edge"/>
          <c:yMode val="edge"/>
          <c:x val="0"/>
          <c:y val="0.88909200933216681"/>
          <c:w val="0.99951312335958009"/>
          <c:h val="9.2817147856517929E-2"/>
        </c:manualLayout>
      </c:layout>
      <c:overlay val="0"/>
      <c:spPr>
        <a:noFill/>
        <a:ln>
          <a:noFill/>
        </a:ln>
        <a:effectLst/>
      </c:spPr>
      <c:txPr>
        <a:bodyPr rot="0" spcFirstLastPara="1" vertOverflow="ellipsis" vert="horz" wrap="square" anchor="ctr" anchorCtr="1"/>
        <a:lstStyle/>
        <a:p>
          <a:pPr>
            <a:defRPr sz="4000" b="1"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2.1227034120734899E-4"/>
          <c:y val="0.10327719451735201"/>
          <c:w val="0.99975656167978988"/>
          <c:h val="0.63638363954505683"/>
        </c:manualLayout>
      </c:layout>
      <c:barChart>
        <c:barDir val="col"/>
        <c:grouping val="clustered"/>
        <c:varyColors val="0"/>
        <c:ser>
          <c:idx val="0"/>
          <c:order val="0"/>
          <c:tx>
            <c:strRef>
              <c:f>'query-mix-per-hour'!$C$21</c:f>
              <c:strCache>
                <c:ptCount val="1"/>
                <c:pt idx="0">
                  <c:v>PB</c:v>
                </c:pt>
              </c:strCache>
            </c:strRef>
          </c:tx>
          <c:spPr>
            <a:pattFill prst="pct75">
              <a:fgClr>
                <a:schemeClr val="accent6">
                  <a:lumMod val="50000"/>
                </a:schemeClr>
              </a:fgClr>
              <a:bgClr>
                <a:schemeClr val="bg1"/>
              </a:bgClr>
            </a:pattFill>
            <a:ln>
              <a:noFill/>
            </a:ln>
            <a:effectLst/>
          </c:spPr>
          <c:invertIfNegative val="0"/>
          <c:dLbls>
            <c:spPr>
              <a:noFill/>
              <a:ln>
                <a:noFill/>
              </a:ln>
              <a:effectLst/>
            </c:spPr>
            <c:txPr>
              <a:bodyPr rot="-5400000" spcFirstLastPara="1" vertOverflow="clip" horzOverflow="clip" vert="horz" wrap="square" lIns="38100" tIns="19050" rIns="38100" bIns="19050" anchor="ctr" anchorCtr="0">
                <a:spAutoFit/>
              </a:bodyPr>
              <a:lstStyle/>
              <a:p>
                <a:pPr algn="ctr">
                  <a:defRPr lang="en-US" sz="32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'query-mix-per-hour'!$B$22:$B$23</c:f>
              <c:strCache>
                <c:ptCount val="2"/>
                <c:pt idx="0">
                  <c:v>Dbpedia - BGP</c:v>
                </c:pt>
                <c:pt idx="1">
                  <c:v>DBpedia - FF</c:v>
                </c:pt>
              </c:strCache>
            </c:strRef>
          </c:cat>
          <c:val>
            <c:numRef>
              <c:f>'query-mix-per-hour'!$C$22:$C$23</c:f>
              <c:numCache>
                <c:formatCode>0.00</c:formatCode>
                <c:ptCount val="2"/>
                <c:pt idx="0">
                  <c:v>0.49216890908847311</c:v>
                </c:pt>
                <c:pt idx="1">
                  <c:v>0.22476601857466377</c:v>
                </c:pt>
              </c:numCache>
            </c:numRef>
          </c:val>
        </c:ser>
        <c:ser>
          <c:idx val="1"/>
          <c:order val="1"/>
          <c:tx>
            <c:strRef>
              <c:f>'query-mix-per-hour'!$D$21</c:f>
              <c:strCache>
                <c:ptCount val="1"/>
                <c:pt idx="0">
                  <c:v>SB</c:v>
                </c:pt>
              </c:strCache>
            </c:strRef>
          </c:tx>
          <c:spPr>
            <a:pattFill prst="pct80">
              <a:fgClr>
                <a:schemeClr val="accent2"/>
              </a:fgClr>
              <a:bgClr>
                <a:schemeClr val="bg1"/>
              </a:bgClr>
            </a:pattFill>
            <a:ln>
              <a:noFill/>
            </a:ln>
            <a:effectLst/>
          </c:spPr>
          <c:invertIfNegative val="0"/>
          <c:dLbls>
            <c:spPr>
              <a:noFill/>
              <a:ln>
                <a:noFill/>
              </a:ln>
              <a:effectLst/>
            </c:spPr>
            <c:txPr>
              <a:bodyPr rot="-5400000" spcFirstLastPara="1" vertOverflow="clip" horzOverflow="clip" vert="horz" wrap="square" lIns="38100" tIns="19050" rIns="38100" bIns="19050" anchor="ctr" anchorCtr="0">
                <a:spAutoFit/>
              </a:bodyPr>
              <a:lstStyle/>
              <a:p>
                <a:pPr algn="ctr">
                  <a:defRPr lang="en-US" sz="32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'query-mix-per-hour'!$B$22:$B$23</c:f>
              <c:strCache>
                <c:ptCount val="2"/>
                <c:pt idx="0">
                  <c:v>Dbpedia - BGP</c:v>
                </c:pt>
                <c:pt idx="1">
                  <c:v>DBpedia - FF</c:v>
                </c:pt>
              </c:strCache>
            </c:strRef>
          </c:cat>
          <c:val>
            <c:numRef>
              <c:f>'query-mix-per-hour'!$D$22:$D$23</c:f>
              <c:numCache>
                <c:formatCode>0.00</c:formatCode>
                <c:ptCount val="2"/>
                <c:pt idx="0">
                  <c:v>0.4279420989585197</c:v>
                </c:pt>
                <c:pt idx="1">
                  <c:v>0.20536386455089403</c:v>
                </c:pt>
              </c:numCache>
            </c:numRef>
          </c:val>
        </c:ser>
        <c:ser>
          <c:idx val="2"/>
          <c:order val="2"/>
          <c:tx>
            <c:strRef>
              <c:f>'query-mix-per-hour'!$E$21</c:f>
              <c:strCache>
                <c:ptCount val="1"/>
                <c:pt idx="0">
                  <c:v>Hi</c:v>
                </c:pt>
              </c:strCache>
            </c:strRef>
          </c:tx>
          <c:spPr>
            <a:pattFill prst="pct90">
              <a:fgClr>
                <a:schemeClr val="accent3"/>
              </a:fgClr>
              <a:bgClr>
                <a:schemeClr val="bg1"/>
              </a:bgClr>
            </a:pattFill>
            <a:ln>
              <a:noFill/>
            </a:ln>
            <a:effectLst/>
          </c:spPr>
          <c:invertIfNegative val="0"/>
          <c:dLbls>
            <c:spPr>
              <a:noFill/>
              <a:ln>
                <a:noFill/>
              </a:ln>
              <a:effectLst/>
            </c:spPr>
            <c:txPr>
              <a:bodyPr rot="-5400000" spcFirstLastPara="1" vertOverflow="clip" horzOverflow="clip" vert="horz" wrap="square" lIns="38100" tIns="19050" rIns="38100" bIns="19050" anchor="ctr" anchorCtr="0">
                <a:spAutoFit/>
              </a:bodyPr>
              <a:lstStyle/>
              <a:p>
                <a:pPr algn="ctr">
                  <a:defRPr lang="en-US" sz="32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'query-mix-per-hour'!$B$22:$B$23</c:f>
              <c:strCache>
                <c:ptCount val="2"/>
                <c:pt idx="0">
                  <c:v>Dbpedia - BGP</c:v>
                </c:pt>
                <c:pt idx="1">
                  <c:v>DBpedia - FF</c:v>
                </c:pt>
              </c:strCache>
            </c:strRef>
          </c:cat>
          <c:val>
            <c:numRef>
              <c:f>'query-mix-per-hour'!$E$22:$E$23</c:f>
              <c:numCache>
                <c:formatCode>0.00</c:formatCode>
                <c:ptCount val="2"/>
                <c:pt idx="0">
                  <c:v>0.45948233698843016</c:v>
                </c:pt>
                <c:pt idx="1">
                  <c:v>0.21182850364345024</c:v>
                </c:pt>
              </c:numCache>
            </c:numRef>
          </c:val>
        </c:ser>
        <c:ser>
          <c:idx val="3"/>
          <c:order val="3"/>
          <c:tx>
            <c:strRef>
              <c:f>'query-mix-per-hour'!$F$21</c:f>
              <c:strCache>
                <c:ptCount val="1"/>
                <c:pt idx="0">
                  <c:v>Ho</c:v>
                </c:pt>
              </c:strCache>
            </c:strRef>
          </c:tx>
          <c:spPr>
            <a:pattFill prst="dkDnDiag">
              <a:fgClr>
                <a:schemeClr val="accent4"/>
              </a:fgClr>
              <a:bgClr>
                <a:schemeClr val="bg1"/>
              </a:bgClr>
            </a:pattFill>
            <a:ln>
              <a:noFill/>
            </a:ln>
            <a:effectLst/>
          </c:spPr>
          <c:invertIfNegative val="0"/>
          <c:dLbls>
            <c:spPr>
              <a:noFill/>
              <a:ln>
                <a:noFill/>
              </a:ln>
              <a:effectLst/>
            </c:spPr>
            <c:txPr>
              <a:bodyPr rot="-5400000" spcFirstLastPara="1" vertOverflow="clip" horzOverflow="clip" vert="horz" wrap="square" lIns="38100" tIns="19050" rIns="38100" bIns="19050" anchor="ctr" anchorCtr="0">
                <a:spAutoFit/>
              </a:bodyPr>
              <a:lstStyle/>
              <a:p>
                <a:pPr algn="ctr">
                  <a:defRPr lang="en-US" sz="32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'query-mix-per-hour'!$B$22:$B$23</c:f>
              <c:strCache>
                <c:ptCount val="2"/>
                <c:pt idx="0">
                  <c:v>Dbpedia - BGP</c:v>
                </c:pt>
                <c:pt idx="1">
                  <c:v>DBpedia - FF</c:v>
                </c:pt>
              </c:strCache>
            </c:strRef>
          </c:cat>
          <c:val>
            <c:numRef>
              <c:f>'query-mix-per-hour'!$F$22:$F$23</c:f>
              <c:numCache>
                <c:formatCode>0.00</c:formatCode>
                <c:ptCount val="2"/>
                <c:pt idx="0">
                  <c:v>0.42799557072139366</c:v>
                </c:pt>
                <c:pt idx="1">
                  <c:v>0.19044293853454158</c:v>
                </c:pt>
              </c:numCache>
            </c:numRef>
          </c:val>
        </c:ser>
        <c:ser>
          <c:idx val="4"/>
          <c:order val="4"/>
          <c:tx>
            <c:strRef>
              <c:f>'query-mix-per-hour'!$G$21</c:f>
              <c:strCache>
                <c:ptCount val="1"/>
                <c:pt idx="0">
                  <c:v>TC</c:v>
                </c:pt>
              </c:strCache>
            </c:strRef>
          </c:tx>
          <c:spPr>
            <a:pattFill prst="dkUpDiag">
              <a:fgClr>
                <a:schemeClr val="accent5"/>
              </a:fgClr>
              <a:bgClr>
                <a:schemeClr val="bg1"/>
              </a:bgClr>
            </a:pattFill>
            <a:ln>
              <a:noFill/>
            </a:ln>
            <a:effectLst/>
          </c:spPr>
          <c:invertIfNegative val="0"/>
          <c:dLbls>
            <c:spPr>
              <a:noFill/>
              <a:ln>
                <a:noFill/>
              </a:ln>
              <a:effectLst/>
            </c:spPr>
            <c:txPr>
              <a:bodyPr rot="-5400000" spcFirstLastPara="1" vertOverflow="clip" horzOverflow="clip" vert="horz" wrap="square" lIns="38100" tIns="19050" rIns="38100" bIns="19050" anchor="ctr" anchorCtr="0">
                <a:spAutoFit/>
              </a:bodyPr>
              <a:lstStyle/>
              <a:p>
                <a:pPr algn="ctr">
                  <a:defRPr lang="en-US" sz="32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'query-mix-per-hour'!$B$22:$B$23</c:f>
              <c:strCache>
                <c:ptCount val="2"/>
                <c:pt idx="0">
                  <c:v>Dbpedia - BGP</c:v>
                </c:pt>
                <c:pt idx="1">
                  <c:v>DBpedia - FF</c:v>
                </c:pt>
              </c:strCache>
            </c:strRef>
          </c:cat>
          <c:val>
            <c:numRef>
              <c:f>'query-mix-per-hour'!$G$22:$G$23</c:f>
              <c:numCache>
                <c:formatCode>0.00</c:formatCode>
                <c:ptCount val="2"/>
                <c:pt idx="0">
                  <c:v>0.46278781063185581</c:v>
                </c:pt>
                <c:pt idx="1">
                  <c:v>0.21282013098724364</c:v>
                </c:pt>
              </c:numCache>
            </c:numRef>
          </c:val>
        </c:ser>
        <c:ser>
          <c:idx val="5"/>
          <c:order val="5"/>
          <c:tx>
            <c:strRef>
              <c:f>'query-mix-per-hour'!$H$21</c:f>
              <c:strCache>
                <c:ptCount val="1"/>
                <c:pt idx="0">
                  <c:v>ME</c:v>
                </c:pt>
              </c:strCache>
            </c:strRef>
          </c:tx>
          <c:spPr>
            <a:pattFill prst="trellis">
              <a:fgClr>
                <a:schemeClr val="accent6"/>
              </a:fgClr>
              <a:bgClr>
                <a:schemeClr val="bg1"/>
              </a:bgClr>
            </a:pattFill>
            <a:ln>
              <a:noFill/>
            </a:ln>
            <a:effectLst/>
          </c:spPr>
          <c:invertIfNegative val="0"/>
          <c:dLbls>
            <c:spPr>
              <a:noFill/>
              <a:ln>
                <a:noFill/>
              </a:ln>
              <a:effectLst/>
            </c:spPr>
            <c:txPr>
              <a:bodyPr rot="-5400000" spcFirstLastPara="1" vertOverflow="clip" horzOverflow="clip" vert="horz" wrap="square" lIns="38100" tIns="19050" rIns="38100" bIns="19050" anchor="ctr" anchorCtr="0">
                <a:spAutoFit/>
              </a:bodyPr>
              <a:lstStyle/>
              <a:p>
                <a:pPr algn="ctr">
                  <a:defRPr lang="en-US" sz="32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'query-mix-per-hour'!$B$22:$B$23</c:f>
              <c:strCache>
                <c:ptCount val="2"/>
                <c:pt idx="0">
                  <c:v>Dbpedia - BGP</c:v>
                </c:pt>
                <c:pt idx="1">
                  <c:v>DBpedia - FF</c:v>
                </c:pt>
              </c:strCache>
            </c:strRef>
          </c:cat>
          <c:val>
            <c:numRef>
              <c:f>'query-mix-per-hour'!$H$22:$H$23</c:f>
              <c:numCache>
                <c:formatCode>0.00</c:formatCode>
                <c:ptCount val="2"/>
                <c:pt idx="0">
                  <c:v>0.42485796762110223</c:v>
                </c:pt>
                <c:pt idx="1">
                  <c:v>0.20122387715818896</c:v>
                </c:pt>
              </c:numCache>
            </c:numRef>
          </c:val>
        </c:ser>
        <c:ser>
          <c:idx val="6"/>
          <c:order val="6"/>
          <c:tx>
            <c:strRef>
              <c:f>'query-mix-per-hour'!$I$21</c:f>
              <c:strCache>
                <c:ptCount val="1"/>
                <c:pt idx="0">
                  <c:v>RB</c:v>
                </c:pt>
              </c:strCache>
            </c:strRef>
          </c:tx>
          <c:spPr>
            <a:pattFill prst="pct50">
              <a:fgClr>
                <a:schemeClr val="accent5">
                  <a:lumMod val="75000"/>
                </a:schemeClr>
              </a:fgClr>
              <a:bgClr>
                <a:schemeClr val="bg1"/>
              </a:bgClr>
            </a:pattFill>
            <a:ln>
              <a:noFill/>
            </a:ln>
            <a:effectLst/>
          </c:spPr>
          <c:invertIfNegative val="0"/>
          <c:dLbls>
            <c:spPr>
              <a:noFill/>
              <a:ln>
                <a:noFill/>
              </a:ln>
              <a:effectLst/>
            </c:spPr>
            <c:txPr>
              <a:bodyPr rot="-5400000" spcFirstLastPara="1" vertOverflow="clip" horzOverflow="clip" vert="horz" wrap="square" lIns="38100" tIns="19050" rIns="38100" bIns="19050" anchor="ctr" anchorCtr="0">
                <a:spAutoFit/>
              </a:bodyPr>
              <a:lstStyle/>
              <a:p>
                <a:pPr algn="ctr">
                  <a:defRPr lang="en-US" sz="32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'query-mix-per-hour'!$B$22:$B$23</c:f>
              <c:strCache>
                <c:ptCount val="2"/>
                <c:pt idx="0">
                  <c:v>Dbpedia - BGP</c:v>
                </c:pt>
                <c:pt idx="1">
                  <c:v>DBpedia - FF</c:v>
                </c:pt>
              </c:strCache>
            </c:strRef>
          </c:cat>
          <c:val>
            <c:numRef>
              <c:f>'query-mix-per-hour'!$I$22:$I$23</c:f>
              <c:numCache>
                <c:formatCode>0.00</c:formatCode>
                <c:ptCount val="2"/>
                <c:pt idx="0">
                  <c:v>0.42910060156328506</c:v>
                </c:pt>
                <c:pt idx="1">
                  <c:v>0.2080089212715123</c:v>
                </c:pt>
              </c:numCache>
            </c:numRef>
          </c:val>
        </c:ser>
        <c:ser>
          <c:idx val="7"/>
          <c:order val="7"/>
          <c:tx>
            <c:strRef>
              <c:f>'query-mix-per-hour'!$J$21</c:f>
              <c:strCache>
                <c:ptCount val="1"/>
                <c:pt idx="0">
                  <c:v>MCL</c:v>
                </c:pt>
              </c:strCache>
            </c:strRef>
          </c:tx>
          <c:spPr>
            <a:pattFill prst="pct70">
              <a:fgClr>
                <a:schemeClr val="accent2">
                  <a:lumMod val="50000"/>
                </a:schemeClr>
              </a:fgClr>
              <a:bgClr>
                <a:schemeClr val="bg1"/>
              </a:bgClr>
            </a:pattFill>
            <a:ln>
              <a:noFill/>
            </a:ln>
            <a:effectLst/>
          </c:spPr>
          <c:invertIfNegative val="0"/>
          <c:dLbls>
            <c:spPr>
              <a:noFill/>
              <a:ln>
                <a:noFill/>
              </a:ln>
              <a:effectLst/>
            </c:spPr>
            <c:txPr>
              <a:bodyPr rot="-5400000" spcFirstLastPara="1" vertOverflow="clip" horzOverflow="clip" vert="horz" wrap="square" lIns="38100" tIns="19050" rIns="38100" bIns="19050" anchor="ctr" anchorCtr="0">
                <a:spAutoFit/>
              </a:bodyPr>
              <a:lstStyle/>
              <a:p>
                <a:pPr algn="ctr">
                  <a:defRPr lang="en-US" sz="32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'query-mix-per-hour'!$B$22:$B$23</c:f>
              <c:strCache>
                <c:ptCount val="2"/>
                <c:pt idx="0">
                  <c:v>Dbpedia - BGP</c:v>
                </c:pt>
                <c:pt idx="1">
                  <c:v>DBpedia - FF</c:v>
                </c:pt>
              </c:strCache>
            </c:strRef>
          </c:cat>
          <c:val>
            <c:numRef>
              <c:f>'query-mix-per-hour'!$J$22:$J$23</c:f>
              <c:numCache>
                <c:formatCode>0.00</c:formatCode>
                <c:ptCount val="2"/>
                <c:pt idx="0">
                  <c:v>0.53549219988674335</c:v>
                </c:pt>
                <c:pt idx="1">
                  <c:v>0.28238930848976784</c:v>
                </c:pt>
              </c:numCache>
            </c:numRef>
          </c:val>
        </c:ser>
        <c:ser>
          <c:idx val="8"/>
          <c:order val="8"/>
          <c:tx>
            <c:strRef>
              <c:f>'query-mix-per-hour'!$K$21</c:f>
              <c:strCache>
                <c:ptCount val="1"/>
                <c:pt idx="0">
                  <c:v>PCo</c:v>
                </c:pt>
              </c:strCache>
            </c:strRef>
          </c:tx>
          <c:spPr>
            <a:pattFill prst="lgCheck">
              <a:fgClr>
                <a:schemeClr val="accent4">
                  <a:lumMod val="50000"/>
                </a:schemeClr>
              </a:fgClr>
              <a:bgClr>
                <a:schemeClr val="bg1"/>
              </a:bgClr>
            </a:pattFill>
            <a:ln>
              <a:noFill/>
            </a:ln>
            <a:effectLst/>
          </c:spPr>
          <c:invertIfNegative val="0"/>
          <c:dLbls>
            <c:spPr>
              <a:noFill/>
              <a:ln>
                <a:noFill/>
              </a:ln>
              <a:effectLst/>
            </c:spPr>
            <c:txPr>
              <a:bodyPr rot="-5400000" spcFirstLastPara="1" vertOverflow="clip" horzOverflow="clip" vert="horz" wrap="square" lIns="38100" tIns="19050" rIns="38100" bIns="19050" anchor="ctr" anchorCtr="0">
                <a:spAutoFit/>
              </a:bodyPr>
              <a:lstStyle/>
              <a:p>
                <a:pPr algn="ctr">
                  <a:defRPr lang="en-US" sz="32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'query-mix-per-hour'!$B$22:$B$23</c:f>
              <c:strCache>
                <c:ptCount val="2"/>
                <c:pt idx="0">
                  <c:v>Dbpedia - BGP</c:v>
                </c:pt>
                <c:pt idx="1">
                  <c:v>DBpedia - FF</c:v>
                </c:pt>
              </c:strCache>
            </c:strRef>
          </c:cat>
          <c:val>
            <c:numRef>
              <c:f>'query-mix-per-hour'!$K$22:$K$23</c:f>
              <c:numCache>
                <c:formatCode>0.00</c:formatCode>
                <c:ptCount val="2"/>
                <c:pt idx="0">
                  <c:v>0.55148385155709168</c:v>
                </c:pt>
                <c:pt idx="1">
                  <c:v>0.31705133800948826</c:v>
                </c:pt>
              </c:numCache>
            </c:numRef>
          </c:val>
        </c:ser>
        <c:dLbls>
          <c:dLblPos val="outEnd"/>
          <c:showLegendKey val="0"/>
          <c:showVal val="1"/>
          <c:showCatName val="0"/>
          <c:showSerName val="0"/>
          <c:showPercent val="0"/>
          <c:showBubbleSize val="0"/>
        </c:dLbls>
        <c:gapWidth val="20"/>
        <c:overlap val="-20"/>
        <c:axId val="1116404496"/>
        <c:axId val="1116408304"/>
      </c:barChart>
      <c:catAx>
        <c:axId val="1116404496"/>
        <c:scaling>
          <c:orientation val="minMax"/>
        </c:scaling>
        <c:delete val="0"/>
        <c:axPos val="b"/>
        <c:majorGridlines>
          <c:spPr>
            <a:ln w="9525" cap="flat" cmpd="sng" algn="ctr">
              <a:solidFill>
                <a:schemeClr val="tx1"/>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4000" b="1" i="0" u="none" strike="noStrike" kern="1200" cap="all" spc="120" normalizeH="0" baseline="0">
                <a:solidFill>
                  <a:sysClr val="windowText" lastClr="000000"/>
                </a:solidFill>
                <a:latin typeface="+mn-lt"/>
                <a:ea typeface="+mn-ea"/>
                <a:cs typeface="+mn-cs"/>
              </a:defRPr>
            </a:pPr>
            <a:endParaRPr lang="en-US"/>
          </a:p>
        </c:txPr>
        <c:crossAx val="1116408304"/>
        <c:crosses val="autoZero"/>
        <c:auto val="1"/>
        <c:lblAlgn val="ctr"/>
        <c:lblOffset val="100"/>
        <c:noMultiLvlLbl val="0"/>
      </c:catAx>
      <c:valAx>
        <c:axId val="1116408304"/>
        <c:scaling>
          <c:orientation val="minMax"/>
        </c:scaling>
        <c:delete val="1"/>
        <c:axPos val="l"/>
        <c:numFmt formatCode="0.00" sourceLinked="1"/>
        <c:majorTickMark val="none"/>
        <c:minorTickMark val="none"/>
        <c:tickLblPos val="nextTo"/>
        <c:crossAx val="1116404496"/>
        <c:crosses val="autoZero"/>
        <c:crossBetween val="between"/>
      </c:valAx>
      <c:spPr>
        <a:noFill/>
        <a:ln w="25400">
          <a:noFill/>
        </a:ln>
        <a:effectLst/>
      </c:spPr>
    </c:plotArea>
    <c:legend>
      <c:legendPos val="t"/>
      <c:layout>
        <c:manualLayout>
          <c:xMode val="edge"/>
          <c:yMode val="edge"/>
          <c:x val="0"/>
          <c:y val="0.88909200933216681"/>
          <c:w val="0.99951312335958009"/>
          <c:h val="9.2817147856517929E-2"/>
        </c:manualLayout>
      </c:layout>
      <c:overlay val="0"/>
      <c:spPr>
        <a:noFill/>
        <a:ln>
          <a:noFill/>
        </a:ln>
        <a:effectLst/>
      </c:spPr>
      <c:txPr>
        <a:bodyPr rot="0" spcFirstLastPara="1" vertOverflow="ellipsis" vert="horz" wrap="square" anchor="ctr" anchorCtr="1"/>
        <a:lstStyle/>
        <a:p>
          <a:pPr>
            <a:defRPr sz="4000" b="1"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2.1227034120734899E-4"/>
          <c:y val="0.10327719451735201"/>
          <c:w val="0.99975656167978988"/>
          <c:h val="0.63638363954505683"/>
        </c:manualLayout>
      </c:layout>
      <c:barChart>
        <c:barDir val="col"/>
        <c:grouping val="clustered"/>
        <c:varyColors val="0"/>
        <c:ser>
          <c:idx val="0"/>
          <c:order val="0"/>
          <c:tx>
            <c:strRef>
              <c:f>'query-mix-per-hour'!$C$28</c:f>
              <c:strCache>
                <c:ptCount val="1"/>
                <c:pt idx="0">
                  <c:v>PB</c:v>
                </c:pt>
              </c:strCache>
            </c:strRef>
          </c:tx>
          <c:spPr>
            <a:pattFill prst="pct75">
              <a:fgClr>
                <a:schemeClr val="accent6">
                  <a:lumMod val="50000"/>
                </a:schemeClr>
              </a:fgClr>
              <a:bgClr>
                <a:schemeClr val="bg1"/>
              </a:bgClr>
            </a:pattFill>
            <a:ln>
              <a:noFill/>
            </a:ln>
            <a:effectLst/>
          </c:spPr>
          <c:invertIfNegative val="0"/>
          <c:dLbls>
            <c:spPr>
              <a:noFill/>
              <a:ln>
                <a:noFill/>
              </a:ln>
              <a:effectLst/>
            </c:spPr>
            <c:txPr>
              <a:bodyPr rot="-5400000" spcFirstLastPara="1" vertOverflow="clip" horzOverflow="clip" vert="horz" wrap="square" lIns="38100" tIns="19050" rIns="38100" bIns="19050" anchor="ctr" anchorCtr="0">
                <a:spAutoFit/>
              </a:bodyPr>
              <a:lstStyle/>
              <a:p>
                <a:pPr algn="ctr">
                  <a:defRPr lang="en-US" sz="32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'query-mix-per-hour'!$B$29</c:f>
              <c:strCache>
                <c:ptCount val="1"/>
                <c:pt idx="0">
                  <c:v>SWDF - BGP</c:v>
                </c:pt>
              </c:strCache>
            </c:strRef>
          </c:cat>
          <c:val>
            <c:numRef>
              <c:f>'query-mix-per-hour'!$C$29</c:f>
              <c:numCache>
                <c:formatCode>0.00</c:formatCode>
                <c:ptCount val="1"/>
                <c:pt idx="0">
                  <c:v>3.275177701134576</c:v>
                </c:pt>
              </c:numCache>
            </c:numRef>
          </c:val>
        </c:ser>
        <c:ser>
          <c:idx val="1"/>
          <c:order val="1"/>
          <c:tx>
            <c:strRef>
              <c:f>'query-mix-per-hour'!$D$28</c:f>
              <c:strCache>
                <c:ptCount val="1"/>
                <c:pt idx="0">
                  <c:v>SB</c:v>
                </c:pt>
              </c:strCache>
            </c:strRef>
          </c:tx>
          <c:spPr>
            <a:pattFill prst="pct80">
              <a:fgClr>
                <a:schemeClr val="accent2"/>
              </a:fgClr>
              <a:bgClr>
                <a:schemeClr val="bg1"/>
              </a:bgClr>
            </a:pattFill>
            <a:ln>
              <a:noFill/>
            </a:ln>
            <a:effectLst/>
          </c:spPr>
          <c:invertIfNegative val="0"/>
          <c:dLbls>
            <c:spPr>
              <a:noFill/>
              <a:ln>
                <a:noFill/>
              </a:ln>
              <a:effectLst/>
            </c:spPr>
            <c:txPr>
              <a:bodyPr rot="-5400000" spcFirstLastPara="1" vertOverflow="clip" horzOverflow="clip" vert="horz" wrap="square" lIns="38100" tIns="19050" rIns="38100" bIns="19050" anchor="ctr" anchorCtr="0">
                <a:spAutoFit/>
              </a:bodyPr>
              <a:lstStyle/>
              <a:p>
                <a:pPr algn="ctr">
                  <a:defRPr lang="en-US" sz="32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'query-mix-per-hour'!$B$29</c:f>
              <c:strCache>
                <c:ptCount val="1"/>
                <c:pt idx="0">
                  <c:v>SWDF - BGP</c:v>
                </c:pt>
              </c:strCache>
            </c:strRef>
          </c:cat>
          <c:val>
            <c:numRef>
              <c:f>'query-mix-per-hour'!$D$29</c:f>
              <c:numCache>
                <c:formatCode>0.00</c:formatCode>
                <c:ptCount val="1"/>
                <c:pt idx="0">
                  <c:v>3.4074033409589761</c:v>
                </c:pt>
              </c:numCache>
            </c:numRef>
          </c:val>
        </c:ser>
        <c:ser>
          <c:idx val="2"/>
          <c:order val="2"/>
          <c:tx>
            <c:strRef>
              <c:f>'query-mix-per-hour'!$E$28</c:f>
              <c:strCache>
                <c:ptCount val="1"/>
                <c:pt idx="0">
                  <c:v>Hi</c:v>
                </c:pt>
              </c:strCache>
            </c:strRef>
          </c:tx>
          <c:spPr>
            <a:pattFill prst="pct90">
              <a:fgClr>
                <a:schemeClr val="accent3"/>
              </a:fgClr>
              <a:bgClr>
                <a:schemeClr val="bg1"/>
              </a:bgClr>
            </a:pattFill>
            <a:ln>
              <a:noFill/>
            </a:ln>
            <a:effectLst/>
          </c:spPr>
          <c:invertIfNegative val="0"/>
          <c:dLbls>
            <c:spPr>
              <a:noFill/>
              <a:ln>
                <a:noFill/>
              </a:ln>
              <a:effectLst/>
            </c:spPr>
            <c:txPr>
              <a:bodyPr rot="-5400000" spcFirstLastPara="1" vertOverflow="clip" horzOverflow="clip" vert="horz" wrap="square" lIns="38100" tIns="19050" rIns="38100" bIns="19050" anchor="ctr" anchorCtr="0">
                <a:spAutoFit/>
              </a:bodyPr>
              <a:lstStyle/>
              <a:p>
                <a:pPr algn="ctr">
                  <a:defRPr lang="en-US" sz="32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'query-mix-per-hour'!$B$29</c:f>
              <c:strCache>
                <c:ptCount val="1"/>
                <c:pt idx="0">
                  <c:v>SWDF - BGP</c:v>
                </c:pt>
              </c:strCache>
            </c:strRef>
          </c:cat>
          <c:val>
            <c:numRef>
              <c:f>'query-mix-per-hour'!$E$29</c:f>
              <c:numCache>
                <c:formatCode>0.00</c:formatCode>
                <c:ptCount val="1"/>
                <c:pt idx="0">
                  <c:v>3.4175668632716945</c:v>
                </c:pt>
              </c:numCache>
            </c:numRef>
          </c:val>
        </c:ser>
        <c:ser>
          <c:idx val="3"/>
          <c:order val="3"/>
          <c:tx>
            <c:strRef>
              <c:f>'query-mix-per-hour'!$F$28</c:f>
              <c:strCache>
                <c:ptCount val="1"/>
                <c:pt idx="0">
                  <c:v>Ho</c:v>
                </c:pt>
              </c:strCache>
            </c:strRef>
          </c:tx>
          <c:spPr>
            <a:pattFill prst="dkDnDiag">
              <a:fgClr>
                <a:schemeClr val="accent4"/>
              </a:fgClr>
              <a:bgClr>
                <a:schemeClr val="bg1"/>
              </a:bgClr>
            </a:pattFill>
            <a:ln>
              <a:noFill/>
            </a:ln>
            <a:effectLst/>
          </c:spPr>
          <c:invertIfNegative val="0"/>
          <c:dLbls>
            <c:spPr>
              <a:noFill/>
              <a:ln>
                <a:noFill/>
              </a:ln>
              <a:effectLst/>
            </c:spPr>
            <c:txPr>
              <a:bodyPr rot="-5400000" spcFirstLastPara="1" vertOverflow="clip" horzOverflow="clip" vert="horz" wrap="square" lIns="38100" tIns="19050" rIns="38100" bIns="19050" anchor="ctr" anchorCtr="0">
                <a:spAutoFit/>
              </a:bodyPr>
              <a:lstStyle/>
              <a:p>
                <a:pPr algn="ctr">
                  <a:defRPr lang="en-US" sz="32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'query-mix-per-hour'!$B$29</c:f>
              <c:strCache>
                <c:ptCount val="1"/>
                <c:pt idx="0">
                  <c:v>SWDF - BGP</c:v>
                </c:pt>
              </c:strCache>
            </c:strRef>
          </c:cat>
          <c:val>
            <c:numRef>
              <c:f>'query-mix-per-hour'!$F$29</c:f>
              <c:numCache>
                <c:formatCode>0.00</c:formatCode>
                <c:ptCount val="1"/>
                <c:pt idx="0">
                  <c:v>3.459692183498229</c:v>
                </c:pt>
              </c:numCache>
            </c:numRef>
          </c:val>
        </c:ser>
        <c:ser>
          <c:idx val="4"/>
          <c:order val="4"/>
          <c:tx>
            <c:strRef>
              <c:f>'query-mix-per-hour'!$G$28</c:f>
              <c:strCache>
                <c:ptCount val="1"/>
                <c:pt idx="0">
                  <c:v>TC</c:v>
                </c:pt>
              </c:strCache>
            </c:strRef>
          </c:tx>
          <c:spPr>
            <a:pattFill prst="dkUpDiag">
              <a:fgClr>
                <a:schemeClr val="accent5"/>
              </a:fgClr>
              <a:bgClr>
                <a:schemeClr val="bg1"/>
              </a:bgClr>
            </a:pattFill>
            <a:ln>
              <a:noFill/>
            </a:ln>
            <a:effectLst/>
          </c:spPr>
          <c:invertIfNegative val="0"/>
          <c:dLbls>
            <c:spPr>
              <a:noFill/>
              <a:ln>
                <a:noFill/>
              </a:ln>
              <a:effectLst/>
            </c:spPr>
            <c:txPr>
              <a:bodyPr rot="-5400000" spcFirstLastPara="1" vertOverflow="clip" horzOverflow="clip" vert="horz" wrap="square" lIns="38100" tIns="19050" rIns="38100" bIns="19050" anchor="ctr" anchorCtr="0">
                <a:spAutoFit/>
              </a:bodyPr>
              <a:lstStyle/>
              <a:p>
                <a:pPr algn="ctr">
                  <a:defRPr lang="en-US" sz="32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'query-mix-per-hour'!$B$29</c:f>
              <c:strCache>
                <c:ptCount val="1"/>
                <c:pt idx="0">
                  <c:v>SWDF - BGP</c:v>
                </c:pt>
              </c:strCache>
            </c:strRef>
          </c:cat>
          <c:val>
            <c:numRef>
              <c:f>'query-mix-per-hour'!$G$29</c:f>
              <c:numCache>
                <c:formatCode>0.00</c:formatCode>
                <c:ptCount val="1"/>
                <c:pt idx="0">
                  <c:v>3.4239376995513693</c:v>
                </c:pt>
              </c:numCache>
            </c:numRef>
          </c:val>
        </c:ser>
        <c:ser>
          <c:idx val="5"/>
          <c:order val="5"/>
          <c:tx>
            <c:strRef>
              <c:f>'query-mix-per-hour'!$H$28</c:f>
              <c:strCache>
                <c:ptCount val="1"/>
                <c:pt idx="0">
                  <c:v>ME</c:v>
                </c:pt>
              </c:strCache>
            </c:strRef>
          </c:tx>
          <c:spPr>
            <a:pattFill prst="trellis">
              <a:fgClr>
                <a:schemeClr val="accent6"/>
              </a:fgClr>
              <a:bgClr>
                <a:schemeClr val="bg1"/>
              </a:bgClr>
            </a:pattFill>
            <a:ln>
              <a:noFill/>
            </a:ln>
            <a:effectLst/>
          </c:spPr>
          <c:invertIfNegative val="0"/>
          <c:dLbls>
            <c:spPr>
              <a:noFill/>
              <a:ln>
                <a:noFill/>
              </a:ln>
              <a:effectLst/>
            </c:spPr>
            <c:txPr>
              <a:bodyPr rot="-5400000" spcFirstLastPara="1" vertOverflow="clip" horzOverflow="clip" vert="horz" wrap="square" lIns="38100" tIns="19050" rIns="38100" bIns="19050" anchor="ctr" anchorCtr="0">
                <a:spAutoFit/>
              </a:bodyPr>
              <a:lstStyle/>
              <a:p>
                <a:pPr algn="ctr">
                  <a:defRPr lang="en-US" sz="32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'query-mix-per-hour'!$B$29</c:f>
              <c:strCache>
                <c:ptCount val="1"/>
                <c:pt idx="0">
                  <c:v>SWDF - BGP</c:v>
                </c:pt>
              </c:strCache>
            </c:strRef>
          </c:cat>
          <c:val>
            <c:numRef>
              <c:f>'query-mix-per-hour'!$H$29</c:f>
              <c:numCache>
                <c:formatCode>0.00</c:formatCode>
                <c:ptCount val="1"/>
                <c:pt idx="0">
                  <c:v>3.4199174089945732</c:v>
                </c:pt>
              </c:numCache>
            </c:numRef>
          </c:val>
        </c:ser>
        <c:ser>
          <c:idx val="6"/>
          <c:order val="6"/>
          <c:tx>
            <c:strRef>
              <c:f>'query-mix-per-hour'!$I$28</c:f>
              <c:strCache>
                <c:ptCount val="1"/>
                <c:pt idx="0">
                  <c:v>RB</c:v>
                </c:pt>
              </c:strCache>
            </c:strRef>
          </c:tx>
          <c:spPr>
            <a:pattFill prst="pct50">
              <a:fgClr>
                <a:schemeClr val="accent5">
                  <a:lumMod val="75000"/>
                </a:schemeClr>
              </a:fgClr>
              <a:bgClr>
                <a:schemeClr val="bg1"/>
              </a:bgClr>
            </a:pattFill>
            <a:ln>
              <a:noFill/>
            </a:ln>
            <a:effectLst/>
          </c:spPr>
          <c:invertIfNegative val="0"/>
          <c:dLbls>
            <c:spPr>
              <a:noFill/>
              <a:ln>
                <a:noFill/>
              </a:ln>
              <a:effectLst/>
            </c:spPr>
            <c:txPr>
              <a:bodyPr rot="-5400000" spcFirstLastPara="1" vertOverflow="clip" horzOverflow="clip" vert="horz" wrap="square" lIns="38100" tIns="19050" rIns="38100" bIns="19050" anchor="ctr" anchorCtr="0">
                <a:spAutoFit/>
              </a:bodyPr>
              <a:lstStyle/>
              <a:p>
                <a:pPr algn="ctr">
                  <a:defRPr lang="en-US" sz="32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'query-mix-per-hour'!$B$29</c:f>
              <c:strCache>
                <c:ptCount val="1"/>
                <c:pt idx="0">
                  <c:v>SWDF - BGP</c:v>
                </c:pt>
              </c:strCache>
            </c:strRef>
          </c:cat>
          <c:val>
            <c:numRef>
              <c:f>'query-mix-per-hour'!$I$29</c:f>
              <c:numCache>
                <c:formatCode>0.00</c:formatCode>
                <c:ptCount val="1"/>
                <c:pt idx="0">
                  <c:v>3.4203528093922886</c:v>
                </c:pt>
              </c:numCache>
            </c:numRef>
          </c:val>
        </c:ser>
        <c:ser>
          <c:idx val="7"/>
          <c:order val="7"/>
          <c:tx>
            <c:strRef>
              <c:f>'query-mix-per-hour'!$J$28</c:f>
              <c:strCache>
                <c:ptCount val="1"/>
                <c:pt idx="0">
                  <c:v>MCL</c:v>
                </c:pt>
              </c:strCache>
            </c:strRef>
          </c:tx>
          <c:spPr>
            <a:pattFill prst="pct70">
              <a:fgClr>
                <a:schemeClr val="accent2">
                  <a:lumMod val="50000"/>
                </a:schemeClr>
              </a:fgClr>
              <a:bgClr>
                <a:schemeClr val="bg1"/>
              </a:bgClr>
            </a:pattFill>
            <a:ln>
              <a:noFill/>
            </a:ln>
            <a:effectLst/>
          </c:spPr>
          <c:invertIfNegative val="0"/>
          <c:dLbls>
            <c:spPr>
              <a:noFill/>
              <a:ln>
                <a:noFill/>
              </a:ln>
              <a:effectLst/>
            </c:spPr>
            <c:txPr>
              <a:bodyPr rot="-5400000" spcFirstLastPara="1" vertOverflow="clip" horzOverflow="clip" vert="horz" wrap="square" lIns="38100" tIns="19050" rIns="38100" bIns="19050" anchor="ctr" anchorCtr="0">
                <a:spAutoFit/>
              </a:bodyPr>
              <a:lstStyle/>
              <a:p>
                <a:pPr algn="ctr">
                  <a:defRPr lang="en-US" sz="32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'query-mix-per-hour'!$B$29</c:f>
              <c:strCache>
                <c:ptCount val="1"/>
                <c:pt idx="0">
                  <c:v>SWDF - BGP</c:v>
                </c:pt>
              </c:strCache>
            </c:strRef>
          </c:cat>
          <c:val>
            <c:numRef>
              <c:f>'query-mix-per-hour'!$J$29</c:f>
              <c:numCache>
                <c:formatCode>0.00</c:formatCode>
                <c:ptCount val="1"/>
                <c:pt idx="0">
                  <c:v>3.1445689363757614</c:v>
                </c:pt>
              </c:numCache>
            </c:numRef>
          </c:val>
        </c:ser>
        <c:ser>
          <c:idx val="8"/>
          <c:order val="8"/>
          <c:tx>
            <c:strRef>
              <c:f>'query-mix-per-hour'!$K$28</c:f>
              <c:strCache>
                <c:ptCount val="1"/>
                <c:pt idx="0">
                  <c:v>PCo</c:v>
                </c:pt>
              </c:strCache>
            </c:strRef>
          </c:tx>
          <c:spPr>
            <a:pattFill prst="lgCheck">
              <a:fgClr>
                <a:schemeClr val="accent4">
                  <a:lumMod val="50000"/>
                </a:schemeClr>
              </a:fgClr>
              <a:bgClr>
                <a:schemeClr val="bg1"/>
              </a:bgClr>
            </a:pattFill>
            <a:ln>
              <a:noFill/>
            </a:ln>
            <a:effectLst/>
          </c:spPr>
          <c:invertIfNegative val="0"/>
          <c:dLbls>
            <c:spPr>
              <a:noFill/>
              <a:ln>
                <a:noFill/>
              </a:ln>
              <a:effectLst/>
            </c:spPr>
            <c:txPr>
              <a:bodyPr rot="-5400000" spcFirstLastPara="1" vertOverflow="clip" horzOverflow="clip" vert="horz" wrap="square" lIns="38100" tIns="19050" rIns="38100" bIns="19050" anchor="ctr" anchorCtr="0">
                <a:spAutoFit/>
              </a:bodyPr>
              <a:lstStyle/>
              <a:p>
                <a:pPr algn="ctr">
                  <a:defRPr lang="en-US" sz="32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'query-mix-per-hour'!$B$29</c:f>
              <c:strCache>
                <c:ptCount val="1"/>
                <c:pt idx="0">
                  <c:v>SWDF - BGP</c:v>
                </c:pt>
              </c:strCache>
            </c:strRef>
          </c:cat>
          <c:val>
            <c:numRef>
              <c:f>'query-mix-per-hour'!$K$29</c:f>
              <c:numCache>
                <c:formatCode>0.00</c:formatCode>
                <c:ptCount val="1"/>
                <c:pt idx="0">
                  <c:v>3.6474164133738602</c:v>
                </c:pt>
              </c:numCache>
            </c:numRef>
          </c:val>
        </c:ser>
        <c:ser>
          <c:idx val="9"/>
          <c:order val="9"/>
          <c:tx>
            <c:strRef>
              <c:f>'query-mix-per-hour'!$L$28</c:f>
              <c:strCache>
                <c:ptCount val="1"/>
                <c:pt idx="0">
                  <c:v>PT</c:v>
                </c:pt>
              </c:strCache>
            </c:strRef>
          </c:tx>
          <c:spPr>
            <a:solidFill>
              <a:schemeClr val="accent4">
                <a:lumMod val="60000"/>
              </a:schemeClr>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'query-mix-per-hour'!$B$29</c:f>
              <c:strCache>
                <c:ptCount val="1"/>
                <c:pt idx="0">
                  <c:v>SWDF - BGP</c:v>
                </c:pt>
              </c:strCache>
            </c:strRef>
          </c:cat>
          <c:val>
            <c:numRef>
              <c:f>'query-mix-per-hour'!$L$29</c:f>
              <c:numCache>
                <c:formatCode>0.00</c:formatCode>
                <c:ptCount val="1"/>
                <c:pt idx="0">
                  <c:v>3.4285714285714284</c:v>
                </c:pt>
              </c:numCache>
            </c:numRef>
          </c:val>
        </c:ser>
        <c:dLbls>
          <c:dLblPos val="outEnd"/>
          <c:showLegendKey val="0"/>
          <c:showVal val="1"/>
          <c:showCatName val="0"/>
          <c:showSerName val="0"/>
          <c:showPercent val="0"/>
          <c:showBubbleSize val="0"/>
        </c:dLbls>
        <c:gapWidth val="20"/>
        <c:overlap val="-20"/>
        <c:axId val="1116407760"/>
        <c:axId val="1116406128"/>
      </c:barChart>
      <c:catAx>
        <c:axId val="111640776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4000" b="1" i="0" u="none" strike="noStrike" kern="1200" cap="all" spc="120" normalizeH="0" baseline="0">
                <a:solidFill>
                  <a:sysClr val="windowText" lastClr="000000"/>
                </a:solidFill>
                <a:latin typeface="+mn-lt"/>
                <a:ea typeface="+mn-ea"/>
                <a:cs typeface="+mn-cs"/>
              </a:defRPr>
            </a:pPr>
            <a:endParaRPr lang="en-US"/>
          </a:p>
        </c:txPr>
        <c:crossAx val="1116406128"/>
        <c:crosses val="autoZero"/>
        <c:auto val="1"/>
        <c:lblAlgn val="ctr"/>
        <c:lblOffset val="100"/>
        <c:noMultiLvlLbl val="0"/>
      </c:catAx>
      <c:valAx>
        <c:axId val="1116406128"/>
        <c:scaling>
          <c:orientation val="minMax"/>
        </c:scaling>
        <c:delete val="1"/>
        <c:axPos val="l"/>
        <c:numFmt formatCode="0.00" sourceLinked="1"/>
        <c:majorTickMark val="none"/>
        <c:minorTickMark val="none"/>
        <c:tickLblPos val="nextTo"/>
        <c:crossAx val="1116407760"/>
        <c:crosses val="autoZero"/>
        <c:crossBetween val="between"/>
      </c:valAx>
      <c:spPr>
        <a:noFill/>
        <a:ln w="25400">
          <a:noFill/>
        </a:ln>
        <a:effectLst/>
      </c:spPr>
    </c:plotArea>
    <c:legend>
      <c:legendPos val="t"/>
      <c:layout>
        <c:manualLayout>
          <c:xMode val="edge"/>
          <c:yMode val="edge"/>
          <c:x val="0"/>
          <c:y val="0.88909200933216681"/>
          <c:w val="0.58386833693695006"/>
          <c:h val="0.11090742854031441"/>
        </c:manualLayout>
      </c:layout>
      <c:overlay val="0"/>
      <c:spPr>
        <a:noFill/>
        <a:ln>
          <a:noFill/>
        </a:ln>
        <a:effectLst/>
      </c:spPr>
      <c:txPr>
        <a:bodyPr rot="0" spcFirstLastPara="1" vertOverflow="ellipsis" vert="horz" wrap="square" anchor="ctr" anchorCtr="1"/>
        <a:lstStyle/>
        <a:p>
          <a:pPr>
            <a:defRPr sz="4000" b="1"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2.1227034120734899E-4"/>
          <c:y val="0.10327719451735201"/>
          <c:w val="0.99975656167978988"/>
          <c:h val="0.63638363954505683"/>
        </c:manualLayout>
      </c:layout>
      <c:barChart>
        <c:barDir val="col"/>
        <c:grouping val="clustered"/>
        <c:varyColors val="0"/>
        <c:ser>
          <c:idx val="0"/>
          <c:order val="0"/>
          <c:tx>
            <c:strRef>
              <c:f>'query-mix-per-hour'!$C$31</c:f>
              <c:strCache>
                <c:ptCount val="1"/>
                <c:pt idx="0">
                  <c:v>PB</c:v>
                </c:pt>
              </c:strCache>
            </c:strRef>
          </c:tx>
          <c:spPr>
            <a:pattFill prst="pct75">
              <a:fgClr>
                <a:schemeClr val="accent6">
                  <a:lumMod val="50000"/>
                </a:schemeClr>
              </a:fgClr>
              <a:bgClr>
                <a:schemeClr val="bg1"/>
              </a:bgClr>
            </a:pattFill>
            <a:ln>
              <a:noFill/>
            </a:ln>
            <a:effectLst/>
          </c:spPr>
          <c:invertIfNegative val="0"/>
          <c:dLbls>
            <c:spPr>
              <a:noFill/>
              <a:ln>
                <a:noFill/>
              </a:ln>
              <a:effectLst/>
            </c:spPr>
            <c:txPr>
              <a:bodyPr rot="-5400000" spcFirstLastPara="1" vertOverflow="clip" horzOverflow="clip" vert="horz" wrap="square" lIns="38100" tIns="19050" rIns="38100" bIns="19050" anchor="ctr" anchorCtr="0">
                <a:spAutoFit/>
              </a:bodyPr>
              <a:lstStyle/>
              <a:p>
                <a:pPr algn="ctr">
                  <a:defRPr lang="en-US" sz="32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'query-mix-per-hour'!$B$32</c:f>
              <c:strCache>
                <c:ptCount val="1"/>
                <c:pt idx="0">
                  <c:v>Dbpedia - BGP</c:v>
                </c:pt>
              </c:strCache>
            </c:strRef>
          </c:cat>
          <c:val>
            <c:numRef>
              <c:f>'query-mix-per-hour'!$C$32</c:f>
              <c:numCache>
                <c:formatCode>0.00</c:formatCode>
                <c:ptCount val="1"/>
                <c:pt idx="0">
                  <c:v>8.1687042553979877E-2</c:v>
                </c:pt>
              </c:numCache>
            </c:numRef>
          </c:val>
        </c:ser>
        <c:ser>
          <c:idx val="1"/>
          <c:order val="1"/>
          <c:tx>
            <c:strRef>
              <c:f>'query-mix-per-hour'!$D$31</c:f>
              <c:strCache>
                <c:ptCount val="1"/>
                <c:pt idx="0">
                  <c:v>SB</c:v>
                </c:pt>
              </c:strCache>
            </c:strRef>
          </c:tx>
          <c:spPr>
            <a:pattFill prst="pct80">
              <a:fgClr>
                <a:schemeClr val="accent2"/>
              </a:fgClr>
              <a:bgClr>
                <a:schemeClr val="bg1"/>
              </a:bgClr>
            </a:pattFill>
            <a:ln>
              <a:noFill/>
            </a:ln>
            <a:effectLst/>
          </c:spPr>
          <c:invertIfNegative val="0"/>
          <c:dLbls>
            <c:spPr>
              <a:noFill/>
              <a:ln>
                <a:noFill/>
              </a:ln>
              <a:effectLst/>
            </c:spPr>
            <c:txPr>
              <a:bodyPr rot="-5400000" spcFirstLastPara="1" vertOverflow="clip" horzOverflow="clip" vert="horz" wrap="square" lIns="38100" tIns="19050" rIns="38100" bIns="19050" anchor="ctr" anchorCtr="0">
                <a:spAutoFit/>
              </a:bodyPr>
              <a:lstStyle/>
              <a:p>
                <a:pPr algn="ctr">
                  <a:defRPr lang="en-US" sz="32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'query-mix-per-hour'!$B$32</c:f>
              <c:strCache>
                <c:ptCount val="1"/>
                <c:pt idx="0">
                  <c:v>Dbpedia - BGP</c:v>
                </c:pt>
              </c:strCache>
            </c:strRef>
          </c:cat>
          <c:val>
            <c:numRef>
              <c:f>'query-mix-per-hour'!$D$32</c:f>
              <c:numCache>
                <c:formatCode>0.00</c:formatCode>
                <c:ptCount val="1"/>
                <c:pt idx="0">
                  <c:v>0.10718616545780521</c:v>
                </c:pt>
              </c:numCache>
            </c:numRef>
          </c:val>
        </c:ser>
        <c:ser>
          <c:idx val="2"/>
          <c:order val="2"/>
          <c:tx>
            <c:strRef>
              <c:f>'query-mix-per-hour'!$E$31</c:f>
              <c:strCache>
                <c:ptCount val="1"/>
                <c:pt idx="0">
                  <c:v>Hi</c:v>
                </c:pt>
              </c:strCache>
            </c:strRef>
          </c:tx>
          <c:spPr>
            <a:pattFill prst="pct90">
              <a:fgClr>
                <a:schemeClr val="accent3"/>
              </a:fgClr>
              <a:bgClr>
                <a:schemeClr val="bg1"/>
              </a:bgClr>
            </a:pattFill>
            <a:ln>
              <a:noFill/>
            </a:ln>
            <a:effectLst/>
          </c:spPr>
          <c:invertIfNegative val="0"/>
          <c:dLbls>
            <c:spPr>
              <a:noFill/>
              <a:ln>
                <a:noFill/>
              </a:ln>
              <a:effectLst/>
            </c:spPr>
            <c:txPr>
              <a:bodyPr rot="-5400000" spcFirstLastPara="1" vertOverflow="clip" horzOverflow="clip" vert="horz" wrap="square" lIns="38100" tIns="19050" rIns="38100" bIns="19050" anchor="ctr" anchorCtr="0">
                <a:spAutoFit/>
              </a:bodyPr>
              <a:lstStyle/>
              <a:p>
                <a:pPr algn="ctr">
                  <a:defRPr lang="en-US" sz="32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'query-mix-per-hour'!$B$32</c:f>
              <c:strCache>
                <c:ptCount val="1"/>
                <c:pt idx="0">
                  <c:v>Dbpedia - BGP</c:v>
                </c:pt>
              </c:strCache>
            </c:strRef>
          </c:cat>
          <c:val>
            <c:numRef>
              <c:f>'query-mix-per-hour'!$E$32</c:f>
              <c:numCache>
                <c:formatCode>0.00</c:formatCode>
                <c:ptCount val="1"/>
                <c:pt idx="0">
                  <c:v>6.8590287634323829E-2</c:v>
                </c:pt>
              </c:numCache>
            </c:numRef>
          </c:val>
        </c:ser>
        <c:ser>
          <c:idx val="3"/>
          <c:order val="3"/>
          <c:tx>
            <c:strRef>
              <c:f>'query-mix-per-hour'!$F$31</c:f>
              <c:strCache>
                <c:ptCount val="1"/>
                <c:pt idx="0">
                  <c:v>Ho</c:v>
                </c:pt>
              </c:strCache>
            </c:strRef>
          </c:tx>
          <c:spPr>
            <a:pattFill prst="dkDnDiag">
              <a:fgClr>
                <a:schemeClr val="accent4"/>
              </a:fgClr>
              <a:bgClr>
                <a:schemeClr val="bg1"/>
              </a:bgClr>
            </a:pattFill>
            <a:ln>
              <a:noFill/>
            </a:ln>
            <a:effectLst/>
          </c:spPr>
          <c:invertIfNegative val="0"/>
          <c:dLbls>
            <c:spPr>
              <a:noFill/>
              <a:ln>
                <a:noFill/>
              </a:ln>
              <a:effectLst/>
            </c:spPr>
            <c:txPr>
              <a:bodyPr rot="-5400000" spcFirstLastPara="1" vertOverflow="clip" horzOverflow="clip" vert="horz" wrap="square" lIns="38100" tIns="19050" rIns="38100" bIns="19050" anchor="ctr" anchorCtr="0">
                <a:spAutoFit/>
              </a:bodyPr>
              <a:lstStyle/>
              <a:p>
                <a:pPr algn="ctr">
                  <a:defRPr lang="en-US" sz="32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'query-mix-per-hour'!$B$32</c:f>
              <c:strCache>
                <c:ptCount val="1"/>
                <c:pt idx="0">
                  <c:v>Dbpedia - BGP</c:v>
                </c:pt>
              </c:strCache>
            </c:strRef>
          </c:cat>
          <c:val>
            <c:numRef>
              <c:f>'query-mix-per-hour'!$F$32</c:f>
              <c:numCache>
                <c:formatCode>0.00</c:formatCode>
                <c:ptCount val="1"/>
                <c:pt idx="0">
                  <c:v>8.0786612060601892E-2</c:v>
                </c:pt>
              </c:numCache>
            </c:numRef>
          </c:val>
        </c:ser>
        <c:ser>
          <c:idx val="4"/>
          <c:order val="4"/>
          <c:tx>
            <c:strRef>
              <c:f>'query-mix-per-hour'!$G$31</c:f>
              <c:strCache>
                <c:ptCount val="1"/>
                <c:pt idx="0">
                  <c:v>TC</c:v>
                </c:pt>
              </c:strCache>
            </c:strRef>
          </c:tx>
          <c:spPr>
            <a:pattFill prst="dkUpDiag">
              <a:fgClr>
                <a:schemeClr val="accent5"/>
              </a:fgClr>
              <a:bgClr>
                <a:schemeClr val="bg1"/>
              </a:bgClr>
            </a:pattFill>
            <a:ln>
              <a:noFill/>
            </a:ln>
            <a:effectLst/>
          </c:spPr>
          <c:invertIfNegative val="0"/>
          <c:dLbls>
            <c:spPr>
              <a:noFill/>
              <a:ln>
                <a:noFill/>
              </a:ln>
              <a:effectLst/>
            </c:spPr>
            <c:txPr>
              <a:bodyPr rot="-5400000" spcFirstLastPara="1" vertOverflow="clip" horzOverflow="clip" vert="horz" wrap="square" lIns="38100" tIns="19050" rIns="38100" bIns="19050" anchor="ctr" anchorCtr="0">
                <a:spAutoFit/>
              </a:bodyPr>
              <a:lstStyle/>
              <a:p>
                <a:pPr algn="ctr">
                  <a:defRPr lang="en-US" sz="32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'query-mix-per-hour'!$B$32</c:f>
              <c:strCache>
                <c:ptCount val="1"/>
                <c:pt idx="0">
                  <c:v>Dbpedia - BGP</c:v>
                </c:pt>
              </c:strCache>
            </c:strRef>
          </c:cat>
          <c:val>
            <c:numRef>
              <c:f>'query-mix-per-hour'!$G$32</c:f>
              <c:numCache>
                <c:formatCode>0.00</c:formatCode>
                <c:ptCount val="1"/>
                <c:pt idx="0">
                  <c:v>9.2168678307809684E-2</c:v>
                </c:pt>
              </c:numCache>
            </c:numRef>
          </c:val>
        </c:ser>
        <c:ser>
          <c:idx val="5"/>
          <c:order val="5"/>
          <c:tx>
            <c:strRef>
              <c:f>'query-mix-per-hour'!$H$31</c:f>
              <c:strCache>
                <c:ptCount val="1"/>
                <c:pt idx="0">
                  <c:v>ME</c:v>
                </c:pt>
              </c:strCache>
            </c:strRef>
          </c:tx>
          <c:spPr>
            <a:pattFill prst="trellis">
              <a:fgClr>
                <a:schemeClr val="accent6"/>
              </a:fgClr>
              <a:bgClr>
                <a:schemeClr val="bg1"/>
              </a:bgClr>
            </a:pattFill>
            <a:ln>
              <a:noFill/>
            </a:ln>
            <a:effectLst/>
          </c:spPr>
          <c:invertIfNegative val="0"/>
          <c:dLbls>
            <c:spPr>
              <a:noFill/>
              <a:ln>
                <a:noFill/>
              </a:ln>
              <a:effectLst/>
            </c:spPr>
            <c:txPr>
              <a:bodyPr rot="-5400000" spcFirstLastPara="1" vertOverflow="clip" horzOverflow="clip" vert="horz" wrap="square" lIns="38100" tIns="19050" rIns="38100" bIns="19050" anchor="ctr" anchorCtr="0">
                <a:spAutoFit/>
              </a:bodyPr>
              <a:lstStyle/>
              <a:p>
                <a:pPr algn="ctr">
                  <a:defRPr lang="en-US" sz="32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'query-mix-per-hour'!$B$32</c:f>
              <c:strCache>
                <c:ptCount val="1"/>
                <c:pt idx="0">
                  <c:v>Dbpedia - BGP</c:v>
                </c:pt>
              </c:strCache>
            </c:strRef>
          </c:cat>
          <c:val>
            <c:numRef>
              <c:f>'query-mix-per-hour'!$H$32</c:f>
              <c:numCache>
                <c:formatCode>0.00</c:formatCode>
                <c:ptCount val="1"/>
                <c:pt idx="0">
                  <c:v>0.22804111353235876</c:v>
                </c:pt>
              </c:numCache>
            </c:numRef>
          </c:val>
        </c:ser>
        <c:ser>
          <c:idx val="6"/>
          <c:order val="6"/>
          <c:tx>
            <c:strRef>
              <c:f>'query-mix-per-hour'!$I$31</c:f>
              <c:strCache>
                <c:ptCount val="1"/>
                <c:pt idx="0">
                  <c:v>RB</c:v>
                </c:pt>
              </c:strCache>
            </c:strRef>
          </c:tx>
          <c:spPr>
            <a:pattFill prst="pct50">
              <a:fgClr>
                <a:schemeClr val="accent5">
                  <a:lumMod val="75000"/>
                </a:schemeClr>
              </a:fgClr>
              <a:bgClr>
                <a:schemeClr val="bg1"/>
              </a:bgClr>
            </a:pattFill>
            <a:ln>
              <a:noFill/>
            </a:ln>
            <a:effectLst/>
          </c:spPr>
          <c:invertIfNegative val="0"/>
          <c:dLbls>
            <c:spPr>
              <a:noFill/>
              <a:ln>
                <a:noFill/>
              </a:ln>
              <a:effectLst/>
            </c:spPr>
            <c:txPr>
              <a:bodyPr rot="-5400000" spcFirstLastPara="1" vertOverflow="clip" horzOverflow="clip" vert="horz" wrap="square" lIns="38100" tIns="19050" rIns="38100" bIns="19050" anchor="ctr" anchorCtr="0">
                <a:spAutoFit/>
              </a:bodyPr>
              <a:lstStyle/>
              <a:p>
                <a:pPr algn="ctr">
                  <a:defRPr lang="en-US" sz="32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'query-mix-per-hour'!$B$32</c:f>
              <c:strCache>
                <c:ptCount val="1"/>
                <c:pt idx="0">
                  <c:v>Dbpedia - BGP</c:v>
                </c:pt>
              </c:strCache>
            </c:strRef>
          </c:cat>
          <c:val>
            <c:numRef>
              <c:f>'query-mix-per-hour'!$I$32</c:f>
              <c:numCache>
                <c:formatCode>0.00</c:formatCode>
                <c:ptCount val="1"/>
                <c:pt idx="0">
                  <c:v>6.575855442531417E-2</c:v>
                </c:pt>
              </c:numCache>
            </c:numRef>
          </c:val>
        </c:ser>
        <c:ser>
          <c:idx val="7"/>
          <c:order val="7"/>
          <c:tx>
            <c:strRef>
              <c:f>'query-mix-per-hour'!$J$31</c:f>
              <c:strCache>
                <c:ptCount val="1"/>
                <c:pt idx="0">
                  <c:v>MCL</c:v>
                </c:pt>
              </c:strCache>
            </c:strRef>
          </c:tx>
          <c:spPr>
            <a:pattFill prst="pct70">
              <a:fgClr>
                <a:schemeClr val="accent2">
                  <a:lumMod val="50000"/>
                </a:schemeClr>
              </a:fgClr>
              <a:bgClr>
                <a:schemeClr val="bg1"/>
              </a:bgClr>
            </a:pattFill>
            <a:ln>
              <a:noFill/>
            </a:ln>
            <a:effectLst/>
          </c:spPr>
          <c:invertIfNegative val="0"/>
          <c:dLbls>
            <c:spPr>
              <a:noFill/>
              <a:ln>
                <a:noFill/>
              </a:ln>
              <a:effectLst/>
            </c:spPr>
            <c:txPr>
              <a:bodyPr rot="-5400000" spcFirstLastPara="1" vertOverflow="clip" horzOverflow="clip" vert="horz" wrap="square" lIns="38100" tIns="19050" rIns="38100" bIns="19050" anchor="ctr" anchorCtr="0">
                <a:spAutoFit/>
              </a:bodyPr>
              <a:lstStyle/>
              <a:p>
                <a:pPr algn="ctr">
                  <a:defRPr lang="en-US" sz="32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'query-mix-per-hour'!$B$32</c:f>
              <c:strCache>
                <c:ptCount val="1"/>
                <c:pt idx="0">
                  <c:v>Dbpedia - BGP</c:v>
                </c:pt>
              </c:strCache>
            </c:strRef>
          </c:cat>
          <c:val>
            <c:numRef>
              <c:f>'query-mix-per-hour'!$J$32</c:f>
              <c:numCache>
                <c:formatCode>0.00</c:formatCode>
                <c:ptCount val="1"/>
                <c:pt idx="0">
                  <c:v>9.4063879407598236E-2</c:v>
                </c:pt>
              </c:numCache>
            </c:numRef>
          </c:val>
        </c:ser>
        <c:ser>
          <c:idx val="8"/>
          <c:order val="8"/>
          <c:tx>
            <c:strRef>
              <c:f>'query-mix-per-hour'!$K$31</c:f>
              <c:strCache>
                <c:ptCount val="1"/>
                <c:pt idx="0">
                  <c:v>PCo</c:v>
                </c:pt>
              </c:strCache>
            </c:strRef>
          </c:tx>
          <c:spPr>
            <a:pattFill prst="lgCheck">
              <a:fgClr>
                <a:schemeClr val="accent4">
                  <a:lumMod val="50000"/>
                </a:schemeClr>
              </a:fgClr>
              <a:bgClr>
                <a:schemeClr val="bg1"/>
              </a:bgClr>
            </a:pattFill>
            <a:ln>
              <a:noFill/>
            </a:ln>
            <a:effectLst/>
          </c:spPr>
          <c:invertIfNegative val="0"/>
          <c:dLbls>
            <c:spPr>
              <a:noFill/>
              <a:ln>
                <a:noFill/>
              </a:ln>
              <a:effectLst/>
            </c:spPr>
            <c:txPr>
              <a:bodyPr rot="-5400000" spcFirstLastPara="1" vertOverflow="clip" horzOverflow="clip" vert="horz" wrap="square" lIns="38100" tIns="19050" rIns="38100" bIns="19050" anchor="ctr" anchorCtr="0">
                <a:spAutoFit/>
              </a:bodyPr>
              <a:lstStyle/>
              <a:p>
                <a:pPr algn="ctr">
                  <a:defRPr lang="en-US" sz="32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'query-mix-per-hour'!$B$32</c:f>
              <c:strCache>
                <c:ptCount val="1"/>
                <c:pt idx="0">
                  <c:v>Dbpedia - BGP</c:v>
                </c:pt>
              </c:strCache>
            </c:strRef>
          </c:cat>
          <c:val>
            <c:numRef>
              <c:f>'query-mix-per-hour'!$K$32</c:f>
              <c:numCache>
                <c:formatCode>0.00</c:formatCode>
                <c:ptCount val="1"/>
                <c:pt idx="0">
                  <c:v>0.22648326722748119</c:v>
                </c:pt>
              </c:numCache>
            </c:numRef>
          </c:val>
        </c:ser>
        <c:dLbls>
          <c:dLblPos val="outEnd"/>
          <c:showLegendKey val="0"/>
          <c:showVal val="1"/>
          <c:showCatName val="0"/>
          <c:showSerName val="0"/>
          <c:showPercent val="0"/>
          <c:showBubbleSize val="0"/>
        </c:dLbls>
        <c:gapWidth val="20"/>
        <c:overlap val="-20"/>
        <c:axId val="1116409936"/>
        <c:axId val="954175952"/>
      </c:barChart>
      <c:catAx>
        <c:axId val="111640993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4000" b="1" i="0" u="none" strike="noStrike" kern="1200" cap="all" spc="120" normalizeH="0" baseline="0">
                <a:solidFill>
                  <a:sysClr val="windowText" lastClr="000000"/>
                </a:solidFill>
                <a:latin typeface="+mn-lt"/>
                <a:ea typeface="+mn-ea"/>
                <a:cs typeface="+mn-cs"/>
              </a:defRPr>
            </a:pPr>
            <a:endParaRPr lang="en-US"/>
          </a:p>
        </c:txPr>
        <c:crossAx val="954175952"/>
        <c:crosses val="autoZero"/>
        <c:auto val="1"/>
        <c:lblAlgn val="ctr"/>
        <c:lblOffset val="100"/>
        <c:noMultiLvlLbl val="0"/>
      </c:catAx>
      <c:valAx>
        <c:axId val="954175952"/>
        <c:scaling>
          <c:orientation val="minMax"/>
        </c:scaling>
        <c:delete val="1"/>
        <c:axPos val="l"/>
        <c:numFmt formatCode="0.00" sourceLinked="1"/>
        <c:majorTickMark val="none"/>
        <c:minorTickMark val="none"/>
        <c:tickLblPos val="nextTo"/>
        <c:crossAx val="1116409936"/>
        <c:crosses val="autoZero"/>
        <c:crossBetween val="between"/>
      </c:valAx>
      <c:spPr>
        <a:noFill/>
        <a:ln w="25400">
          <a:noFill/>
        </a:ln>
        <a:effectLst/>
      </c:spPr>
    </c:plotArea>
    <c:legend>
      <c:legendPos val="t"/>
      <c:layout>
        <c:manualLayout>
          <c:xMode val="edge"/>
          <c:yMode val="edge"/>
          <c:x val="0"/>
          <c:y val="0.88909200933216681"/>
          <c:w val="0.99951312335958009"/>
          <c:h val="9.2817147856517929E-2"/>
        </c:manualLayout>
      </c:layout>
      <c:overlay val="0"/>
      <c:spPr>
        <a:noFill/>
        <a:ln>
          <a:noFill/>
        </a:ln>
        <a:effectLst/>
      </c:spPr>
      <c:txPr>
        <a:bodyPr rot="0" spcFirstLastPara="1" vertOverflow="ellipsis" vert="horz" wrap="square" anchor="ctr" anchorCtr="1"/>
        <a:lstStyle/>
        <a:p>
          <a:pPr>
            <a:defRPr sz="4000" b="1"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2.1227034120734899E-4"/>
          <c:y val="0.10327719451735201"/>
          <c:w val="0.99975656167978988"/>
          <c:h val="0.63638363954505683"/>
        </c:manualLayout>
      </c:layout>
      <c:barChart>
        <c:barDir val="col"/>
        <c:grouping val="clustered"/>
        <c:varyColors val="0"/>
        <c:ser>
          <c:idx val="0"/>
          <c:order val="0"/>
          <c:tx>
            <c:strRef>
              <c:f>'query-mix-per-hour'!$C$4</c:f>
              <c:strCache>
                <c:ptCount val="1"/>
                <c:pt idx="0">
                  <c:v>PB</c:v>
                </c:pt>
              </c:strCache>
            </c:strRef>
          </c:tx>
          <c:spPr>
            <a:pattFill prst="pct75">
              <a:fgClr>
                <a:schemeClr val="accent6">
                  <a:lumMod val="50000"/>
                </a:schemeClr>
              </a:fgClr>
              <a:bgClr>
                <a:schemeClr val="bg1"/>
              </a:bgClr>
            </a:pattFill>
            <a:ln>
              <a:noFill/>
            </a:ln>
            <a:effectLst/>
          </c:spPr>
          <c:invertIfNegative val="0"/>
          <c:dLbls>
            <c:spPr>
              <a:noFill/>
              <a:ln>
                <a:noFill/>
              </a:ln>
              <a:effectLst/>
            </c:spPr>
            <c:txPr>
              <a:bodyPr rot="-5400000" spcFirstLastPara="1" vertOverflow="clip" horzOverflow="clip" vert="horz" wrap="square" lIns="38100" tIns="19050" rIns="38100" bIns="19050" anchor="ctr" anchorCtr="0">
                <a:spAutoFit/>
              </a:bodyPr>
              <a:lstStyle/>
              <a:p>
                <a:pPr algn="ctr">
                  <a:defRPr lang="en-US" sz="32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'query-mix-per-hour'!$B$6</c:f>
              <c:strCache>
                <c:ptCount val="1"/>
                <c:pt idx="0">
                  <c:v>SWDF - FF</c:v>
                </c:pt>
              </c:strCache>
            </c:strRef>
          </c:cat>
          <c:val>
            <c:numRef>
              <c:f>'query-mix-per-hour'!$C$6</c:f>
              <c:numCache>
                <c:formatCode>0.00</c:formatCode>
                <c:ptCount val="1"/>
                <c:pt idx="0">
                  <c:v>0.4821294048715159</c:v>
                </c:pt>
              </c:numCache>
            </c:numRef>
          </c:val>
        </c:ser>
        <c:ser>
          <c:idx val="1"/>
          <c:order val="1"/>
          <c:tx>
            <c:strRef>
              <c:f>'query-mix-per-hour'!$D$4</c:f>
              <c:strCache>
                <c:ptCount val="1"/>
                <c:pt idx="0">
                  <c:v>SB</c:v>
                </c:pt>
              </c:strCache>
            </c:strRef>
          </c:tx>
          <c:spPr>
            <a:pattFill prst="pct80">
              <a:fgClr>
                <a:schemeClr val="accent2"/>
              </a:fgClr>
              <a:bgClr>
                <a:schemeClr val="bg1"/>
              </a:bgClr>
            </a:pattFill>
            <a:ln>
              <a:noFill/>
            </a:ln>
            <a:effectLst/>
          </c:spPr>
          <c:invertIfNegative val="0"/>
          <c:dLbls>
            <c:spPr>
              <a:noFill/>
              <a:ln>
                <a:noFill/>
              </a:ln>
              <a:effectLst/>
            </c:spPr>
            <c:txPr>
              <a:bodyPr rot="-5400000" spcFirstLastPara="1" vertOverflow="clip" horzOverflow="clip" vert="horz" wrap="square" lIns="38100" tIns="19050" rIns="38100" bIns="19050" anchor="ctr" anchorCtr="0">
                <a:spAutoFit/>
              </a:bodyPr>
              <a:lstStyle/>
              <a:p>
                <a:pPr algn="ctr">
                  <a:defRPr lang="en-US" sz="32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'query-mix-per-hour'!$B$6</c:f>
              <c:strCache>
                <c:ptCount val="1"/>
                <c:pt idx="0">
                  <c:v>SWDF - FF</c:v>
                </c:pt>
              </c:strCache>
            </c:strRef>
          </c:cat>
          <c:val>
            <c:numRef>
              <c:f>'query-mix-per-hour'!$D$6</c:f>
              <c:numCache>
                <c:formatCode>0.00</c:formatCode>
                <c:ptCount val="1"/>
                <c:pt idx="0">
                  <c:v>0.64906720928685369</c:v>
                </c:pt>
              </c:numCache>
            </c:numRef>
          </c:val>
        </c:ser>
        <c:ser>
          <c:idx val="2"/>
          <c:order val="2"/>
          <c:tx>
            <c:strRef>
              <c:f>'query-mix-per-hour'!$E$4</c:f>
              <c:strCache>
                <c:ptCount val="1"/>
                <c:pt idx="0">
                  <c:v>Hi</c:v>
                </c:pt>
              </c:strCache>
            </c:strRef>
          </c:tx>
          <c:spPr>
            <a:pattFill prst="pct90">
              <a:fgClr>
                <a:schemeClr val="accent3"/>
              </a:fgClr>
              <a:bgClr>
                <a:schemeClr val="bg1"/>
              </a:bgClr>
            </a:pattFill>
            <a:ln>
              <a:noFill/>
            </a:ln>
            <a:effectLst/>
          </c:spPr>
          <c:invertIfNegative val="0"/>
          <c:dLbls>
            <c:spPr>
              <a:noFill/>
              <a:ln>
                <a:noFill/>
              </a:ln>
              <a:effectLst/>
            </c:spPr>
            <c:txPr>
              <a:bodyPr rot="-5400000" spcFirstLastPara="1" vertOverflow="clip" horzOverflow="clip" vert="horz" wrap="square" lIns="38100" tIns="19050" rIns="38100" bIns="19050" anchor="ctr" anchorCtr="0">
                <a:spAutoFit/>
              </a:bodyPr>
              <a:lstStyle/>
              <a:p>
                <a:pPr algn="ctr">
                  <a:defRPr lang="en-US" sz="32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'query-mix-per-hour'!$B$6</c:f>
              <c:strCache>
                <c:ptCount val="1"/>
                <c:pt idx="0">
                  <c:v>SWDF - FF</c:v>
                </c:pt>
              </c:strCache>
            </c:strRef>
          </c:cat>
          <c:val>
            <c:numRef>
              <c:f>'query-mix-per-hour'!$E$6</c:f>
              <c:numCache>
                <c:formatCode>0.00</c:formatCode>
                <c:ptCount val="1"/>
                <c:pt idx="0">
                  <c:v>0.57636426221371917</c:v>
                </c:pt>
              </c:numCache>
            </c:numRef>
          </c:val>
        </c:ser>
        <c:ser>
          <c:idx val="3"/>
          <c:order val="3"/>
          <c:tx>
            <c:strRef>
              <c:f>'query-mix-per-hour'!$F$4</c:f>
              <c:strCache>
                <c:ptCount val="1"/>
                <c:pt idx="0">
                  <c:v>Ho</c:v>
                </c:pt>
              </c:strCache>
            </c:strRef>
          </c:tx>
          <c:spPr>
            <a:pattFill prst="dkDnDiag">
              <a:fgClr>
                <a:schemeClr val="accent4"/>
              </a:fgClr>
              <a:bgClr>
                <a:schemeClr val="bg1"/>
              </a:bgClr>
            </a:pattFill>
            <a:ln>
              <a:noFill/>
            </a:ln>
            <a:effectLst/>
          </c:spPr>
          <c:invertIfNegative val="0"/>
          <c:dLbls>
            <c:spPr>
              <a:noFill/>
              <a:ln>
                <a:noFill/>
              </a:ln>
              <a:effectLst/>
            </c:spPr>
            <c:txPr>
              <a:bodyPr rot="-5400000" spcFirstLastPara="1" vertOverflow="clip" horzOverflow="clip" vert="horz" wrap="square" lIns="38100" tIns="19050" rIns="38100" bIns="19050" anchor="ctr" anchorCtr="0">
                <a:spAutoFit/>
              </a:bodyPr>
              <a:lstStyle/>
              <a:p>
                <a:pPr algn="ctr">
                  <a:defRPr lang="en-US" sz="32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'query-mix-per-hour'!$B$6</c:f>
              <c:strCache>
                <c:ptCount val="1"/>
                <c:pt idx="0">
                  <c:v>SWDF - FF</c:v>
                </c:pt>
              </c:strCache>
            </c:strRef>
          </c:cat>
          <c:val>
            <c:numRef>
              <c:f>'query-mix-per-hour'!$F$6</c:f>
              <c:numCache>
                <c:formatCode>0.00</c:formatCode>
                <c:ptCount val="1"/>
                <c:pt idx="0">
                  <c:v>1.0689467697170942</c:v>
                </c:pt>
              </c:numCache>
            </c:numRef>
          </c:val>
        </c:ser>
        <c:ser>
          <c:idx val="4"/>
          <c:order val="4"/>
          <c:tx>
            <c:strRef>
              <c:f>'query-mix-per-hour'!$G$4</c:f>
              <c:strCache>
                <c:ptCount val="1"/>
                <c:pt idx="0">
                  <c:v>TC</c:v>
                </c:pt>
              </c:strCache>
            </c:strRef>
          </c:tx>
          <c:spPr>
            <a:pattFill prst="dkUpDiag">
              <a:fgClr>
                <a:schemeClr val="accent5"/>
              </a:fgClr>
              <a:bgClr>
                <a:schemeClr val="bg1"/>
              </a:bgClr>
            </a:pattFill>
            <a:ln>
              <a:noFill/>
            </a:ln>
            <a:effectLst/>
          </c:spPr>
          <c:invertIfNegative val="0"/>
          <c:dLbls>
            <c:spPr>
              <a:noFill/>
              <a:ln>
                <a:noFill/>
              </a:ln>
              <a:effectLst/>
            </c:spPr>
            <c:txPr>
              <a:bodyPr rot="-5400000" spcFirstLastPara="1" vertOverflow="clip" horzOverflow="clip" vert="horz" wrap="square" lIns="38100" tIns="19050" rIns="38100" bIns="19050" anchor="ctr" anchorCtr="0">
                <a:spAutoFit/>
              </a:bodyPr>
              <a:lstStyle/>
              <a:p>
                <a:pPr algn="ctr">
                  <a:defRPr lang="en-US" sz="32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'query-mix-per-hour'!$B$6</c:f>
              <c:strCache>
                <c:ptCount val="1"/>
                <c:pt idx="0">
                  <c:v>SWDF - FF</c:v>
                </c:pt>
              </c:strCache>
            </c:strRef>
          </c:cat>
          <c:val>
            <c:numRef>
              <c:f>'query-mix-per-hour'!$G$6</c:f>
              <c:numCache>
                <c:formatCode>0.00</c:formatCode>
                <c:ptCount val="1"/>
                <c:pt idx="0">
                  <c:v>0.6508183950926848</c:v>
                </c:pt>
              </c:numCache>
            </c:numRef>
          </c:val>
        </c:ser>
        <c:ser>
          <c:idx val="5"/>
          <c:order val="5"/>
          <c:tx>
            <c:strRef>
              <c:f>'query-mix-per-hour'!$H$4</c:f>
              <c:strCache>
                <c:ptCount val="1"/>
                <c:pt idx="0">
                  <c:v>ME</c:v>
                </c:pt>
              </c:strCache>
            </c:strRef>
          </c:tx>
          <c:spPr>
            <a:pattFill prst="trellis">
              <a:fgClr>
                <a:schemeClr val="accent6"/>
              </a:fgClr>
              <a:bgClr>
                <a:schemeClr val="bg1"/>
              </a:bgClr>
            </a:pattFill>
            <a:ln>
              <a:noFill/>
            </a:ln>
            <a:effectLst/>
          </c:spPr>
          <c:invertIfNegative val="0"/>
          <c:dLbls>
            <c:spPr>
              <a:noFill/>
              <a:ln>
                <a:noFill/>
              </a:ln>
              <a:effectLst/>
            </c:spPr>
            <c:txPr>
              <a:bodyPr rot="-5400000" spcFirstLastPara="1" vertOverflow="clip" horzOverflow="clip" vert="horz" wrap="square" lIns="38100" tIns="19050" rIns="38100" bIns="19050" anchor="ctr" anchorCtr="0">
                <a:spAutoFit/>
              </a:bodyPr>
              <a:lstStyle/>
              <a:p>
                <a:pPr algn="ctr">
                  <a:defRPr lang="en-US" sz="32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'query-mix-per-hour'!$B$6</c:f>
              <c:strCache>
                <c:ptCount val="1"/>
                <c:pt idx="0">
                  <c:v>SWDF - FF</c:v>
                </c:pt>
              </c:strCache>
            </c:strRef>
          </c:cat>
          <c:val>
            <c:numRef>
              <c:f>'query-mix-per-hour'!$H$6</c:f>
              <c:numCache>
                <c:formatCode>0.00</c:formatCode>
                <c:ptCount val="1"/>
                <c:pt idx="0">
                  <c:v>0.54565685186613888</c:v>
                </c:pt>
              </c:numCache>
            </c:numRef>
          </c:val>
        </c:ser>
        <c:ser>
          <c:idx val="6"/>
          <c:order val="6"/>
          <c:tx>
            <c:strRef>
              <c:f>'query-mix-per-hour'!$I$4</c:f>
              <c:strCache>
                <c:ptCount val="1"/>
                <c:pt idx="0">
                  <c:v>RB</c:v>
                </c:pt>
              </c:strCache>
            </c:strRef>
          </c:tx>
          <c:spPr>
            <a:pattFill prst="pct50">
              <a:fgClr>
                <a:schemeClr val="accent5">
                  <a:lumMod val="75000"/>
                </a:schemeClr>
              </a:fgClr>
              <a:bgClr>
                <a:schemeClr val="bg1"/>
              </a:bgClr>
            </a:pattFill>
            <a:ln>
              <a:noFill/>
            </a:ln>
            <a:effectLst/>
          </c:spPr>
          <c:invertIfNegative val="0"/>
          <c:dLbls>
            <c:spPr>
              <a:noFill/>
              <a:ln>
                <a:noFill/>
              </a:ln>
              <a:effectLst/>
            </c:spPr>
            <c:txPr>
              <a:bodyPr rot="-5400000" spcFirstLastPara="1" vertOverflow="clip" horzOverflow="clip" vert="horz" wrap="square" lIns="38100" tIns="19050" rIns="38100" bIns="19050" anchor="ctr" anchorCtr="0">
                <a:spAutoFit/>
              </a:bodyPr>
              <a:lstStyle/>
              <a:p>
                <a:pPr algn="ctr">
                  <a:defRPr lang="en-US" sz="32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'query-mix-per-hour'!$B$6</c:f>
              <c:strCache>
                <c:ptCount val="1"/>
                <c:pt idx="0">
                  <c:v>SWDF - FF</c:v>
                </c:pt>
              </c:strCache>
            </c:strRef>
          </c:cat>
          <c:val>
            <c:numRef>
              <c:f>'query-mix-per-hour'!$I$6</c:f>
              <c:numCache>
                <c:formatCode>0.00</c:formatCode>
                <c:ptCount val="1"/>
                <c:pt idx="0">
                  <c:v>0.75277192578923435</c:v>
                </c:pt>
              </c:numCache>
            </c:numRef>
          </c:val>
        </c:ser>
        <c:ser>
          <c:idx val="7"/>
          <c:order val="7"/>
          <c:tx>
            <c:strRef>
              <c:f>'query-mix-per-hour'!$J$4</c:f>
              <c:strCache>
                <c:ptCount val="1"/>
                <c:pt idx="0">
                  <c:v>MCL</c:v>
                </c:pt>
              </c:strCache>
            </c:strRef>
          </c:tx>
          <c:spPr>
            <a:pattFill prst="pct70">
              <a:fgClr>
                <a:schemeClr val="accent2">
                  <a:lumMod val="50000"/>
                </a:schemeClr>
              </a:fgClr>
              <a:bgClr>
                <a:schemeClr val="bg1"/>
              </a:bgClr>
            </a:pattFill>
            <a:ln>
              <a:noFill/>
            </a:ln>
            <a:effectLst/>
          </c:spPr>
          <c:invertIfNegative val="0"/>
          <c:dLbls>
            <c:spPr>
              <a:noFill/>
              <a:ln>
                <a:noFill/>
              </a:ln>
              <a:effectLst/>
            </c:spPr>
            <c:txPr>
              <a:bodyPr rot="-5400000" spcFirstLastPara="1" vertOverflow="clip" horzOverflow="clip" vert="horz" wrap="square" lIns="38100" tIns="19050" rIns="38100" bIns="19050" anchor="ctr" anchorCtr="0">
                <a:spAutoFit/>
              </a:bodyPr>
              <a:lstStyle/>
              <a:p>
                <a:pPr algn="ctr">
                  <a:defRPr lang="en-US" sz="32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'query-mix-per-hour'!$B$6</c:f>
              <c:strCache>
                <c:ptCount val="1"/>
                <c:pt idx="0">
                  <c:v>SWDF - FF</c:v>
                </c:pt>
              </c:strCache>
            </c:strRef>
          </c:cat>
          <c:val>
            <c:numRef>
              <c:f>'query-mix-per-hour'!$J$6</c:f>
              <c:numCache>
                <c:formatCode>0.00</c:formatCode>
                <c:ptCount val="1"/>
                <c:pt idx="0">
                  <c:v>0.73424658651821295</c:v>
                </c:pt>
              </c:numCache>
            </c:numRef>
          </c:val>
        </c:ser>
        <c:ser>
          <c:idx val="8"/>
          <c:order val="8"/>
          <c:tx>
            <c:strRef>
              <c:f>'query-mix-per-hour'!$K$4</c:f>
              <c:strCache>
                <c:ptCount val="1"/>
                <c:pt idx="0">
                  <c:v>PCo</c:v>
                </c:pt>
              </c:strCache>
            </c:strRef>
          </c:tx>
          <c:spPr>
            <a:pattFill prst="lgCheck">
              <a:fgClr>
                <a:schemeClr val="accent4">
                  <a:lumMod val="50000"/>
                </a:schemeClr>
              </a:fgClr>
              <a:bgClr>
                <a:schemeClr val="bg1"/>
              </a:bgClr>
            </a:pattFill>
            <a:ln>
              <a:noFill/>
            </a:ln>
            <a:effectLst/>
          </c:spPr>
          <c:invertIfNegative val="0"/>
          <c:dLbls>
            <c:spPr>
              <a:noFill/>
              <a:ln>
                <a:noFill/>
              </a:ln>
              <a:effectLst/>
            </c:spPr>
            <c:txPr>
              <a:bodyPr rot="-5400000" spcFirstLastPara="1" vertOverflow="clip" horzOverflow="clip" vert="horz" wrap="square" lIns="38100" tIns="19050" rIns="38100" bIns="19050" anchor="ctr" anchorCtr="0">
                <a:spAutoFit/>
              </a:bodyPr>
              <a:lstStyle/>
              <a:p>
                <a:pPr algn="ctr">
                  <a:defRPr lang="en-US" sz="32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'query-mix-per-hour'!$B$6</c:f>
              <c:strCache>
                <c:ptCount val="1"/>
                <c:pt idx="0">
                  <c:v>SWDF - FF</c:v>
                </c:pt>
              </c:strCache>
            </c:strRef>
          </c:cat>
          <c:val>
            <c:numRef>
              <c:f>'query-mix-per-hour'!$K$6</c:f>
              <c:numCache>
                <c:formatCode>0.00</c:formatCode>
                <c:ptCount val="1"/>
                <c:pt idx="0">
                  <c:v>14.711290915777857</c:v>
                </c:pt>
              </c:numCache>
            </c:numRef>
          </c:val>
        </c:ser>
        <c:ser>
          <c:idx val="9"/>
          <c:order val="9"/>
          <c:tx>
            <c:strRef>
              <c:f>'query-mix-per-hour'!$L$4</c:f>
              <c:strCache>
                <c:ptCount val="1"/>
                <c:pt idx="0">
                  <c:v>PT</c:v>
                </c:pt>
              </c:strCache>
            </c:strRef>
          </c:tx>
          <c:spPr>
            <a:solidFill>
              <a:schemeClr val="accent4">
                <a:lumMod val="60000"/>
              </a:schemeClr>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'query-mix-per-hour'!$B$6</c:f>
              <c:strCache>
                <c:ptCount val="1"/>
                <c:pt idx="0">
                  <c:v>SWDF - FF</c:v>
                </c:pt>
              </c:strCache>
            </c:strRef>
          </c:cat>
          <c:val>
            <c:numRef>
              <c:f>'query-mix-per-hour'!$L$6</c:f>
              <c:numCache>
                <c:formatCode>0.00</c:formatCode>
                <c:ptCount val="1"/>
                <c:pt idx="0">
                  <c:v>7.8522211970711213</c:v>
                </c:pt>
              </c:numCache>
            </c:numRef>
          </c:val>
        </c:ser>
        <c:dLbls>
          <c:dLblPos val="outEnd"/>
          <c:showLegendKey val="0"/>
          <c:showVal val="1"/>
          <c:showCatName val="0"/>
          <c:showSerName val="0"/>
          <c:showPercent val="0"/>
          <c:showBubbleSize val="0"/>
        </c:dLbls>
        <c:gapWidth val="20"/>
        <c:overlap val="-20"/>
        <c:axId val="954172144"/>
        <c:axId val="1249071616"/>
      </c:barChart>
      <c:catAx>
        <c:axId val="95417214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4000" b="1" i="0" u="none" strike="noStrike" kern="1200" cap="all" spc="120" normalizeH="0" baseline="0">
                <a:solidFill>
                  <a:sysClr val="windowText" lastClr="000000"/>
                </a:solidFill>
                <a:latin typeface="+mn-lt"/>
                <a:ea typeface="+mn-ea"/>
                <a:cs typeface="+mn-cs"/>
              </a:defRPr>
            </a:pPr>
            <a:endParaRPr lang="en-US"/>
          </a:p>
        </c:txPr>
        <c:crossAx val="1249071616"/>
        <c:crosses val="autoZero"/>
        <c:auto val="1"/>
        <c:lblAlgn val="ctr"/>
        <c:lblOffset val="100"/>
        <c:noMultiLvlLbl val="0"/>
      </c:catAx>
      <c:valAx>
        <c:axId val="1249071616"/>
        <c:scaling>
          <c:orientation val="minMax"/>
        </c:scaling>
        <c:delete val="1"/>
        <c:axPos val="l"/>
        <c:numFmt formatCode="0.00" sourceLinked="1"/>
        <c:majorTickMark val="none"/>
        <c:minorTickMark val="none"/>
        <c:tickLblPos val="nextTo"/>
        <c:crossAx val="954172144"/>
        <c:crosses val="autoZero"/>
        <c:crossBetween val="between"/>
      </c:valAx>
      <c:spPr>
        <a:noFill/>
        <a:ln w="25400">
          <a:noFill/>
        </a:ln>
        <a:effectLst/>
      </c:spPr>
    </c:plotArea>
    <c:legend>
      <c:legendPos val="t"/>
      <c:layout>
        <c:manualLayout>
          <c:xMode val="edge"/>
          <c:yMode val="edge"/>
          <c:x val="0"/>
          <c:y val="0.88909200933216681"/>
          <c:w val="0.57611510313246095"/>
          <c:h val="0.11090823130471641"/>
        </c:manualLayout>
      </c:layout>
      <c:overlay val="0"/>
      <c:spPr>
        <a:noFill/>
        <a:ln>
          <a:noFill/>
        </a:ln>
        <a:effectLst/>
      </c:spPr>
      <c:txPr>
        <a:bodyPr rot="0" spcFirstLastPara="1" vertOverflow="ellipsis" vert="horz" wrap="square" anchor="ctr" anchorCtr="1"/>
        <a:lstStyle/>
        <a:p>
          <a:pPr>
            <a:defRPr sz="4000" b="1"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2.1227034120734899E-4"/>
          <c:y val="0.10327719451735201"/>
          <c:w val="0.99975656167978988"/>
          <c:h val="0.63638363954505683"/>
        </c:manualLayout>
      </c:layout>
      <c:barChart>
        <c:barDir val="col"/>
        <c:grouping val="clustered"/>
        <c:varyColors val="0"/>
        <c:ser>
          <c:idx val="0"/>
          <c:order val="0"/>
          <c:tx>
            <c:strRef>
              <c:f>'query-mix-per-hour'!$C$17</c:f>
              <c:strCache>
                <c:ptCount val="1"/>
                <c:pt idx="0">
                  <c:v>PB</c:v>
                </c:pt>
              </c:strCache>
            </c:strRef>
          </c:tx>
          <c:spPr>
            <a:pattFill prst="pct75">
              <a:fgClr>
                <a:schemeClr val="accent6">
                  <a:lumMod val="50000"/>
                </a:schemeClr>
              </a:fgClr>
              <a:bgClr>
                <a:schemeClr val="bg1"/>
              </a:bgClr>
            </a:pattFill>
            <a:ln>
              <a:noFill/>
            </a:ln>
            <a:effectLst/>
          </c:spPr>
          <c:invertIfNegative val="0"/>
          <c:dLbls>
            <c:spPr>
              <a:noFill/>
              <a:ln>
                <a:noFill/>
              </a:ln>
              <a:effectLst/>
            </c:spPr>
            <c:txPr>
              <a:bodyPr rot="-5400000" spcFirstLastPara="1" vertOverflow="clip" horzOverflow="clip" vert="horz" wrap="square" lIns="38100" tIns="19050" rIns="38100" bIns="19050" anchor="ctr" anchorCtr="0">
                <a:spAutoFit/>
              </a:bodyPr>
              <a:lstStyle/>
              <a:p>
                <a:pPr algn="ctr">
                  <a:defRPr lang="en-US" sz="32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'query-mix-per-hour'!$B$19</c:f>
              <c:strCache>
                <c:ptCount val="1"/>
                <c:pt idx="0">
                  <c:v>SWDF - FF</c:v>
                </c:pt>
              </c:strCache>
            </c:strRef>
          </c:cat>
          <c:val>
            <c:numRef>
              <c:f>'query-mix-per-hour'!$C$19</c:f>
              <c:numCache>
                <c:formatCode>0.00</c:formatCode>
                <c:ptCount val="1"/>
                <c:pt idx="0">
                  <c:v>0.94365934317115663</c:v>
                </c:pt>
              </c:numCache>
            </c:numRef>
          </c:val>
        </c:ser>
        <c:ser>
          <c:idx val="1"/>
          <c:order val="1"/>
          <c:tx>
            <c:strRef>
              <c:f>'query-mix-per-hour'!$D$17</c:f>
              <c:strCache>
                <c:ptCount val="1"/>
                <c:pt idx="0">
                  <c:v>SB</c:v>
                </c:pt>
              </c:strCache>
            </c:strRef>
          </c:tx>
          <c:spPr>
            <a:pattFill prst="pct80">
              <a:fgClr>
                <a:schemeClr val="accent2"/>
              </a:fgClr>
              <a:bgClr>
                <a:schemeClr val="bg1"/>
              </a:bgClr>
            </a:pattFill>
            <a:ln>
              <a:noFill/>
            </a:ln>
            <a:effectLst/>
          </c:spPr>
          <c:invertIfNegative val="0"/>
          <c:dLbls>
            <c:spPr>
              <a:noFill/>
              <a:ln>
                <a:noFill/>
              </a:ln>
              <a:effectLst/>
            </c:spPr>
            <c:txPr>
              <a:bodyPr rot="-5400000" spcFirstLastPara="1" vertOverflow="clip" horzOverflow="clip" vert="horz" wrap="square" lIns="38100" tIns="19050" rIns="38100" bIns="19050" anchor="ctr" anchorCtr="0">
                <a:spAutoFit/>
              </a:bodyPr>
              <a:lstStyle/>
              <a:p>
                <a:pPr algn="ctr">
                  <a:defRPr lang="en-US" sz="32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'query-mix-per-hour'!$B$19</c:f>
              <c:strCache>
                <c:ptCount val="1"/>
                <c:pt idx="0">
                  <c:v>SWDF - FF</c:v>
                </c:pt>
              </c:strCache>
            </c:strRef>
          </c:cat>
          <c:val>
            <c:numRef>
              <c:f>'query-mix-per-hour'!$D$19</c:f>
              <c:numCache>
                <c:formatCode>0.00</c:formatCode>
                <c:ptCount val="1"/>
                <c:pt idx="0">
                  <c:v>0.89560704743234432</c:v>
                </c:pt>
              </c:numCache>
            </c:numRef>
          </c:val>
        </c:ser>
        <c:ser>
          <c:idx val="2"/>
          <c:order val="2"/>
          <c:tx>
            <c:strRef>
              <c:f>'query-mix-per-hour'!$E$17</c:f>
              <c:strCache>
                <c:ptCount val="1"/>
                <c:pt idx="0">
                  <c:v>Hi</c:v>
                </c:pt>
              </c:strCache>
            </c:strRef>
          </c:tx>
          <c:spPr>
            <a:pattFill prst="pct90">
              <a:fgClr>
                <a:schemeClr val="accent3"/>
              </a:fgClr>
              <a:bgClr>
                <a:schemeClr val="bg1"/>
              </a:bgClr>
            </a:pattFill>
            <a:ln>
              <a:noFill/>
            </a:ln>
            <a:effectLst/>
          </c:spPr>
          <c:invertIfNegative val="0"/>
          <c:dLbls>
            <c:spPr>
              <a:noFill/>
              <a:ln>
                <a:noFill/>
              </a:ln>
              <a:effectLst/>
            </c:spPr>
            <c:txPr>
              <a:bodyPr rot="-5400000" spcFirstLastPara="1" vertOverflow="clip" horzOverflow="clip" vert="horz" wrap="square" lIns="38100" tIns="19050" rIns="38100" bIns="19050" anchor="ctr" anchorCtr="0">
                <a:spAutoFit/>
              </a:bodyPr>
              <a:lstStyle/>
              <a:p>
                <a:pPr algn="ctr">
                  <a:defRPr lang="en-US" sz="32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'query-mix-per-hour'!$B$19</c:f>
              <c:strCache>
                <c:ptCount val="1"/>
                <c:pt idx="0">
                  <c:v>SWDF - FF</c:v>
                </c:pt>
              </c:strCache>
            </c:strRef>
          </c:cat>
          <c:val>
            <c:numRef>
              <c:f>'query-mix-per-hour'!$E$19</c:f>
              <c:numCache>
                <c:formatCode>0.00</c:formatCode>
                <c:ptCount val="1"/>
                <c:pt idx="0">
                  <c:v>0.89089395021140172</c:v>
                </c:pt>
              </c:numCache>
            </c:numRef>
          </c:val>
        </c:ser>
        <c:ser>
          <c:idx val="3"/>
          <c:order val="3"/>
          <c:tx>
            <c:strRef>
              <c:f>'query-mix-per-hour'!$F$17</c:f>
              <c:strCache>
                <c:ptCount val="1"/>
                <c:pt idx="0">
                  <c:v>Ho</c:v>
                </c:pt>
              </c:strCache>
            </c:strRef>
          </c:tx>
          <c:spPr>
            <a:pattFill prst="dkDnDiag">
              <a:fgClr>
                <a:schemeClr val="accent4"/>
              </a:fgClr>
              <a:bgClr>
                <a:schemeClr val="bg1"/>
              </a:bgClr>
            </a:pattFill>
            <a:ln>
              <a:noFill/>
            </a:ln>
            <a:effectLst/>
          </c:spPr>
          <c:invertIfNegative val="0"/>
          <c:dLbls>
            <c:spPr>
              <a:noFill/>
              <a:ln>
                <a:noFill/>
              </a:ln>
              <a:effectLst/>
            </c:spPr>
            <c:txPr>
              <a:bodyPr rot="-5400000" spcFirstLastPara="1" vertOverflow="clip" horzOverflow="clip" vert="horz" wrap="square" lIns="38100" tIns="19050" rIns="38100" bIns="19050" anchor="ctr" anchorCtr="0">
                <a:spAutoFit/>
              </a:bodyPr>
              <a:lstStyle/>
              <a:p>
                <a:pPr algn="ctr">
                  <a:defRPr lang="en-US" sz="32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'query-mix-per-hour'!$B$19</c:f>
              <c:strCache>
                <c:ptCount val="1"/>
                <c:pt idx="0">
                  <c:v>SWDF - FF</c:v>
                </c:pt>
              </c:strCache>
            </c:strRef>
          </c:cat>
          <c:val>
            <c:numRef>
              <c:f>'query-mix-per-hour'!$F$19</c:f>
              <c:numCache>
                <c:formatCode>0.00</c:formatCode>
                <c:ptCount val="1"/>
                <c:pt idx="0">
                  <c:v>0.97732258676656347</c:v>
                </c:pt>
              </c:numCache>
            </c:numRef>
          </c:val>
        </c:ser>
        <c:ser>
          <c:idx val="4"/>
          <c:order val="4"/>
          <c:tx>
            <c:strRef>
              <c:f>'query-mix-per-hour'!$G$17</c:f>
              <c:strCache>
                <c:ptCount val="1"/>
                <c:pt idx="0">
                  <c:v>TC</c:v>
                </c:pt>
              </c:strCache>
            </c:strRef>
          </c:tx>
          <c:spPr>
            <a:pattFill prst="dkUpDiag">
              <a:fgClr>
                <a:schemeClr val="accent5"/>
              </a:fgClr>
              <a:bgClr>
                <a:schemeClr val="bg1"/>
              </a:bgClr>
            </a:pattFill>
            <a:ln>
              <a:noFill/>
            </a:ln>
            <a:effectLst/>
          </c:spPr>
          <c:invertIfNegative val="0"/>
          <c:dLbls>
            <c:spPr>
              <a:noFill/>
              <a:ln>
                <a:noFill/>
              </a:ln>
              <a:effectLst/>
            </c:spPr>
            <c:txPr>
              <a:bodyPr rot="-5400000" spcFirstLastPara="1" vertOverflow="clip" horzOverflow="clip" vert="horz" wrap="square" lIns="38100" tIns="19050" rIns="38100" bIns="19050" anchor="ctr" anchorCtr="0">
                <a:spAutoFit/>
              </a:bodyPr>
              <a:lstStyle/>
              <a:p>
                <a:pPr algn="ctr">
                  <a:defRPr lang="en-US" sz="32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'query-mix-per-hour'!$B$19</c:f>
              <c:strCache>
                <c:ptCount val="1"/>
                <c:pt idx="0">
                  <c:v>SWDF - FF</c:v>
                </c:pt>
              </c:strCache>
            </c:strRef>
          </c:cat>
          <c:val>
            <c:numRef>
              <c:f>'query-mix-per-hour'!$G$19</c:f>
              <c:numCache>
                <c:formatCode>0.00</c:formatCode>
                <c:ptCount val="1"/>
                <c:pt idx="0">
                  <c:v>0.8934563258693331</c:v>
                </c:pt>
              </c:numCache>
            </c:numRef>
          </c:val>
        </c:ser>
        <c:ser>
          <c:idx val="5"/>
          <c:order val="5"/>
          <c:tx>
            <c:strRef>
              <c:f>'query-mix-per-hour'!$H$17</c:f>
              <c:strCache>
                <c:ptCount val="1"/>
                <c:pt idx="0">
                  <c:v>ME</c:v>
                </c:pt>
              </c:strCache>
            </c:strRef>
          </c:tx>
          <c:spPr>
            <a:pattFill prst="trellis">
              <a:fgClr>
                <a:schemeClr val="accent6"/>
              </a:fgClr>
              <a:bgClr>
                <a:schemeClr val="bg1"/>
              </a:bgClr>
            </a:pattFill>
            <a:ln>
              <a:noFill/>
            </a:ln>
            <a:effectLst/>
          </c:spPr>
          <c:invertIfNegative val="0"/>
          <c:dLbls>
            <c:spPr>
              <a:noFill/>
              <a:ln>
                <a:noFill/>
              </a:ln>
              <a:effectLst/>
            </c:spPr>
            <c:txPr>
              <a:bodyPr rot="-5400000" spcFirstLastPara="1" vertOverflow="clip" horzOverflow="clip" vert="horz" wrap="square" lIns="38100" tIns="19050" rIns="38100" bIns="19050" anchor="ctr" anchorCtr="0">
                <a:spAutoFit/>
              </a:bodyPr>
              <a:lstStyle/>
              <a:p>
                <a:pPr algn="ctr">
                  <a:defRPr lang="en-US" sz="32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'query-mix-per-hour'!$B$19</c:f>
              <c:strCache>
                <c:ptCount val="1"/>
                <c:pt idx="0">
                  <c:v>SWDF - FF</c:v>
                </c:pt>
              </c:strCache>
            </c:strRef>
          </c:cat>
          <c:val>
            <c:numRef>
              <c:f>'query-mix-per-hour'!$H$19</c:f>
              <c:numCache>
                <c:formatCode>0.00</c:formatCode>
                <c:ptCount val="1"/>
                <c:pt idx="0">
                  <c:v>0.81935554500003072</c:v>
                </c:pt>
              </c:numCache>
            </c:numRef>
          </c:val>
        </c:ser>
        <c:ser>
          <c:idx val="6"/>
          <c:order val="6"/>
          <c:tx>
            <c:strRef>
              <c:f>'query-mix-per-hour'!$I$17</c:f>
              <c:strCache>
                <c:ptCount val="1"/>
                <c:pt idx="0">
                  <c:v>RB</c:v>
                </c:pt>
              </c:strCache>
            </c:strRef>
          </c:tx>
          <c:spPr>
            <a:pattFill prst="pct50">
              <a:fgClr>
                <a:schemeClr val="accent5">
                  <a:lumMod val="75000"/>
                </a:schemeClr>
              </a:fgClr>
              <a:bgClr>
                <a:schemeClr val="bg1"/>
              </a:bgClr>
            </a:pattFill>
            <a:ln>
              <a:noFill/>
            </a:ln>
            <a:effectLst/>
          </c:spPr>
          <c:invertIfNegative val="0"/>
          <c:dLbls>
            <c:spPr>
              <a:noFill/>
              <a:ln>
                <a:noFill/>
              </a:ln>
              <a:effectLst/>
            </c:spPr>
            <c:txPr>
              <a:bodyPr rot="-5400000" spcFirstLastPara="1" vertOverflow="clip" horzOverflow="clip" vert="horz" wrap="square" lIns="38100" tIns="19050" rIns="38100" bIns="19050" anchor="ctr" anchorCtr="0">
                <a:spAutoFit/>
              </a:bodyPr>
              <a:lstStyle/>
              <a:p>
                <a:pPr algn="ctr">
                  <a:defRPr lang="en-US" sz="32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'query-mix-per-hour'!$B$19</c:f>
              <c:strCache>
                <c:ptCount val="1"/>
                <c:pt idx="0">
                  <c:v>SWDF - FF</c:v>
                </c:pt>
              </c:strCache>
            </c:strRef>
          </c:cat>
          <c:val>
            <c:numRef>
              <c:f>'query-mix-per-hour'!$I$19</c:f>
              <c:numCache>
                <c:formatCode>0.00</c:formatCode>
                <c:ptCount val="1"/>
                <c:pt idx="0">
                  <c:v>0.84990952004901144</c:v>
                </c:pt>
              </c:numCache>
            </c:numRef>
          </c:val>
        </c:ser>
        <c:ser>
          <c:idx val="7"/>
          <c:order val="7"/>
          <c:tx>
            <c:strRef>
              <c:f>'query-mix-per-hour'!$J$17</c:f>
              <c:strCache>
                <c:ptCount val="1"/>
                <c:pt idx="0">
                  <c:v>MCL</c:v>
                </c:pt>
              </c:strCache>
            </c:strRef>
          </c:tx>
          <c:spPr>
            <a:pattFill prst="pct70">
              <a:fgClr>
                <a:schemeClr val="accent2">
                  <a:lumMod val="50000"/>
                </a:schemeClr>
              </a:fgClr>
              <a:bgClr>
                <a:schemeClr val="bg1"/>
              </a:bgClr>
            </a:pattFill>
            <a:ln>
              <a:noFill/>
            </a:ln>
            <a:effectLst/>
          </c:spPr>
          <c:invertIfNegative val="0"/>
          <c:dLbls>
            <c:spPr>
              <a:noFill/>
              <a:ln>
                <a:noFill/>
              </a:ln>
              <a:effectLst/>
            </c:spPr>
            <c:txPr>
              <a:bodyPr rot="-5400000" spcFirstLastPara="1" vertOverflow="clip" horzOverflow="clip" vert="horz" wrap="square" lIns="38100" tIns="19050" rIns="38100" bIns="19050" anchor="ctr" anchorCtr="0">
                <a:spAutoFit/>
              </a:bodyPr>
              <a:lstStyle/>
              <a:p>
                <a:pPr algn="ctr">
                  <a:defRPr lang="en-US" sz="32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'query-mix-per-hour'!$B$19</c:f>
              <c:strCache>
                <c:ptCount val="1"/>
                <c:pt idx="0">
                  <c:v>SWDF - FF</c:v>
                </c:pt>
              </c:strCache>
            </c:strRef>
          </c:cat>
          <c:val>
            <c:numRef>
              <c:f>'query-mix-per-hour'!$J$19</c:f>
              <c:numCache>
                <c:formatCode>0.00</c:formatCode>
                <c:ptCount val="1"/>
                <c:pt idx="0">
                  <c:v>1.4870324573748341</c:v>
                </c:pt>
              </c:numCache>
            </c:numRef>
          </c:val>
        </c:ser>
        <c:ser>
          <c:idx val="8"/>
          <c:order val="8"/>
          <c:tx>
            <c:strRef>
              <c:f>'query-mix-per-hour'!$K$17</c:f>
              <c:strCache>
                <c:ptCount val="1"/>
                <c:pt idx="0">
                  <c:v>PCo</c:v>
                </c:pt>
              </c:strCache>
            </c:strRef>
          </c:tx>
          <c:spPr>
            <a:pattFill prst="lgCheck">
              <a:fgClr>
                <a:schemeClr val="accent4">
                  <a:lumMod val="50000"/>
                </a:schemeClr>
              </a:fgClr>
              <a:bgClr>
                <a:schemeClr val="bg1"/>
              </a:bgClr>
            </a:pattFill>
            <a:ln>
              <a:noFill/>
            </a:ln>
            <a:effectLst/>
          </c:spPr>
          <c:invertIfNegative val="0"/>
          <c:dLbls>
            <c:spPr>
              <a:noFill/>
              <a:ln>
                <a:noFill/>
              </a:ln>
              <a:effectLst/>
            </c:spPr>
            <c:txPr>
              <a:bodyPr rot="-5400000" spcFirstLastPara="1" vertOverflow="clip" horzOverflow="clip" vert="horz" wrap="square" lIns="38100" tIns="19050" rIns="38100" bIns="19050" anchor="ctr" anchorCtr="0">
                <a:spAutoFit/>
              </a:bodyPr>
              <a:lstStyle/>
              <a:p>
                <a:pPr algn="ctr">
                  <a:defRPr lang="en-US" sz="32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'query-mix-per-hour'!$B$19</c:f>
              <c:strCache>
                <c:ptCount val="1"/>
                <c:pt idx="0">
                  <c:v>SWDF - FF</c:v>
                </c:pt>
              </c:strCache>
            </c:strRef>
          </c:cat>
          <c:val>
            <c:numRef>
              <c:f>'query-mix-per-hour'!$K$19</c:f>
              <c:numCache>
                <c:formatCode>0.00</c:formatCode>
                <c:ptCount val="1"/>
                <c:pt idx="0">
                  <c:v>7.3202125301704593</c:v>
                </c:pt>
              </c:numCache>
            </c:numRef>
          </c:val>
        </c:ser>
        <c:ser>
          <c:idx val="9"/>
          <c:order val="9"/>
          <c:tx>
            <c:strRef>
              <c:f>'query-mix-per-hour'!$L$17</c:f>
              <c:strCache>
                <c:ptCount val="1"/>
                <c:pt idx="0">
                  <c:v>PT</c:v>
                </c:pt>
              </c:strCache>
            </c:strRef>
          </c:tx>
          <c:spPr>
            <a:solidFill>
              <a:schemeClr val="accent4">
                <a:lumMod val="60000"/>
              </a:schemeClr>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'query-mix-per-hour'!$B$19</c:f>
              <c:strCache>
                <c:ptCount val="1"/>
                <c:pt idx="0">
                  <c:v>SWDF - FF</c:v>
                </c:pt>
              </c:strCache>
            </c:strRef>
          </c:cat>
          <c:val>
            <c:numRef>
              <c:f>'query-mix-per-hour'!$L$19</c:f>
              <c:numCache>
                <c:formatCode>0.00</c:formatCode>
                <c:ptCount val="1"/>
                <c:pt idx="0">
                  <c:v>10.252029047415634</c:v>
                </c:pt>
              </c:numCache>
            </c:numRef>
          </c:val>
        </c:ser>
        <c:dLbls>
          <c:dLblPos val="outEnd"/>
          <c:showLegendKey val="0"/>
          <c:showVal val="1"/>
          <c:showCatName val="0"/>
          <c:showSerName val="0"/>
          <c:showPercent val="0"/>
          <c:showBubbleSize val="0"/>
        </c:dLbls>
        <c:gapWidth val="20"/>
        <c:overlap val="-20"/>
        <c:axId val="1249073248"/>
        <c:axId val="1249080320"/>
      </c:barChart>
      <c:catAx>
        <c:axId val="124907324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4000" b="1" i="0" u="none" strike="noStrike" kern="1200" cap="all" spc="120" normalizeH="0" baseline="0">
                <a:solidFill>
                  <a:sysClr val="windowText" lastClr="000000"/>
                </a:solidFill>
                <a:latin typeface="+mn-lt"/>
                <a:ea typeface="+mn-ea"/>
                <a:cs typeface="+mn-cs"/>
              </a:defRPr>
            </a:pPr>
            <a:endParaRPr lang="en-US"/>
          </a:p>
        </c:txPr>
        <c:crossAx val="1249080320"/>
        <c:crosses val="autoZero"/>
        <c:auto val="1"/>
        <c:lblAlgn val="ctr"/>
        <c:lblOffset val="100"/>
        <c:noMultiLvlLbl val="0"/>
      </c:catAx>
      <c:valAx>
        <c:axId val="1249080320"/>
        <c:scaling>
          <c:orientation val="minMax"/>
        </c:scaling>
        <c:delete val="1"/>
        <c:axPos val="l"/>
        <c:numFmt formatCode="0.00" sourceLinked="1"/>
        <c:majorTickMark val="none"/>
        <c:minorTickMark val="none"/>
        <c:tickLblPos val="nextTo"/>
        <c:crossAx val="1249073248"/>
        <c:crosses val="autoZero"/>
        <c:crossBetween val="between"/>
      </c:valAx>
      <c:spPr>
        <a:noFill/>
        <a:ln w="25400">
          <a:noFill/>
        </a:ln>
        <a:effectLst/>
      </c:spPr>
    </c:plotArea>
    <c:legend>
      <c:legendPos val="t"/>
      <c:layout>
        <c:manualLayout>
          <c:xMode val="edge"/>
          <c:yMode val="edge"/>
          <c:x val="0"/>
          <c:y val="0.88909200933216681"/>
          <c:w val="0.58039242805720537"/>
          <c:h val="0.11090827701411711"/>
        </c:manualLayout>
      </c:layout>
      <c:overlay val="0"/>
      <c:spPr>
        <a:noFill/>
        <a:ln>
          <a:noFill/>
        </a:ln>
        <a:effectLst/>
      </c:spPr>
      <c:txPr>
        <a:bodyPr rot="0" spcFirstLastPara="1" vertOverflow="ellipsis" vert="horz" wrap="square" anchor="ctr" anchorCtr="1"/>
        <a:lstStyle/>
        <a:p>
          <a:pPr>
            <a:defRPr sz="4000" b="1"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2.1227034120734899E-4"/>
          <c:y val="0.10327719451735201"/>
          <c:w val="0.99975656167978988"/>
          <c:h val="0.63638363954505683"/>
        </c:manualLayout>
      </c:layout>
      <c:barChart>
        <c:barDir val="col"/>
        <c:grouping val="clustered"/>
        <c:varyColors val="0"/>
        <c:ser>
          <c:idx val="0"/>
          <c:order val="0"/>
          <c:tx>
            <c:strRef>
              <c:f>'query-per-second'!$C$4</c:f>
              <c:strCache>
                <c:ptCount val="1"/>
                <c:pt idx="0">
                  <c:v>PB</c:v>
                </c:pt>
              </c:strCache>
            </c:strRef>
          </c:tx>
          <c:spPr>
            <a:pattFill prst="pct75">
              <a:fgClr>
                <a:schemeClr val="accent6">
                  <a:lumMod val="50000"/>
                </a:schemeClr>
              </a:fgClr>
              <a:bgClr>
                <a:schemeClr val="bg1"/>
              </a:bgClr>
            </a:pattFill>
            <a:ln>
              <a:noFill/>
            </a:ln>
            <a:effectLst/>
          </c:spPr>
          <c:invertIfNegative val="0"/>
          <c:dLbls>
            <c:spPr>
              <a:noFill/>
              <a:ln>
                <a:noFill/>
              </a:ln>
              <a:effectLst/>
            </c:spPr>
            <c:txPr>
              <a:bodyPr rot="-5400000" spcFirstLastPara="1" vertOverflow="clip" horzOverflow="clip" vert="horz" wrap="square" lIns="38100" tIns="19050" rIns="38100" bIns="19050" anchor="ctr" anchorCtr="0">
                <a:spAutoFit/>
              </a:bodyPr>
              <a:lstStyle/>
              <a:p>
                <a:pPr algn="ctr">
                  <a:defRPr lang="en-US" sz="32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'query-per-second'!$B$5</c:f>
              <c:strCache>
                <c:ptCount val="1"/>
                <c:pt idx="0">
                  <c:v>SWDF - BGP</c:v>
                </c:pt>
              </c:strCache>
            </c:strRef>
          </c:cat>
          <c:val>
            <c:numRef>
              <c:f>'query-per-second'!$C$5</c:f>
              <c:numCache>
                <c:formatCode>0.00</c:formatCode>
                <c:ptCount val="1"/>
                <c:pt idx="0">
                  <c:v>26.389866291344124</c:v>
                </c:pt>
              </c:numCache>
            </c:numRef>
          </c:val>
        </c:ser>
        <c:ser>
          <c:idx val="1"/>
          <c:order val="1"/>
          <c:tx>
            <c:strRef>
              <c:f>'query-per-second'!$D$4</c:f>
              <c:strCache>
                <c:ptCount val="1"/>
                <c:pt idx="0">
                  <c:v>SB</c:v>
                </c:pt>
              </c:strCache>
            </c:strRef>
          </c:tx>
          <c:spPr>
            <a:pattFill prst="pct80">
              <a:fgClr>
                <a:schemeClr val="accent2"/>
              </a:fgClr>
              <a:bgClr>
                <a:schemeClr val="bg1"/>
              </a:bgClr>
            </a:pattFill>
            <a:ln>
              <a:noFill/>
            </a:ln>
            <a:effectLst/>
          </c:spPr>
          <c:invertIfNegative val="0"/>
          <c:dLbls>
            <c:spPr>
              <a:noFill/>
              <a:ln>
                <a:noFill/>
              </a:ln>
              <a:effectLst/>
            </c:spPr>
            <c:txPr>
              <a:bodyPr rot="-5400000" spcFirstLastPara="1" vertOverflow="clip" horzOverflow="clip" vert="horz" wrap="square" lIns="38100" tIns="19050" rIns="38100" bIns="19050" anchor="ctr" anchorCtr="0">
                <a:spAutoFit/>
              </a:bodyPr>
              <a:lstStyle/>
              <a:p>
                <a:pPr algn="ctr">
                  <a:defRPr lang="en-US" sz="32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'query-per-second'!$B$5</c:f>
              <c:strCache>
                <c:ptCount val="1"/>
                <c:pt idx="0">
                  <c:v>SWDF - BGP</c:v>
                </c:pt>
              </c:strCache>
            </c:strRef>
          </c:cat>
          <c:val>
            <c:numRef>
              <c:f>'query-per-second'!$D$5</c:f>
              <c:numCache>
                <c:formatCode>0.00</c:formatCode>
                <c:ptCount val="1"/>
                <c:pt idx="0">
                  <c:v>14.951407924246201</c:v>
                </c:pt>
              </c:numCache>
            </c:numRef>
          </c:val>
        </c:ser>
        <c:ser>
          <c:idx val="2"/>
          <c:order val="2"/>
          <c:tx>
            <c:strRef>
              <c:f>'query-per-second'!$E$4</c:f>
              <c:strCache>
                <c:ptCount val="1"/>
                <c:pt idx="0">
                  <c:v>Hi</c:v>
                </c:pt>
              </c:strCache>
            </c:strRef>
          </c:tx>
          <c:spPr>
            <a:pattFill prst="pct90">
              <a:fgClr>
                <a:schemeClr val="accent3"/>
              </a:fgClr>
              <a:bgClr>
                <a:schemeClr val="bg1"/>
              </a:bgClr>
            </a:pattFill>
            <a:ln>
              <a:noFill/>
            </a:ln>
            <a:effectLst/>
          </c:spPr>
          <c:invertIfNegative val="0"/>
          <c:dLbls>
            <c:spPr>
              <a:noFill/>
              <a:ln>
                <a:noFill/>
              </a:ln>
              <a:effectLst/>
            </c:spPr>
            <c:txPr>
              <a:bodyPr rot="-5400000" spcFirstLastPara="1" vertOverflow="clip" horzOverflow="clip" vert="horz" wrap="square" lIns="38100" tIns="19050" rIns="38100" bIns="19050" anchor="ctr" anchorCtr="0">
                <a:spAutoFit/>
              </a:bodyPr>
              <a:lstStyle/>
              <a:p>
                <a:pPr algn="ctr">
                  <a:defRPr lang="en-US" sz="32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'query-per-second'!$B$5</c:f>
              <c:strCache>
                <c:ptCount val="1"/>
                <c:pt idx="0">
                  <c:v>SWDF - BGP</c:v>
                </c:pt>
              </c:strCache>
            </c:strRef>
          </c:cat>
          <c:val>
            <c:numRef>
              <c:f>'query-per-second'!$E$5</c:f>
              <c:numCache>
                <c:formatCode>0.00</c:formatCode>
                <c:ptCount val="1"/>
                <c:pt idx="0">
                  <c:v>14.407145944388416</c:v>
                </c:pt>
              </c:numCache>
            </c:numRef>
          </c:val>
        </c:ser>
        <c:ser>
          <c:idx val="3"/>
          <c:order val="3"/>
          <c:tx>
            <c:strRef>
              <c:f>'query-per-second'!$F$4</c:f>
              <c:strCache>
                <c:ptCount val="1"/>
                <c:pt idx="0">
                  <c:v>Ho</c:v>
                </c:pt>
              </c:strCache>
            </c:strRef>
          </c:tx>
          <c:spPr>
            <a:pattFill prst="dkDnDiag">
              <a:fgClr>
                <a:schemeClr val="accent4"/>
              </a:fgClr>
              <a:bgClr>
                <a:schemeClr val="bg1"/>
              </a:bgClr>
            </a:pattFill>
            <a:ln>
              <a:noFill/>
            </a:ln>
            <a:effectLst/>
          </c:spPr>
          <c:invertIfNegative val="0"/>
          <c:dLbls>
            <c:spPr>
              <a:noFill/>
              <a:ln>
                <a:noFill/>
              </a:ln>
              <a:effectLst/>
            </c:spPr>
            <c:txPr>
              <a:bodyPr rot="-5400000" spcFirstLastPara="1" vertOverflow="clip" horzOverflow="clip" vert="horz" wrap="square" lIns="38100" tIns="19050" rIns="38100" bIns="19050" anchor="ctr" anchorCtr="0">
                <a:spAutoFit/>
              </a:bodyPr>
              <a:lstStyle/>
              <a:p>
                <a:pPr algn="ctr">
                  <a:defRPr lang="en-US" sz="32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'query-per-second'!$B$5</c:f>
              <c:strCache>
                <c:ptCount val="1"/>
                <c:pt idx="0">
                  <c:v>SWDF - BGP</c:v>
                </c:pt>
              </c:strCache>
            </c:strRef>
          </c:cat>
          <c:val>
            <c:numRef>
              <c:f>'query-per-second'!$F$5</c:f>
              <c:numCache>
                <c:formatCode>0.00</c:formatCode>
                <c:ptCount val="1"/>
                <c:pt idx="0">
                  <c:v>17.514157277132352</c:v>
                </c:pt>
              </c:numCache>
            </c:numRef>
          </c:val>
        </c:ser>
        <c:ser>
          <c:idx val="4"/>
          <c:order val="4"/>
          <c:tx>
            <c:strRef>
              <c:f>'query-per-second'!$G$4</c:f>
              <c:strCache>
                <c:ptCount val="1"/>
                <c:pt idx="0">
                  <c:v>TC</c:v>
                </c:pt>
              </c:strCache>
            </c:strRef>
          </c:tx>
          <c:spPr>
            <a:pattFill prst="dkUpDiag">
              <a:fgClr>
                <a:schemeClr val="accent5"/>
              </a:fgClr>
              <a:bgClr>
                <a:schemeClr val="bg1"/>
              </a:bgClr>
            </a:pattFill>
            <a:ln>
              <a:noFill/>
            </a:ln>
            <a:effectLst/>
          </c:spPr>
          <c:invertIfNegative val="0"/>
          <c:dLbls>
            <c:spPr>
              <a:noFill/>
              <a:ln>
                <a:noFill/>
              </a:ln>
              <a:effectLst/>
            </c:spPr>
            <c:txPr>
              <a:bodyPr rot="-5400000" spcFirstLastPara="1" vertOverflow="clip" horzOverflow="clip" vert="horz" wrap="square" lIns="38100" tIns="19050" rIns="38100" bIns="19050" anchor="ctr" anchorCtr="0">
                <a:spAutoFit/>
              </a:bodyPr>
              <a:lstStyle/>
              <a:p>
                <a:pPr algn="ctr">
                  <a:defRPr lang="en-US" sz="32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'query-per-second'!$B$5</c:f>
              <c:strCache>
                <c:ptCount val="1"/>
                <c:pt idx="0">
                  <c:v>SWDF - BGP</c:v>
                </c:pt>
              </c:strCache>
            </c:strRef>
          </c:cat>
          <c:val>
            <c:numRef>
              <c:f>'query-per-second'!$G$5</c:f>
              <c:numCache>
                <c:formatCode>0.00</c:formatCode>
                <c:ptCount val="1"/>
                <c:pt idx="0">
                  <c:v>14.958863126402393</c:v>
                </c:pt>
              </c:numCache>
            </c:numRef>
          </c:val>
        </c:ser>
        <c:ser>
          <c:idx val="5"/>
          <c:order val="5"/>
          <c:tx>
            <c:strRef>
              <c:f>'query-per-second'!$H$4</c:f>
              <c:strCache>
                <c:ptCount val="1"/>
                <c:pt idx="0">
                  <c:v>ME</c:v>
                </c:pt>
              </c:strCache>
            </c:strRef>
          </c:tx>
          <c:spPr>
            <a:pattFill prst="trellis">
              <a:fgClr>
                <a:schemeClr val="accent6"/>
              </a:fgClr>
              <a:bgClr>
                <a:schemeClr val="bg1"/>
              </a:bgClr>
            </a:pattFill>
            <a:ln>
              <a:noFill/>
            </a:ln>
            <a:effectLst/>
          </c:spPr>
          <c:invertIfNegative val="0"/>
          <c:dLbls>
            <c:spPr>
              <a:noFill/>
              <a:ln>
                <a:noFill/>
              </a:ln>
              <a:effectLst/>
            </c:spPr>
            <c:txPr>
              <a:bodyPr rot="-5400000" spcFirstLastPara="1" vertOverflow="clip" horzOverflow="clip" vert="horz" wrap="square" lIns="38100" tIns="19050" rIns="38100" bIns="19050" anchor="ctr" anchorCtr="0">
                <a:spAutoFit/>
              </a:bodyPr>
              <a:lstStyle/>
              <a:p>
                <a:pPr algn="ctr">
                  <a:defRPr lang="en-US" sz="32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'query-per-second'!$B$5</c:f>
              <c:strCache>
                <c:ptCount val="1"/>
                <c:pt idx="0">
                  <c:v>SWDF - BGP</c:v>
                </c:pt>
              </c:strCache>
            </c:strRef>
          </c:cat>
          <c:val>
            <c:numRef>
              <c:f>'query-per-second'!$H$5</c:f>
              <c:numCache>
                <c:formatCode>0.00</c:formatCode>
                <c:ptCount val="1"/>
                <c:pt idx="0">
                  <c:v>14.696516925488659</c:v>
                </c:pt>
              </c:numCache>
            </c:numRef>
          </c:val>
        </c:ser>
        <c:ser>
          <c:idx val="6"/>
          <c:order val="6"/>
          <c:tx>
            <c:strRef>
              <c:f>'query-per-second'!$I$4</c:f>
              <c:strCache>
                <c:ptCount val="1"/>
                <c:pt idx="0">
                  <c:v>RB</c:v>
                </c:pt>
              </c:strCache>
            </c:strRef>
          </c:tx>
          <c:spPr>
            <a:pattFill prst="pct50">
              <a:fgClr>
                <a:schemeClr val="accent5">
                  <a:lumMod val="75000"/>
                </a:schemeClr>
              </a:fgClr>
              <a:bgClr>
                <a:schemeClr val="bg1"/>
              </a:bgClr>
            </a:pattFill>
            <a:ln>
              <a:noFill/>
            </a:ln>
            <a:effectLst/>
          </c:spPr>
          <c:invertIfNegative val="0"/>
          <c:dLbls>
            <c:spPr>
              <a:noFill/>
              <a:ln>
                <a:noFill/>
              </a:ln>
              <a:effectLst/>
            </c:spPr>
            <c:txPr>
              <a:bodyPr rot="-5400000" spcFirstLastPara="1" vertOverflow="clip" horzOverflow="clip" vert="horz" wrap="square" lIns="38100" tIns="19050" rIns="38100" bIns="19050" anchor="ctr" anchorCtr="0">
                <a:spAutoFit/>
              </a:bodyPr>
              <a:lstStyle/>
              <a:p>
                <a:pPr algn="ctr">
                  <a:defRPr lang="en-US" sz="32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'query-per-second'!$B$5</c:f>
              <c:strCache>
                <c:ptCount val="1"/>
                <c:pt idx="0">
                  <c:v>SWDF - BGP</c:v>
                </c:pt>
              </c:strCache>
            </c:strRef>
          </c:cat>
          <c:val>
            <c:numRef>
              <c:f>'query-per-second'!$I$5</c:f>
              <c:numCache>
                <c:formatCode>0.00</c:formatCode>
                <c:ptCount val="1"/>
                <c:pt idx="0">
                  <c:v>14.90090895544628</c:v>
                </c:pt>
              </c:numCache>
            </c:numRef>
          </c:val>
        </c:ser>
        <c:ser>
          <c:idx val="7"/>
          <c:order val="7"/>
          <c:tx>
            <c:strRef>
              <c:f>'query-per-second'!$J$4</c:f>
              <c:strCache>
                <c:ptCount val="1"/>
                <c:pt idx="0">
                  <c:v>PCM</c:v>
                </c:pt>
              </c:strCache>
            </c:strRef>
          </c:tx>
          <c:spPr>
            <a:pattFill prst="pct70">
              <a:fgClr>
                <a:schemeClr val="accent2">
                  <a:lumMod val="50000"/>
                </a:schemeClr>
              </a:fgClr>
              <a:bgClr>
                <a:schemeClr val="bg1"/>
              </a:bgClr>
            </a:pattFill>
            <a:ln>
              <a:noFill/>
            </a:ln>
            <a:effectLst/>
          </c:spPr>
          <c:invertIfNegative val="0"/>
          <c:dLbls>
            <c:spPr>
              <a:noFill/>
              <a:ln>
                <a:noFill/>
              </a:ln>
              <a:effectLst/>
            </c:spPr>
            <c:txPr>
              <a:bodyPr rot="-5400000" spcFirstLastPara="1" vertOverflow="clip" horzOverflow="clip" vert="horz" wrap="square" lIns="38100" tIns="19050" rIns="38100" bIns="19050" anchor="ctr" anchorCtr="0">
                <a:spAutoFit/>
              </a:bodyPr>
              <a:lstStyle/>
              <a:p>
                <a:pPr algn="ctr">
                  <a:defRPr lang="en-US" sz="32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'query-per-second'!$B$5</c:f>
              <c:strCache>
                <c:ptCount val="1"/>
                <c:pt idx="0">
                  <c:v>SWDF - BGP</c:v>
                </c:pt>
              </c:strCache>
            </c:strRef>
          </c:cat>
          <c:val>
            <c:numRef>
              <c:f>'query-per-second'!$J$5</c:f>
              <c:numCache>
                <c:formatCode>0.00</c:formatCode>
                <c:ptCount val="1"/>
                <c:pt idx="0">
                  <c:v>18.804061677322302</c:v>
                </c:pt>
              </c:numCache>
            </c:numRef>
          </c:val>
        </c:ser>
        <c:ser>
          <c:idx val="8"/>
          <c:order val="8"/>
          <c:tx>
            <c:strRef>
              <c:f>'query-per-second'!$K$4</c:f>
              <c:strCache>
                <c:ptCount val="1"/>
                <c:pt idx="0">
                  <c:v>PCG</c:v>
                </c:pt>
              </c:strCache>
            </c:strRef>
          </c:tx>
          <c:spPr>
            <a:pattFill prst="lgCheck">
              <a:fgClr>
                <a:schemeClr val="accent4">
                  <a:lumMod val="50000"/>
                </a:schemeClr>
              </a:fgClr>
              <a:bgClr>
                <a:schemeClr val="bg1"/>
              </a:bgClr>
            </a:pattFill>
            <a:ln>
              <a:noFill/>
            </a:ln>
            <a:effectLst/>
          </c:spPr>
          <c:invertIfNegative val="0"/>
          <c:dLbls>
            <c:spPr>
              <a:noFill/>
              <a:ln>
                <a:noFill/>
              </a:ln>
              <a:effectLst/>
            </c:spPr>
            <c:txPr>
              <a:bodyPr rot="-5400000" spcFirstLastPara="1" vertOverflow="clip" horzOverflow="clip" vert="horz" wrap="square" lIns="38100" tIns="19050" rIns="38100" bIns="19050" anchor="ctr" anchorCtr="0">
                <a:spAutoFit/>
              </a:bodyPr>
              <a:lstStyle/>
              <a:p>
                <a:pPr algn="ctr">
                  <a:defRPr lang="en-US" sz="32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'query-per-second'!$B$5</c:f>
              <c:strCache>
                <c:ptCount val="1"/>
                <c:pt idx="0">
                  <c:v>SWDF - BGP</c:v>
                </c:pt>
              </c:strCache>
            </c:strRef>
          </c:cat>
          <c:val>
            <c:numRef>
              <c:f>'query-per-second'!$K$5</c:f>
              <c:numCache>
                <c:formatCode>0.00</c:formatCode>
                <c:ptCount val="1"/>
                <c:pt idx="0">
                  <c:v>95.602294455066925</c:v>
                </c:pt>
              </c:numCache>
            </c:numRef>
          </c:val>
        </c:ser>
        <c:ser>
          <c:idx val="9"/>
          <c:order val="9"/>
          <c:tx>
            <c:strRef>
              <c:f>'query-per-second'!$L$4</c:f>
              <c:strCache>
                <c:ptCount val="1"/>
                <c:pt idx="0">
                  <c:v>PT</c:v>
                </c:pt>
              </c:strCache>
            </c:strRef>
          </c:tx>
          <c:spPr>
            <a:solidFill>
              <a:schemeClr val="accent4">
                <a:lumMod val="60000"/>
              </a:schemeClr>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'query-per-second'!$B$5</c:f>
              <c:strCache>
                <c:ptCount val="1"/>
                <c:pt idx="0">
                  <c:v>SWDF - BGP</c:v>
                </c:pt>
              </c:strCache>
            </c:strRef>
          </c:cat>
          <c:val>
            <c:numRef>
              <c:f>'query-per-second'!$L$5</c:f>
              <c:numCache>
                <c:formatCode>0.00</c:formatCode>
                <c:ptCount val="1"/>
                <c:pt idx="0">
                  <c:v>125.52301255230125</c:v>
                </c:pt>
              </c:numCache>
            </c:numRef>
          </c:val>
        </c:ser>
        <c:dLbls>
          <c:dLblPos val="outEnd"/>
          <c:showLegendKey val="0"/>
          <c:showVal val="1"/>
          <c:showCatName val="0"/>
          <c:showSerName val="0"/>
          <c:showPercent val="0"/>
          <c:showBubbleSize val="0"/>
        </c:dLbls>
        <c:gapWidth val="20"/>
        <c:overlap val="-20"/>
        <c:axId val="1249076512"/>
        <c:axId val="1249077600"/>
      </c:barChart>
      <c:catAx>
        <c:axId val="124907651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4000" b="1" i="0" u="none" strike="noStrike" kern="1200" cap="all" spc="120" normalizeH="0" baseline="0">
                <a:solidFill>
                  <a:sysClr val="windowText" lastClr="000000"/>
                </a:solidFill>
                <a:latin typeface="+mn-lt"/>
                <a:ea typeface="+mn-ea"/>
                <a:cs typeface="+mn-cs"/>
              </a:defRPr>
            </a:pPr>
            <a:endParaRPr lang="en-US"/>
          </a:p>
        </c:txPr>
        <c:crossAx val="1249077600"/>
        <c:crosses val="autoZero"/>
        <c:auto val="1"/>
        <c:lblAlgn val="ctr"/>
        <c:lblOffset val="100"/>
        <c:noMultiLvlLbl val="0"/>
      </c:catAx>
      <c:valAx>
        <c:axId val="1249077600"/>
        <c:scaling>
          <c:orientation val="minMax"/>
        </c:scaling>
        <c:delete val="1"/>
        <c:axPos val="l"/>
        <c:numFmt formatCode="0.00" sourceLinked="1"/>
        <c:majorTickMark val="none"/>
        <c:minorTickMark val="none"/>
        <c:tickLblPos val="nextTo"/>
        <c:crossAx val="1249076512"/>
        <c:crosses val="autoZero"/>
        <c:crossBetween val="between"/>
      </c:valAx>
      <c:spPr>
        <a:noFill/>
        <a:ln w="25400">
          <a:noFill/>
        </a:ln>
        <a:effectLst/>
      </c:spPr>
    </c:plotArea>
    <c:legend>
      <c:legendPos val="t"/>
      <c:layout>
        <c:manualLayout>
          <c:xMode val="edge"/>
          <c:yMode val="edge"/>
          <c:x val="0"/>
          <c:y val="0.88909200933216681"/>
          <c:w val="0.53163554920938616"/>
          <c:h val="0.11090819812154835"/>
        </c:manualLayout>
      </c:layout>
      <c:overlay val="0"/>
      <c:spPr>
        <a:noFill/>
        <a:ln>
          <a:noFill/>
        </a:ln>
        <a:effectLst/>
      </c:spPr>
      <c:txPr>
        <a:bodyPr rot="0" spcFirstLastPara="1" vertOverflow="ellipsis" vert="horz" wrap="square" anchor="ctr" anchorCtr="1"/>
        <a:lstStyle/>
        <a:p>
          <a:pPr>
            <a:defRPr sz="4000" b="1"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2.1227034120734899E-4"/>
          <c:y val="0.10327719451735201"/>
          <c:w val="0.99975656167978988"/>
          <c:h val="0.63638363954505683"/>
        </c:manualLayout>
      </c:layout>
      <c:barChart>
        <c:barDir val="col"/>
        <c:grouping val="clustered"/>
        <c:varyColors val="0"/>
        <c:ser>
          <c:idx val="0"/>
          <c:order val="0"/>
          <c:tx>
            <c:strRef>
              <c:f>'query-per-second'!$C$8</c:f>
              <c:strCache>
                <c:ptCount val="1"/>
                <c:pt idx="0">
                  <c:v>PB</c:v>
                </c:pt>
              </c:strCache>
            </c:strRef>
          </c:tx>
          <c:spPr>
            <a:pattFill prst="pct75">
              <a:fgClr>
                <a:schemeClr val="accent6">
                  <a:lumMod val="50000"/>
                </a:schemeClr>
              </a:fgClr>
              <a:bgClr>
                <a:schemeClr val="bg1"/>
              </a:bgClr>
            </a:pattFill>
            <a:ln>
              <a:noFill/>
            </a:ln>
            <a:effectLst/>
          </c:spPr>
          <c:invertIfNegative val="0"/>
          <c:dLbls>
            <c:spPr>
              <a:noFill/>
              <a:ln>
                <a:noFill/>
              </a:ln>
              <a:effectLst/>
            </c:spPr>
            <c:txPr>
              <a:bodyPr rot="-5400000" spcFirstLastPara="1" vertOverflow="clip" horzOverflow="clip" vert="horz" wrap="square" lIns="38100" tIns="19050" rIns="38100" bIns="19050" anchor="ctr" anchorCtr="0">
                <a:spAutoFit/>
              </a:bodyPr>
              <a:lstStyle/>
              <a:p>
                <a:pPr algn="ctr">
                  <a:defRPr lang="en-US" sz="32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'query-per-second'!$B$9:$B$10</c:f>
              <c:strCache>
                <c:ptCount val="2"/>
                <c:pt idx="0">
                  <c:v>Dbpedia - BGP</c:v>
                </c:pt>
                <c:pt idx="1">
                  <c:v>DBpedia - FF</c:v>
                </c:pt>
              </c:strCache>
            </c:strRef>
          </c:cat>
          <c:val>
            <c:numRef>
              <c:f>'query-per-second'!$C$9:$C$10</c:f>
              <c:numCache>
                <c:formatCode>0.00000</c:formatCode>
                <c:ptCount val="2"/>
                <c:pt idx="0" formatCode="0.000">
                  <c:v>2.5045936334398649E-2</c:v>
                </c:pt>
                <c:pt idx="1">
                  <c:v>2.0821748343907542E-2</c:v>
                </c:pt>
              </c:numCache>
            </c:numRef>
          </c:val>
        </c:ser>
        <c:ser>
          <c:idx val="1"/>
          <c:order val="1"/>
          <c:tx>
            <c:strRef>
              <c:f>'query-per-second'!$D$8</c:f>
              <c:strCache>
                <c:ptCount val="1"/>
                <c:pt idx="0">
                  <c:v>SB</c:v>
                </c:pt>
              </c:strCache>
            </c:strRef>
          </c:tx>
          <c:spPr>
            <a:pattFill prst="pct80">
              <a:fgClr>
                <a:schemeClr val="accent2"/>
              </a:fgClr>
              <a:bgClr>
                <a:schemeClr val="bg1"/>
              </a:bgClr>
            </a:pattFill>
            <a:ln>
              <a:noFill/>
            </a:ln>
            <a:effectLst/>
          </c:spPr>
          <c:invertIfNegative val="0"/>
          <c:dLbls>
            <c:spPr>
              <a:noFill/>
              <a:ln>
                <a:noFill/>
              </a:ln>
              <a:effectLst/>
            </c:spPr>
            <c:txPr>
              <a:bodyPr rot="-5400000" spcFirstLastPara="1" vertOverflow="clip" horzOverflow="clip" vert="horz" wrap="square" lIns="38100" tIns="19050" rIns="38100" bIns="19050" anchor="ctr" anchorCtr="0">
                <a:spAutoFit/>
              </a:bodyPr>
              <a:lstStyle/>
              <a:p>
                <a:pPr algn="ctr">
                  <a:defRPr lang="en-US" sz="32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'query-per-second'!$B$9:$B$10</c:f>
              <c:strCache>
                <c:ptCount val="2"/>
                <c:pt idx="0">
                  <c:v>Dbpedia - BGP</c:v>
                </c:pt>
                <c:pt idx="1">
                  <c:v>DBpedia - FF</c:v>
                </c:pt>
              </c:strCache>
            </c:strRef>
          </c:cat>
          <c:val>
            <c:numRef>
              <c:f>'query-per-second'!$D$9:$D$10</c:f>
              <c:numCache>
                <c:formatCode>0.00000</c:formatCode>
                <c:ptCount val="2"/>
                <c:pt idx="0" formatCode="0.000">
                  <c:v>3.7697355078173005E-2</c:v>
                </c:pt>
                <c:pt idx="1">
                  <c:v>1.9861311112675004E-2</c:v>
                </c:pt>
              </c:numCache>
            </c:numRef>
          </c:val>
        </c:ser>
        <c:ser>
          <c:idx val="2"/>
          <c:order val="2"/>
          <c:tx>
            <c:strRef>
              <c:f>'query-per-second'!$E$8</c:f>
              <c:strCache>
                <c:ptCount val="1"/>
                <c:pt idx="0">
                  <c:v>Hi</c:v>
                </c:pt>
              </c:strCache>
            </c:strRef>
          </c:tx>
          <c:spPr>
            <a:pattFill prst="pct90">
              <a:fgClr>
                <a:schemeClr val="accent3"/>
              </a:fgClr>
              <a:bgClr>
                <a:schemeClr val="bg1"/>
              </a:bgClr>
            </a:pattFill>
            <a:ln>
              <a:noFill/>
            </a:ln>
            <a:effectLst/>
          </c:spPr>
          <c:invertIfNegative val="0"/>
          <c:dLbls>
            <c:spPr>
              <a:noFill/>
              <a:ln>
                <a:noFill/>
              </a:ln>
              <a:effectLst/>
            </c:spPr>
            <c:txPr>
              <a:bodyPr rot="-5400000" spcFirstLastPara="1" vertOverflow="clip" horzOverflow="clip" vert="horz" wrap="square" lIns="38100" tIns="19050" rIns="38100" bIns="19050" anchor="ctr" anchorCtr="0">
                <a:spAutoFit/>
              </a:bodyPr>
              <a:lstStyle/>
              <a:p>
                <a:pPr algn="ctr">
                  <a:defRPr lang="en-US" sz="32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'query-per-second'!$B$9:$B$10</c:f>
              <c:strCache>
                <c:ptCount val="2"/>
                <c:pt idx="0">
                  <c:v>Dbpedia - BGP</c:v>
                </c:pt>
                <c:pt idx="1">
                  <c:v>DBpedia - FF</c:v>
                </c:pt>
              </c:strCache>
            </c:strRef>
          </c:cat>
          <c:val>
            <c:numRef>
              <c:f>'query-per-second'!$E$9:$E$10</c:f>
              <c:numCache>
                <c:formatCode>0.00000</c:formatCode>
                <c:ptCount val="2"/>
                <c:pt idx="0" formatCode="0.000">
                  <c:v>3.8009214193704836E-2</c:v>
                </c:pt>
                <c:pt idx="1">
                  <c:v>2.0397352668391874E-2</c:v>
                </c:pt>
              </c:numCache>
            </c:numRef>
          </c:val>
        </c:ser>
        <c:ser>
          <c:idx val="3"/>
          <c:order val="3"/>
          <c:tx>
            <c:strRef>
              <c:f>'query-per-second'!$F$8</c:f>
              <c:strCache>
                <c:ptCount val="1"/>
                <c:pt idx="0">
                  <c:v>Ho</c:v>
                </c:pt>
              </c:strCache>
            </c:strRef>
          </c:tx>
          <c:spPr>
            <a:pattFill prst="dkDnDiag">
              <a:fgClr>
                <a:schemeClr val="accent4"/>
              </a:fgClr>
              <a:bgClr>
                <a:schemeClr val="bg1"/>
              </a:bgClr>
            </a:pattFill>
            <a:ln>
              <a:noFill/>
            </a:ln>
            <a:effectLst/>
          </c:spPr>
          <c:invertIfNegative val="0"/>
          <c:dLbls>
            <c:spPr>
              <a:noFill/>
              <a:ln>
                <a:noFill/>
              </a:ln>
              <a:effectLst/>
            </c:spPr>
            <c:txPr>
              <a:bodyPr rot="-5400000" spcFirstLastPara="1" vertOverflow="clip" horzOverflow="clip" vert="horz" wrap="square" lIns="38100" tIns="19050" rIns="38100" bIns="19050" anchor="ctr" anchorCtr="0">
                <a:spAutoFit/>
              </a:bodyPr>
              <a:lstStyle/>
              <a:p>
                <a:pPr algn="ctr">
                  <a:defRPr lang="en-US" sz="32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'query-per-second'!$B$9:$B$10</c:f>
              <c:strCache>
                <c:ptCount val="2"/>
                <c:pt idx="0">
                  <c:v>Dbpedia - BGP</c:v>
                </c:pt>
                <c:pt idx="1">
                  <c:v>DBpedia - FF</c:v>
                </c:pt>
              </c:strCache>
            </c:strRef>
          </c:cat>
          <c:val>
            <c:numRef>
              <c:f>'query-per-second'!$F$9:$F$10</c:f>
              <c:numCache>
                <c:formatCode>0.00000</c:formatCode>
                <c:ptCount val="2"/>
                <c:pt idx="0" formatCode="0.000">
                  <c:v>3.6199287211901937E-2</c:v>
                </c:pt>
                <c:pt idx="1">
                  <c:v>2.017988619620446E-2</c:v>
                </c:pt>
              </c:numCache>
            </c:numRef>
          </c:val>
        </c:ser>
        <c:ser>
          <c:idx val="4"/>
          <c:order val="4"/>
          <c:tx>
            <c:strRef>
              <c:f>'query-per-second'!$G$8</c:f>
              <c:strCache>
                <c:ptCount val="1"/>
                <c:pt idx="0">
                  <c:v>TC</c:v>
                </c:pt>
              </c:strCache>
            </c:strRef>
          </c:tx>
          <c:spPr>
            <a:pattFill prst="dkUpDiag">
              <a:fgClr>
                <a:schemeClr val="accent5"/>
              </a:fgClr>
              <a:bgClr>
                <a:schemeClr val="bg1"/>
              </a:bgClr>
            </a:pattFill>
            <a:ln>
              <a:noFill/>
            </a:ln>
            <a:effectLst/>
          </c:spPr>
          <c:invertIfNegative val="0"/>
          <c:dLbls>
            <c:spPr>
              <a:noFill/>
              <a:ln>
                <a:noFill/>
              </a:ln>
              <a:effectLst/>
            </c:spPr>
            <c:txPr>
              <a:bodyPr rot="-5400000" spcFirstLastPara="1" vertOverflow="clip" horzOverflow="clip" vert="horz" wrap="square" lIns="38100" tIns="19050" rIns="38100" bIns="19050" anchor="ctr" anchorCtr="0">
                <a:spAutoFit/>
              </a:bodyPr>
              <a:lstStyle/>
              <a:p>
                <a:pPr algn="ctr">
                  <a:defRPr lang="en-US" sz="32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'query-per-second'!$B$9:$B$10</c:f>
              <c:strCache>
                <c:ptCount val="2"/>
                <c:pt idx="0">
                  <c:v>Dbpedia - BGP</c:v>
                </c:pt>
                <c:pt idx="1">
                  <c:v>DBpedia - FF</c:v>
                </c:pt>
              </c:strCache>
            </c:strRef>
          </c:cat>
          <c:val>
            <c:numRef>
              <c:f>'query-per-second'!$G$9:$G$10</c:f>
              <c:numCache>
                <c:formatCode>0.00000</c:formatCode>
                <c:ptCount val="2"/>
                <c:pt idx="0" formatCode="0.000">
                  <c:v>3.4897379602295504E-2</c:v>
                </c:pt>
                <c:pt idx="1">
                  <c:v>2.0559606445272147E-2</c:v>
                </c:pt>
              </c:numCache>
            </c:numRef>
          </c:val>
        </c:ser>
        <c:ser>
          <c:idx val="5"/>
          <c:order val="5"/>
          <c:tx>
            <c:strRef>
              <c:f>'query-per-second'!$H$8</c:f>
              <c:strCache>
                <c:ptCount val="1"/>
                <c:pt idx="0">
                  <c:v>ME</c:v>
                </c:pt>
              </c:strCache>
            </c:strRef>
          </c:tx>
          <c:spPr>
            <a:pattFill prst="trellis">
              <a:fgClr>
                <a:schemeClr val="accent6"/>
              </a:fgClr>
              <a:bgClr>
                <a:schemeClr val="bg1"/>
              </a:bgClr>
            </a:pattFill>
            <a:ln>
              <a:noFill/>
            </a:ln>
            <a:effectLst/>
          </c:spPr>
          <c:invertIfNegative val="0"/>
          <c:dLbls>
            <c:spPr>
              <a:noFill/>
              <a:ln>
                <a:noFill/>
              </a:ln>
              <a:effectLst/>
            </c:spPr>
            <c:txPr>
              <a:bodyPr rot="-5400000" spcFirstLastPara="1" vertOverflow="clip" horzOverflow="clip" vert="horz" wrap="square" lIns="38100" tIns="19050" rIns="38100" bIns="19050" anchor="ctr" anchorCtr="0">
                <a:spAutoFit/>
              </a:bodyPr>
              <a:lstStyle/>
              <a:p>
                <a:pPr algn="ctr">
                  <a:defRPr lang="en-US" sz="32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'query-per-second'!$B$9:$B$10</c:f>
              <c:strCache>
                <c:ptCount val="2"/>
                <c:pt idx="0">
                  <c:v>Dbpedia - BGP</c:v>
                </c:pt>
                <c:pt idx="1">
                  <c:v>DBpedia - FF</c:v>
                </c:pt>
              </c:strCache>
            </c:strRef>
          </c:cat>
          <c:val>
            <c:numRef>
              <c:f>'query-per-second'!$H$9:$H$10</c:f>
              <c:numCache>
                <c:formatCode>0.00000</c:formatCode>
                <c:ptCount val="2"/>
                <c:pt idx="0" formatCode="0.000">
                  <c:v>3.453724410060699E-2</c:v>
                </c:pt>
                <c:pt idx="1">
                  <c:v>1.9764692116826195E-2</c:v>
                </c:pt>
              </c:numCache>
            </c:numRef>
          </c:val>
        </c:ser>
        <c:ser>
          <c:idx val="6"/>
          <c:order val="6"/>
          <c:tx>
            <c:strRef>
              <c:f>'query-per-second'!$I$8</c:f>
              <c:strCache>
                <c:ptCount val="1"/>
                <c:pt idx="0">
                  <c:v>RB</c:v>
                </c:pt>
              </c:strCache>
            </c:strRef>
          </c:tx>
          <c:spPr>
            <a:pattFill prst="pct50">
              <a:fgClr>
                <a:schemeClr val="accent5">
                  <a:lumMod val="75000"/>
                </a:schemeClr>
              </a:fgClr>
              <a:bgClr>
                <a:schemeClr val="bg1"/>
              </a:bgClr>
            </a:pattFill>
            <a:ln>
              <a:noFill/>
            </a:ln>
            <a:effectLst/>
          </c:spPr>
          <c:invertIfNegative val="0"/>
          <c:dLbls>
            <c:spPr>
              <a:noFill/>
              <a:ln>
                <a:noFill/>
              </a:ln>
              <a:effectLst/>
            </c:spPr>
            <c:txPr>
              <a:bodyPr rot="-5400000" spcFirstLastPara="1" vertOverflow="clip" horzOverflow="clip" vert="horz" wrap="square" lIns="38100" tIns="19050" rIns="38100" bIns="19050" anchor="ctr" anchorCtr="0">
                <a:spAutoFit/>
              </a:bodyPr>
              <a:lstStyle/>
              <a:p>
                <a:pPr algn="ctr">
                  <a:defRPr lang="en-US" sz="32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'query-per-second'!$B$9:$B$10</c:f>
              <c:strCache>
                <c:ptCount val="2"/>
                <c:pt idx="0">
                  <c:v>Dbpedia - BGP</c:v>
                </c:pt>
                <c:pt idx="1">
                  <c:v>DBpedia - FF</c:v>
                </c:pt>
              </c:strCache>
            </c:strRef>
          </c:cat>
          <c:val>
            <c:numRef>
              <c:f>'query-per-second'!$I$9:$I$10</c:f>
              <c:numCache>
                <c:formatCode>0.00000</c:formatCode>
                <c:ptCount val="2"/>
                <c:pt idx="0" formatCode="0.000">
                  <c:v>3.7695536169997823E-2</c:v>
                </c:pt>
                <c:pt idx="1">
                  <c:v>2.1124331265284773E-2</c:v>
                </c:pt>
              </c:numCache>
            </c:numRef>
          </c:val>
        </c:ser>
        <c:ser>
          <c:idx val="7"/>
          <c:order val="7"/>
          <c:tx>
            <c:strRef>
              <c:f>'query-per-second'!$J$8</c:f>
              <c:strCache>
                <c:ptCount val="1"/>
                <c:pt idx="0">
                  <c:v>PCM</c:v>
                </c:pt>
              </c:strCache>
            </c:strRef>
          </c:tx>
          <c:spPr>
            <a:pattFill prst="pct70">
              <a:fgClr>
                <a:schemeClr val="accent2">
                  <a:lumMod val="50000"/>
                </a:schemeClr>
              </a:fgClr>
              <a:bgClr>
                <a:schemeClr val="bg1"/>
              </a:bgClr>
            </a:pattFill>
            <a:ln>
              <a:noFill/>
            </a:ln>
            <a:effectLst/>
          </c:spPr>
          <c:invertIfNegative val="0"/>
          <c:dLbls>
            <c:spPr>
              <a:noFill/>
              <a:ln>
                <a:noFill/>
              </a:ln>
              <a:effectLst/>
            </c:spPr>
            <c:txPr>
              <a:bodyPr rot="-5400000" spcFirstLastPara="1" vertOverflow="clip" horzOverflow="clip" vert="horz" wrap="square" lIns="38100" tIns="19050" rIns="38100" bIns="19050" anchor="ctr" anchorCtr="0">
                <a:spAutoFit/>
              </a:bodyPr>
              <a:lstStyle/>
              <a:p>
                <a:pPr algn="ctr">
                  <a:defRPr lang="en-US" sz="32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'query-per-second'!$B$9:$B$10</c:f>
              <c:strCache>
                <c:ptCount val="2"/>
                <c:pt idx="0">
                  <c:v>Dbpedia - BGP</c:v>
                </c:pt>
                <c:pt idx="1">
                  <c:v>DBpedia - FF</c:v>
                </c:pt>
              </c:strCache>
            </c:strRef>
          </c:cat>
          <c:val>
            <c:numRef>
              <c:f>'query-per-second'!$J$9:$J$10</c:f>
              <c:numCache>
                <c:formatCode>0.00000</c:formatCode>
                <c:ptCount val="2"/>
                <c:pt idx="0" formatCode="0.000">
                  <c:v>3.3939853601572818E-2</c:v>
                </c:pt>
                <c:pt idx="1">
                  <c:v>2.1099316593135551E-2</c:v>
                </c:pt>
              </c:numCache>
            </c:numRef>
          </c:val>
        </c:ser>
        <c:ser>
          <c:idx val="8"/>
          <c:order val="8"/>
          <c:tx>
            <c:strRef>
              <c:f>'query-per-second'!$K$8</c:f>
              <c:strCache>
                <c:ptCount val="1"/>
                <c:pt idx="0">
                  <c:v>PCG</c:v>
                </c:pt>
              </c:strCache>
            </c:strRef>
          </c:tx>
          <c:spPr>
            <a:pattFill prst="lgCheck">
              <a:fgClr>
                <a:schemeClr val="accent4">
                  <a:lumMod val="50000"/>
                </a:schemeClr>
              </a:fgClr>
              <a:bgClr>
                <a:schemeClr val="bg1"/>
              </a:bgClr>
            </a:pattFill>
            <a:ln>
              <a:noFill/>
            </a:ln>
            <a:effectLst/>
          </c:spPr>
          <c:invertIfNegative val="0"/>
          <c:dLbls>
            <c:spPr>
              <a:noFill/>
              <a:ln>
                <a:noFill/>
              </a:ln>
              <a:effectLst/>
            </c:spPr>
            <c:txPr>
              <a:bodyPr rot="-5400000" spcFirstLastPara="1" vertOverflow="clip" horzOverflow="clip" vert="horz" wrap="square" lIns="38100" tIns="19050" rIns="38100" bIns="19050" anchor="ctr" anchorCtr="0">
                <a:spAutoFit/>
              </a:bodyPr>
              <a:lstStyle/>
              <a:p>
                <a:pPr algn="ctr">
                  <a:defRPr lang="en-US" sz="32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'query-per-second'!$B$9:$B$10</c:f>
              <c:strCache>
                <c:ptCount val="2"/>
                <c:pt idx="0">
                  <c:v>Dbpedia - BGP</c:v>
                </c:pt>
                <c:pt idx="1">
                  <c:v>DBpedia - FF</c:v>
                </c:pt>
              </c:strCache>
            </c:strRef>
          </c:cat>
          <c:val>
            <c:numRef>
              <c:f>'query-per-second'!$K$9:$K$10</c:f>
              <c:numCache>
                <c:formatCode>0.00000</c:formatCode>
                <c:ptCount val="2"/>
                <c:pt idx="0" formatCode="0.000">
                  <c:v>2.7404693327779315E-2</c:v>
                </c:pt>
                <c:pt idx="1">
                  <c:v>1.9732916293495294E-2</c:v>
                </c:pt>
              </c:numCache>
            </c:numRef>
          </c:val>
        </c:ser>
        <c:dLbls>
          <c:dLblPos val="outEnd"/>
          <c:showLegendKey val="0"/>
          <c:showVal val="1"/>
          <c:showCatName val="0"/>
          <c:showSerName val="0"/>
          <c:showPercent val="0"/>
          <c:showBubbleSize val="0"/>
        </c:dLbls>
        <c:gapWidth val="20"/>
        <c:overlap val="-20"/>
        <c:axId val="1249072160"/>
        <c:axId val="1249078144"/>
      </c:barChart>
      <c:catAx>
        <c:axId val="1249072160"/>
        <c:scaling>
          <c:orientation val="minMax"/>
        </c:scaling>
        <c:delete val="0"/>
        <c:axPos val="b"/>
        <c:majorGridlines>
          <c:spPr>
            <a:ln w="9525" cap="flat" cmpd="sng" algn="ctr">
              <a:solidFill>
                <a:schemeClr val="tx1"/>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4000" b="1" i="0" u="none" strike="noStrike" kern="1200" cap="all" spc="120" normalizeH="0" baseline="0">
                <a:solidFill>
                  <a:sysClr val="windowText" lastClr="000000"/>
                </a:solidFill>
                <a:latin typeface="+mn-lt"/>
                <a:ea typeface="+mn-ea"/>
                <a:cs typeface="+mn-cs"/>
              </a:defRPr>
            </a:pPr>
            <a:endParaRPr lang="en-US"/>
          </a:p>
        </c:txPr>
        <c:crossAx val="1249078144"/>
        <c:crosses val="autoZero"/>
        <c:auto val="1"/>
        <c:lblAlgn val="ctr"/>
        <c:lblOffset val="100"/>
        <c:noMultiLvlLbl val="0"/>
      </c:catAx>
      <c:valAx>
        <c:axId val="1249078144"/>
        <c:scaling>
          <c:orientation val="minMax"/>
        </c:scaling>
        <c:delete val="1"/>
        <c:axPos val="l"/>
        <c:numFmt formatCode="0.000" sourceLinked="1"/>
        <c:majorTickMark val="none"/>
        <c:minorTickMark val="none"/>
        <c:tickLblPos val="nextTo"/>
        <c:crossAx val="1249072160"/>
        <c:crosses val="autoZero"/>
        <c:crossBetween val="between"/>
      </c:valAx>
      <c:spPr>
        <a:noFill/>
        <a:ln w="25400">
          <a:noFill/>
        </a:ln>
        <a:effectLst/>
      </c:spPr>
    </c:plotArea>
    <c:legend>
      <c:legendPos val="t"/>
      <c:layout>
        <c:manualLayout>
          <c:xMode val="edge"/>
          <c:yMode val="edge"/>
          <c:x val="0"/>
          <c:y val="0.88909200933216681"/>
          <c:w val="0.99951312335958009"/>
          <c:h val="9.2817147856517929E-2"/>
        </c:manualLayout>
      </c:layout>
      <c:overlay val="0"/>
      <c:spPr>
        <a:noFill/>
        <a:ln>
          <a:noFill/>
        </a:ln>
        <a:effectLst/>
      </c:spPr>
      <c:txPr>
        <a:bodyPr rot="0" spcFirstLastPara="1" vertOverflow="ellipsis" vert="horz" wrap="square" anchor="ctr" anchorCtr="1"/>
        <a:lstStyle/>
        <a:p>
          <a:pPr>
            <a:defRPr sz="4000" b="1"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1037004474214591"/>
          <c:y val="2.995674324590207E-2"/>
          <c:w val="0.75901587001745896"/>
          <c:h val="0.6138166574408348"/>
        </c:manualLayout>
      </c:layout>
      <c:barChart>
        <c:barDir val="col"/>
        <c:grouping val="stacked"/>
        <c:varyColors val="0"/>
        <c:ser>
          <c:idx val="0"/>
          <c:order val="0"/>
          <c:tx>
            <c:strRef>
              <c:f>'benchmark-execution'!$E$63</c:f>
              <c:strCache>
                <c:ptCount val="1"/>
                <c:pt idx="0">
                  <c:v>SWDF BGP-only</c:v>
                </c:pt>
              </c:strCache>
            </c:strRef>
          </c:tx>
          <c:spPr>
            <a:pattFill prst="pct50">
              <a:fgClr>
                <a:srgbClr val="92D050"/>
              </a:fgClr>
              <a:bgClr>
                <a:schemeClr val="bg1"/>
              </a:bgClr>
            </a:patt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'benchmark-execution'!$D$81:$D$88</c:f>
              <c:strCache>
                <c:ptCount val="8"/>
                <c:pt idx="0">
                  <c:v>PB</c:v>
                </c:pt>
                <c:pt idx="1">
                  <c:v>SB</c:v>
                </c:pt>
                <c:pt idx="2">
                  <c:v>Hi</c:v>
                </c:pt>
                <c:pt idx="3">
                  <c:v>Ho</c:v>
                </c:pt>
                <c:pt idx="4">
                  <c:v>TC</c:v>
                </c:pt>
                <c:pt idx="5">
                  <c:v>ME</c:v>
                </c:pt>
                <c:pt idx="6">
                  <c:v>RB</c:v>
                </c:pt>
                <c:pt idx="7">
                  <c:v>MCL</c:v>
                </c:pt>
              </c:strCache>
            </c:strRef>
          </c:cat>
          <c:val>
            <c:numRef>
              <c:f>'benchmark-execution'!$E$81:$E$88</c:f>
              <c:numCache>
                <c:formatCode>0</c:formatCode>
                <c:ptCount val="8"/>
                <c:pt idx="0">
                  <c:v>81.781000000000006</c:v>
                </c:pt>
                <c:pt idx="1">
                  <c:v>50.68</c:v>
                </c:pt>
                <c:pt idx="2">
                  <c:v>50.899000000000001</c:v>
                </c:pt>
                <c:pt idx="3">
                  <c:v>147.71899999999999</c:v>
                </c:pt>
                <c:pt idx="4">
                  <c:v>48.836999999999996</c:v>
                </c:pt>
                <c:pt idx="5">
                  <c:v>49.903999999999996</c:v>
                </c:pt>
                <c:pt idx="6">
                  <c:v>51.536999999999999</c:v>
                </c:pt>
                <c:pt idx="7">
                  <c:v>174.404</c:v>
                </c:pt>
              </c:numCache>
            </c:numRef>
          </c:val>
        </c:ser>
        <c:ser>
          <c:idx val="1"/>
          <c:order val="1"/>
          <c:tx>
            <c:strRef>
              <c:f>'benchmark-execution'!$F$63</c:f>
              <c:strCache>
                <c:ptCount val="1"/>
                <c:pt idx="0">
                  <c:v>SWDF fully-featured</c:v>
                </c:pt>
              </c:strCache>
            </c:strRef>
          </c:tx>
          <c:spPr>
            <a:pattFill prst="pct90">
              <a:fgClr>
                <a:schemeClr val="accent4">
                  <a:lumMod val="75000"/>
                </a:schemeClr>
              </a:fgClr>
              <a:bgClr>
                <a:schemeClr val="bg1"/>
              </a:bgClr>
            </a:patt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'benchmark-execution'!$D$81:$D$88</c:f>
              <c:strCache>
                <c:ptCount val="8"/>
                <c:pt idx="0">
                  <c:v>PB</c:v>
                </c:pt>
                <c:pt idx="1">
                  <c:v>SB</c:v>
                </c:pt>
                <c:pt idx="2">
                  <c:v>Hi</c:v>
                </c:pt>
                <c:pt idx="3">
                  <c:v>Ho</c:v>
                </c:pt>
                <c:pt idx="4">
                  <c:v>TC</c:v>
                </c:pt>
                <c:pt idx="5">
                  <c:v>ME</c:v>
                </c:pt>
                <c:pt idx="6">
                  <c:v>RB</c:v>
                </c:pt>
                <c:pt idx="7">
                  <c:v>MCL</c:v>
                </c:pt>
              </c:strCache>
            </c:strRef>
          </c:cat>
          <c:val>
            <c:numRef>
              <c:f>'benchmark-execution'!$F$81:$F$88</c:f>
              <c:numCache>
                <c:formatCode>0</c:formatCode>
                <c:ptCount val="8"/>
                <c:pt idx="0">
                  <c:v>3814.9360000000001</c:v>
                </c:pt>
                <c:pt idx="1">
                  <c:v>4019.6200000000003</c:v>
                </c:pt>
                <c:pt idx="2">
                  <c:v>4040.8850000000002</c:v>
                </c:pt>
                <c:pt idx="3">
                  <c:v>3683.5330000000004</c:v>
                </c:pt>
                <c:pt idx="4">
                  <c:v>4029.2959999999998</c:v>
                </c:pt>
                <c:pt idx="5">
                  <c:v>4393.6970000000001</c:v>
                </c:pt>
                <c:pt idx="6">
                  <c:v>4235.7449999999999</c:v>
                </c:pt>
                <c:pt idx="7">
                  <c:v>2420.9290000000001</c:v>
                </c:pt>
              </c:numCache>
            </c:numRef>
          </c:val>
        </c:ser>
        <c:ser>
          <c:idx val="2"/>
          <c:order val="2"/>
          <c:tx>
            <c:strRef>
              <c:f>'benchmark-execution'!$G$63</c:f>
              <c:strCache>
                <c:ptCount val="1"/>
                <c:pt idx="0">
                  <c:v>DBpedia BGP-only</c:v>
                </c:pt>
              </c:strCache>
            </c:strRef>
          </c:tx>
          <c:spPr>
            <a:solidFill>
              <a:schemeClr val="accent6"/>
            </a:solidFill>
            <a:ln>
              <a:noFill/>
            </a:ln>
            <a:effectLst/>
          </c:spPr>
          <c:invertIfNegative val="0"/>
          <c:dLbls>
            <c:spPr>
              <a:pattFill prst="pct75">
                <a:fgClr>
                  <a:schemeClr val="accent6"/>
                </a:fgClr>
                <a:bgClr>
                  <a:schemeClr val="bg1"/>
                </a:bgClr>
              </a:patt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'benchmark-execution'!$D$81:$D$88</c:f>
              <c:strCache>
                <c:ptCount val="8"/>
                <c:pt idx="0">
                  <c:v>PB</c:v>
                </c:pt>
                <c:pt idx="1">
                  <c:v>SB</c:v>
                </c:pt>
                <c:pt idx="2">
                  <c:v>Hi</c:v>
                </c:pt>
                <c:pt idx="3">
                  <c:v>Ho</c:v>
                </c:pt>
                <c:pt idx="4">
                  <c:v>TC</c:v>
                </c:pt>
                <c:pt idx="5">
                  <c:v>ME</c:v>
                </c:pt>
                <c:pt idx="6">
                  <c:v>RB</c:v>
                </c:pt>
                <c:pt idx="7">
                  <c:v>MCL</c:v>
                </c:pt>
              </c:strCache>
            </c:strRef>
          </c:cat>
          <c:val>
            <c:numRef>
              <c:f>'benchmark-execution'!$G$81:$G$88</c:f>
              <c:numCache>
                <c:formatCode>0</c:formatCode>
                <c:ptCount val="8"/>
                <c:pt idx="0">
                  <c:v>7314.5619999999999</c:v>
                </c:pt>
                <c:pt idx="1">
                  <c:v>8412.3529999999992</c:v>
                </c:pt>
                <c:pt idx="2">
                  <c:v>7834.9040000000005</c:v>
                </c:pt>
                <c:pt idx="3">
                  <c:v>8411.3019999999997</c:v>
                </c:pt>
                <c:pt idx="4">
                  <c:v>7778.9429999999993</c:v>
                </c:pt>
                <c:pt idx="5">
                  <c:v>8473.42</c:v>
                </c:pt>
                <c:pt idx="6">
                  <c:v>8389.6409999999996</c:v>
                </c:pt>
                <c:pt idx="7">
                  <c:v>6722.7870000000003</c:v>
                </c:pt>
              </c:numCache>
            </c:numRef>
          </c:val>
        </c:ser>
        <c:ser>
          <c:idx val="3"/>
          <c:order val="3"/>
          <c:tx>
            <c:strRef>
              <c:f>'benchmark-execution'!$H$63</c:f>
              <c:strCache>
                <c:ptCount val="1"/>
                <c:pt idx="0">
                  <c:v>DBpedia fully-featured</c:v>
                </c:pt>
              </c:strCache>
            </c:strRef>
          </c:tx>
          <c:spPr>
            <a:solidFill>
              <a:schemeClr val="accent2">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'benchmark-execution'!$D$81:$D$88</c:f>
              <c:strCache>
                <c:ptCount val="8"/>
                <c:pt idx="0">
                  <c:v>PB</c:v>
                </c:pt>
                <c:pt idx="1">
                  <c:v>SB</c:v>
                </c:pt>
                <c:pt idx="2">
                  <c:v>Hi</c:v>
                </c:pt>
                <c:pt idx="3">
                  <c:v>Ho</c:v>
                </c:pt>
                <c:pt idx="4">
                  <c:v>TC</c:v>
                </c:pt>
                <c:pt idx="5">
                  <c:v>ME</c:v>
                </c:pt>
                <c:pt idx="6">
                  <c:v>RB</c:v>
                </c:pt>
                <c:pt idx="7">
                  <c:v>MCL</c:v>
                </c:pt>
              </c:strCache>
            </c:strRef>
          </c:cat>
          <c:val>
            <c:numRef>
              <c:f>'benchmark-execution'!$H$81:$H$88</c:f>
              <c:numCache>
                <c:formatCode>0</c:formatCode>
                <c:ptCount val="8"/>
                <c:pt idx="0">
                  <c:v>16016.656000000001</c:v>
                </c:pt>
                <c:pt idx="1">
                  <c:v>17529.861000000001</c:v>
                </c:pt>
                <c:pt idx="2">
                  <c:v>16994.88</c:v>
                </c:pt>
                <c:pt idx="3">
                  <c:v>18903.3</c:v>
                </c:pt>
                <c:pt idx="4">
                  <c:v>16915.692999999999</c:v>
                </c:pt>
                <c:pt idx="5">
                  <c:v>17890.521000000001</c:v>
                </c:pt>
                <c:pt idx="6">
                  <c:v>17306.95</c:v>
                </c:pt>
                <c:pt idx="7">
                  <c:v>12748.358</c:v>
                </c:pt>
              </c:numCache>
            </c:numRef>
          </c:val>
        </c:ser>
        <c:dLbls>
          <c:dLblPos val="ctr"/>
          <c:showLegendKey val="0"/>
          <c:showVal val="1"/>
          <c:showCatName val="0"/>
          <c:showSerName val="0"/>
          <c:showPercent val="0"/>
          <c:showBubbleSize val="0"/>
        </c:dLbls>
        <c:gapWidth val="40"/>
        <c:overlap val="100"/>
        <c:axId val="1251164560"/>
        <c:axId val="1251156944"/>
      </c:barChart>
      <c:catAx>
        <c:axId val="1251164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endParaRPr lang="en-US"/>
          </a:p>
        </c:txPr>
        <c:crossAx val="1251156944"/>
        <c:crossesAt val="1.0000000000000002E-2"/>
        <c:auto val="1"/>
        <c:lblAlgn val="ctr"/>
        <c:lblOffset val="100"/>
        <c:noMultiLvlLbl val="0"/>
      </c:catAx>
      <c:valAx>
        <c:axId val="1251156944"/>
        <c:scaling>
          <c:logBase val="10"/>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lang="en-US" sz="1400" b="1" i="0" u="none" strike="noStrike" kern="1200" baseline="0">
                    <a:solidFill>
                      <a:sysClr val="windowText" lastClr="000000"/>
                    </a:solidFill>
                    <a:latin typeface="+mn-lt"/>
                    <a:ea typeface="+mn-ea"/>
                    <a:cs typeface="+mn-cs"/>
                  </a:defRPr>
                </a:pPr>
                <a:r>
                  <a:rPr lang="en-US" sz="1400" b="1" i="0" u="none" strike="noStrike" kern="1200" baseline="0">
                    <a:solidFill>
                      <a:sysClr val="windowText" lastClr="000000"/>
                    </a:solidFill>
                    <a:latin typeface="+mn-lt"/>
                    <a:ea typeface="+mn-ea"/>
                    <a:cs typeface="+mn-cs"/>
                  </a:rPr>
                  <a:t> Benchmark execution time in sec (log scale)</a:t>
                </a:r>
              </a:p>
              <a:p>
                <a:pPr marL="0" marR="0" lvl="0" indent="0" algn="ctr" defTabSz="914400" rtl="0" eaLnBrk="1" fontAlgn="auto" latinLnBrk="0" hangingPunct="1">
                  <a:lnSpc>
                    <a:spcPct val="100000"/>
                  </a:lnSpc>
                  <a:spcBef>
                    <a:spcPts val="0"/>
                  </a:spcBef>
                  <a:spcAft>
                    <a:spcPts val="0"/>
                  </a:spcAft>
                  <a:buClrTx/>
                  <a:buSzTx/>
                  <a:buFontTx/>
                  <a:buNone/>
                  <a:tabLst/>
                  <a:defRPr lang="en-US" sz="1400" b="1">
                    <a:solidFill>
                      <a:sysClr val="windowText" lastClr="000000"/>
                    </a:solidFill>
                  </a:defRPr>
                </a:pPr>
                <a:endParaRPr lang="en-US" sz="1400" b="1" i="0" u="none" strike="noStrike" kern="1200" baseline="0">
                  <a:solidFill>
                    <a:sysClr val="windowText" lastClr="000000"/>
                  </a:solidFill>
                  <a:latin typeface="+mn-lt"/>
                  <a:ea typeface="+mn-ea"/>
                  <a:cs typeface="+mn-cs"/>
                </a:endParaRPr>
              </a:p>
            </c:rich>
          </c:tx>
          <c:overlay val="0"/>
          <c:spPr>
            <a:noFill/>
            <a:ln>
              <a:noFill/>
            </a:ln>
            <a:effectLst/>
          </c:spPr>
          <c:txPr>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lang="en-US" sz="1400" b="1" i="0" u="none" strike="noStrike" kern="1200" baseline="0">
                  <a:solidFill>
                    <a:sysClr val="windowText" lastClr="000000"/>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endParaRPr lang="en-US"/>
          </a:p>
        </c:txPr>
        <c:crossAx val="1251164560"/>
        <c:crosses val="autoZero"/>
        <c:crossBetween val="between"/>
      </c:valAx>
      <c:spPr>
        <a:noFill/>
        <a:ln>
          <a:noFill/>
        </a:ln>
        <a:effectLst/>
      </c:spPr>
    </c:plotArea>
    <c:legend>
      <c:legendPos val="b"/>
      <c:layout>
        <c:manualLayout>
          <c:xMode val="edge"/>
          <c:yMode val="edge"/>
          <c:x val="9.1743422847574502E-2"/>
          <c:y val="0.75732938409762829"/>
          <c:w val="0.89165659893510307"/>
          <c:h val="0.17698329556944578"/>
        </c:manualLayout>
      </c:layout>
      <c:overlay val="0"/>
      <c:spPr>
        <a:noFill/>
        <a:ln>
          <a:noFill/>
        </a:ln>
        <a:effectLst/>
      </c:spPr>
      <c:txPr>
        <a:bodyPr rot="0" spcFirstLastPara="1" vertOverflow="ellipsis" vert="horz" wrap="square" anchor="ctr" anchorCtr="1"/>
        <a:lstStyle/>
        <a:p>
          <a:pPr>
            <a:defRPr sz="1400" b="1"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2.1227034120734899E-4"/>
          <c:y val="0.10327719451735201"/>
          <c:w val="0.99975656167978988"/>
          <c:h val="0.63638363954505683"/>
        </c:manualLayout>
      </c:layout>
      <c:barChart>
        <c:barDir val="col"/>
        <c:grouping val="clustered"/>
        <c:varyColors val="0"/>
        <c:ser>
          <c:idx val="0"/>
          <c:order val="0"/>
          <c:tx>
            <c:strRef>
              <c:f>'query-per-second'!$C$17</c:f>
              <c:strCache>
                <c:ptCount val="1"/>
                <c:pt idx="0">
                  <c:v>PB</c:v>
                </c:pt>
              </c:strCache>
            </c:strRef>
          </c:tx>
          <c:spPr>
            <a:pattFill prst="pct75">
              <a:fgClr>
                <a:schemeClr val="accent6">
                  <a:lumMod val="50000"/>
                </a:schemeClr>
              </a:fgClr>
              <a:bgClr>
                <a:schemeClr val="bg1"/>
              </a:bgClr>
            </a:pattFill>
            <a:ln>
              <a:noFill/>
            </a:ln>
            <a:effectLst/>
          </c:spPr>
          <c:invertIfNegative val="0"/>
          <c:dLbls>
            <c:spPr>
              <a:noFill/>
              <a:ln>
                <a:noFill/>
              </a:ln>
              <a:effectLst/>
            </c:spPr>
            <c:txPr>
              <a:bodyPr rot="-5400000" spcFirstLastPara="1" vertOverflow="clip" horzOverflow="clip" vert="horz" wrap="square" lIns="38100" tIns="19050" rIns="38100" bIns="19050" anchor="ctr" anchorCtr="0">
                <a:spAutoFit/>
              </a:bodyPr>
              <a:lstStyle/>
              <a:p>
                <a:pPr algn="ctr">
                  <a:defRPr lang="en-US" sz="32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'query-per-second'!$B$18</c:f>
              <c:strCache>
                <c:ptCount val="1"/>
                <c:pt idx="0">
                  <c:v>SWDF - BGP</c:v>
                </c:pt>
              </c:strCache>
            </c:strRef>
          </c:cat>
          <c:val>
            <c:numRef>
              <c:f>'query-per-second'!$C$18</c:f>
              <c:numCache>
                <c:formatCode>0.000</c:formatCode>
                <c:ptCount val="1"/>
                <c:pt idx="0">
                  <c:v>3.6683337205463369</c:v>
                </c:pt>
              </c:numCache>
            </c:numRef>
          </c:val>
        </c:ser>
        <c:ser>
          <c:idx val="1"/>
          <c:order val="1"/>
          <c:tx>
            <c:strRef>
              <c:f>'query-per-second'!$D$17</c:f>
              <c:strCache>
                <c:ptCount val="1"/>
                <c:pt idx="0">
                  <c:v>SB</c:v>
                </c:pt>
              </c:strCache>
            </c:strRef>
          </c:tx>
          <c:spPr>
            <a:pattFill prst="pct80">
              <a:fgClr>
                <a:schemeClr val="accent2"/>
              </a:fgClr>
              <a:bgClr>
                <a:schemeClr val="bg1"/>
              </a:bgClr>
            </a:pattFill>
            <a:ln>
              <a:noFill/>
            </a:ln>
            <a:effectLst/>
          </c:spPr>
          <c:invertIfNegative val="0"/>
          <c:dLbls>
            <c:spPr>
              <a:noFill/>
              <a:ln>
                <a:noFill/>
              </a:ln>
              <a:effectLst/>
            </c:spPr>
            <c:txPr>
              <a:bodyPr rot="-5400000" spcFirstLastPara="1" vertOverflow="clip" horzOverflow="clip" vert="horz" wrap="square" lIns="38100" tIns="19050" rIns="38100" bIns="19050" anchor="ctr" anchorCtr="0">
                <a:spAutoFit/>
              </a:bodyPr>
              <a:lstStyle/>
              <a:p>
                <a:pPr algn="ctr">
                  <a:defRPr lang="en-US" sz="32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'query-per-second'!$B$18</c:f>
              <c:strCache>
                <c:ptCount val="1"/>
                <c:pt idx="0">
                  <c:v>SWDF - BGP</c:v>
                </c:pt>
              </c:strCache>
            </c:strRef>
          </c:cat>
          <c:val>
            <c:numRef>
              <c:f>'query-per-second'!$D$18</c:f>
              <c:numCache>
                <c:formatCode>0.000</c:formatCode>
                <c:ptCount val="1"/>
                <c:pt idx="0">
                  <c:v>5.9194948697711132</c:v>
                </c:pt>
              </c:numCache>
            </c:numRef>
          </c:val>
        </c:ser>
        <c:ser>
          <c:idx val="2"/>
          <c:order val="2"/>
          <c:tx>
            <c:strRef>
              <c:f>'query-per-second'!$E$17</c:f>
              <c:strCache>
                <c:ptCount val="1"/>
                <c:pt idx="0">
                  <c:v>Hi</c:v>
                </c:pt>
              </c:strCache>
            </c:strRef>
          </c:tx>
          <c:spPr>
            <a:pattFill prst="pct90">
              <a:fgClr>
                <a:schemeClr val="accent3"/>
              </a:fgClr>
              <a:bgClr>
                <a:schemeClr val="bg1"/>
              </a:bgClr>
            </a:pattFill>
            <a:ln>
              <a:noFill/>
            </a:ln>
            <a:effectLst/>
          </c:spPr>
          <c:invertIfNegative val="0"/>
          <c:dLbls>
            <c:spPr>
              <a:noFill/>
              <a:ln>
                <a:noFill/>
              </a:ln>
              <a:effectLst/>
            </c:spPr>
            <c:txPr>
              <a:bodyPr rot="-5400000" spcFirstLastPara="1" vertOverflow="clip" horzOverflow="clip" vert="horz" wrap="square" lIns="38100" tIns="19050" rIns="38100" bIns="19050" anchor="ctr" anchorCtr="0">
                <a:spAutoFit/>
              </a:bodyPr>
              <a:lstStyle/>
              <a:p>
                <a:pPr algn="ctr">
                  <a:defRPr lang="en-US" sz="32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'query-per-second'!$B$18</c:f>
              <c:strCache>
                <c:ptCount val="1"/>
                <c:pt idx="0">
                  <c:v>SWDF - BGP</c:v>
                </c:pt>
              </c:strCache>
            </c:strRef>
          </c:cat>
          <c:val>
            <c:numRef>
              <c:f>'query-per-second'!$E$18</c:f>
              <c:numCache>
                <c:formatCode>0.000</c:formatCode>
                <c:ptCount val="1"/>
                <c:pt idx="0">
                  <c:v>5.8940254228963243</c:v>
                </c:pt>
              </c:numCache>
            </c:numRef>
          </c:val>
        </c:ser>
        <c:ser>
          <c:idx val="3"/>
          <c:order val="3"/>
          <c:tx>
            <c:strRef>
              <c:f>'query-per-second'!$F$17</c:f>
              <c:strCache>
                <c:ptCount val="1"/>
                <c:pt idx="0">
                  <c:v>Ho</c:v>
                </c:pt>
              </c:strCache>
            </c:strRef>
          </c:tx>
          <c:spPr>
            <a:pattFill prst="dkDnDiag">
              <a:fgClr>
                <a:schemeClr val="accent4"/>
              </a:fgClr>
              <a:bgClr>
                <a:schemeClr val="bg1"/>
              </a:bgClr>
            </a:pattFill>
            <a:ln>
              <a:noFill/>
            </a:ln>
            <a:effectLst/>
          </c:spPr>
          <c:invertIfNegative val="0"/>
          <c:dLbls>
            <c:spPr>
              <a:noFill/>
              <a:ln>
                <a:noFill/>
              </a:ln>
              <a:effectLst/>
            </c:spPr>
            <c:txPr>
              <a:bodyPr rot="-5400000" spcFirstLastPara="1" vertOverflow="clip" horzOverflow="clip" vert="horz" wrap="square" lIns="38100" tIns="19050" rIns="38100" bIns="19050" anchor="ctr" anchorCtr="0">
                <a:spAutoFit/>
              </a:bodyPr>
              <a:lstStyle/>
              <a:p>
                <a:pPr algn="ctr">
                  <a:defRPr lang="en-US" sz="32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'query-per-second'!$B$18</c:f>
              <c:strCache>
                <c:ptCount val="1"/>
                <c:pt idx="0">
                  <c:v>SWDF - BGP</c:v>
                </c:pt>
              </c:strCache>
            </c:strRef>
          </c:cat>
          <c:val>
            <c:numRef>
              <c:f>'query-per-second'!$F$18</c:f>
              <c:numCache>
                <c:formatCode>0.000</c:formatCode>
                <c:ptCount val="1"/>
                <c:pt idx="0">
                  <c:v>2.0308829602150027</c:v>
                </c:pt>
              </c:numCache>
            </c:numRef>
          </c:val>
        </c:ser>
        <c:ser>
          <c:idx val="4"/>
          <c:order val="4"/>
          <c:tx>
            <c:strRef>
              <c:f>'query-per-second'!$G$17</c:f>
              <c:strCache>
                <c:ptCount val="1"/>
                <c:pt idx="0">
                  <c:v>TC</c:v>
                </c:pt>
              </c:strCache>
            </c:strRef>
          </c:tx>
          <c:spPr>
            <a:pattFill prst="dkUpDiag">
              <a:fgClr>
                <a:schemeClr val="accent5"/>
              </a:fgClr>
              <a:bgClr>
                <a:schemeClr val="bg1"/>
              </a:bgClr>
            </a:pattFill>
            <a:ln>
              <a:noFill/>
            </a:ln>
            <a:effectLst/>
          </c:spPr>
          <c:invertIfNegative val="0"/>
          <c:dLbls>
            <c:spPr>
              <a:noFill/>
              <a:ln>
                <a:noFill/>
              </a:ln>
              <a:effectLst/>
            </c:spPr>
            <c:txPr>
              <a:bodyPr rot="-5400000" spcFirstLastPara="1" vertOverflow="clip" horzOverflow="clip" vert="horz" wrap="square" lIns="38100" tIns="19050" rIns="38100" bIns="19050" anchor="ctr" anchorCtr="0">
                <a:spAutoFit/>
              </a:bodyPr>
              <a:lstStyle/>
              <a:p>
                <a:pPr algn="ctr">
                  <a:defRPr lang="en-US" sz="32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'query-per-second'!$B$18</c:f>
              <c:strCache>
                <c:ptCount val="1"/>
                <c:pt idx="0">
                  <c:v>SWDF - BGP</c:v>
                </c:pt>
              </c:strCache>
            </c:strRef>
          </c:cat>
          <c:val>
            <c:numRef>
              <c:f>'query-per-second'!$G$18</c:f>
              <c:numCache>
                <c:formatCode>0.000</c:formatCode>
                <c:ptCount val="1"/>
                <c:pt idx="0">
                  <c:v>6.1428834695005836</c:v>
                </c:pt>
              </c:numCache>
            </c:numRef>
          </c:val>
        </c:ser>
        <c:ser>
          <c:idx val="5"/>
          <c:order val="5"/>
          <c:tx>
            <c:strRef>
              <c:f>'query-per-second'!$H$17</c:f>
              <c:strCache>
                <c:ptCount val="1"/>
                <c:pt idx="0">
                  <c:v>ME</c:v>
                </c:pt>
              </c:strCache>
            </c:strRef>
          </c:tx>
          <c:spPr>
            <a:pattFill prst="trellis">
              <a:fgClr>
                <a:schemeClr val="accent6"/>
              </a:fgClr>
              <a:bgClr>
                <a:schemeClr val="bg1"/>
              </a:bgClr>
            </a:pattFill>
            <a:ln>
              <a:noFill/>
            </a:ln>
            <a:effectLst/>
          </c:spPr>
          <c:invertIfNegative val="0"/>
          <c:dLbls>
            <c:spPr>
              <a:noFill/>
              <a:ln>
                <a:noFill/>
              </a:ln>
              <a:effectLst/>
            </c:spPr>
            <c:txPr>
              <a:bodyPr rot="-5400000" spcFirstLastPara="1" vertOverflow="clip" horzOverflow="clip" vert="horz" wrap="square" lIns="38100" tIns="19050" rIns="38100" bIns="19050" anchor="ctr" anchorCtr="0">
                <a:spAutoFit/>
              </a:bodyPr>
              <a:lstStyle/>
              <a:p>
                <a:pPr algn="ctr">
                  <a:defRPr lang="en-US" sz="32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'query-per-second'!$B$18</c:f>
              <c:strCache>
                <c:ptCount val="1"/>
                <c:pt idx="0">
                  <c:v>SWDF - BGP</c:v>
                </c:pt>
              </c:strCache>
            </c:strRef>
          </c:cat>
          <c:val>
            <c:numRef>
              <c:f>'query-per-second'!$H$18</c:f>
              <c:numCache>
                <c:formatCode>0.000</c:formatCode>
                <c:ptCount val="1"/>
                <c:pt idx="0">
                  <c:v>6.0115421609490225</c:v>
                </c:pt>
              </c:numCache>
            </c:numRef>
          </c:val>
        </c:ser>
        <c:ser>
          <c:idx val="6"/>
          <c:order val="6"/>
          <c:tx>
            <c:strRef>
              <c:f>'query-per-second'!$I$17</c:f>
              <c:strCache>
                <c:ptCount val="1"/>
                <c:pt idx="0">
                  <c:v>RB</c:v>
                </c:pt>
              </c:strCache>
            </c:strRef>
          </c:tx>
          <c:spPr>
            <a:pattFill prst="pct50">
              <a:fgClr>
                <a:schemeClr val="accent5">
                  <a:lumMod val="75000"/>
                </a:schemeClr>
              </a:fgClr>
              <a:bgClr>
                <a:schemeClr val="bg1"/>
              </a:bgClr>
            </a:pattFill>
            <a:ln>
              <a:noFill/>
            </a:ln>
            <a:effectLst/>
          </c:spPr>
          <c:invertIfNegative val="0"/>
          <c:dLbls>
            <c:spPr>
              <a:noFill/>
              <a:ln>
                <a:noFill/>
              </a:ln>
              <a:effectLst/>
            </c:spPr>
            <c:txPr>
              <a:bodyPr rot="-5400000" spcFirstLastPara="1" vertOverflow="clip" horzOverflow="clip" vert="horz" wrap="square" lIns="38100" tIns="19050" rIns="38100" bIns="19050" anchor="ctr" anchorCtr="0">
                <a:spAutoFit/>
              </a:bodyPr>
              <a:lstStyle/>
              <a:p>
                <a:pPr algn="ctr">
                  <a:defRPr lang="en-US" sz="32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'query-per-second'!$B$18</c:f>
              <c:strCache>
                <c:ptCount val="1"/>
                <c:pt idx="0">
                  <c:v>SWDF - BGP</c:v>
                </c:pt>
              </c:strCache>
            </c:strRef>
          </c:cat>
          <c:val>
            <c:numRef>
              <c:f>'query-per-second'!$I$18</c:f>
              <c:numCache>
                <c:formatCode>0.000</c:formatCode>
                <c:ptCount val="1"/>
                <c:pt idx="0">
                  <c:v>5.8210605972408178</c:v>
                </c:pt>
              </c:numCache>
            </c:numRef>
          </c:val>
        </c:ser>
        <c:ser>
          <c:idx val="7"/>
          <c:order val="7"/>
          <c:tx>
            <c:strRef>
              <c:f>'query-per-second'!$J$17</c:f>
              <c:strCache>
                <c:ptCount val="1"/>
                <c:pt idx="0">
                  <c:v>PCM</c:v>
                </c:pt>
              </c:strCache>
            </c:strRef>
          </c:tx>
          <c:spPr>
            <a:pattFill prst="pct70">
              <a:fgClr>
                <a:schemeClr val="accent2">
                  <a:lumMod val="50000"/>
                </a:schemeClr>
              </a:fgClr>
              <a:bgClr>
                <a:schemeClr val="bg1"/>
              </a:bgClr>
            </a:pattFill>
            <a:ln>
              <a:noFill/>
            </a:ln>
            <a:effectLst/>
          </c:spPr>
          <c:invertIfNegative val="0"/>
          <c:dLbls>
            <c:spPr>
              <a:noFill/>
              <a:ln>
                <a:noFill/>
              </a:ln>
              <a:effectLst/>
            </c:spPr>
            <c:txPr>
              <a:bodyPr rot="-5400000" spcFirstLastPara="1" vertOverflow="clip" horzOverflow="clip" vert="horz" wrap="square" lIns="38100" tIns="19050" rIns="38100" bIns="19050" anchor="ctr" anchorCtr="0">
                <a:spAutoFit/>
              </a:bodyPr>
              <a:lstStyle/>
              <a:p>
                <a:pPr algn="ctr">
                  <a:defRPr lang="en-US" sz="32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'query-per-second'!$B$18</c:f>
              <c:strCache>
                <c:ptCount val="1"/>
                <c:pt idx="0">
                  <c:v>SWDF - BGP</c:v>
                </c:pt>
              </c:strCache>
            </c:strRef>
          </c:cat>
          <c:val>
            <c:numRef>
              <c:f>'query-per-second'!$J$18</c:f>
              <c:numCache>
                <c:formatCode>0.000</c:formatCode>
                <c:ptCount val="1"/>
                <c:pt idx="0">
                  <c:v>1.7201440333937295</c:v>
                </c:pt>
              </c:numCache>
            </c:numRef>
          </c:val>
        </c:ser>
        <c:ser>
          <c:idx val="8"/>
          <c:order val="8"/>
          <c:tx>
            <c:strRef>
              <c:f>'query-per-second'!$K$17</c:f>
              <c:strCache>
                <c:ptCount val="1"/>
                <c:pt idx="0">
                  <c:v>PCG</c:v>
                </c:pt>
              </c:strCache>
            </c:strRef>
          </c:tx>
          <c:spPr>
            <a:pattFill prst="lgCheck">
              <a:fgClr>
                <a:schemeClr val="accent4">
                  <a:lumMod val="50000"/>
                </a:schemeClr>
              </a:fgClr>
              <a:bgClr>
                <a:schemeClr val="bg1"/>
              </a:bgClr>
            </a:pattFill>
            <a:ln>
              <a:noFill/>
            </a:ln>
            <a:effectLst/>
          </c:spPr>
          <c:invertIfNegative val="0"/>
          <c:dLbls>
            <c:spPr>
              <a:noFill/>
              <a:ln>
                <a:noFill/>
              </a:ln>
              <a:effectLst/>
            </c:spPr>
            <c:txPr>
              <a:bodyPr rot="-5400000" spcFirstLastPara="1" vertOverflow="clip" horzOverflow="clip" vert="horz" wrap="square" lIns="38100" tIns="19050" rIns="38100" bIns="19050" anchor="ctr" anchorCtr="0">
                <a:spAutoFit/>
              </a:bodyPr>
              <a:lstStyle/>
              <a:p>
                <a:pPr algn="ctr">
                  <a:defRPr lang="en-US" sz="32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'query-per-second'!$B$18</c:f>
              <c:strCache>
                <c:ptCount val="1"/>
                <c:pt idx="0">
                  <c:v>SWDF - BGP</c:v>
                </c:pt>
              </c:strCache>
            </c:strRef>
          </c:cat>
          <c:val>
            <c:numRef>
              <c:f>'query-per-second'!$K$18</c:f>
              <c:numCache>
                <c:formatCode>0.000</c:formatCode>
                <c:ptCount val="1"/>
                <c:pt idx="0">
                  <c:v>2.6030368763557483</c:v>
                </c:pt>
              </c:numCache>
            </c:numRef>
          </c:val>
        </c:ser>
        <c:ser>
          <c:idx val="9"/>
          <c:order val="9"/>
          <c:tx>
            <c:strRef>
              <c:f>'query-per-second'!$L$17</c:f>
              <c:strCache>
                <c:ptCount val="1"/>
                <c:pt idx="0">
                  <c:v>PT</c:v>
                </c:pt>
              </c:strCache>
            </c:strRef>
          </c:tx>
          <c:spPr>
            <a:solidFill>
              <a:schemeClr val="accent4">
                <a:lumMod val="60000"/>
              </a:schemeClr>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'query-per-second'!$B$18</c:f>
              <c:strCache>
                <c:ptCount val="1"/>
                <c:pt idx="0">
                  <c:v>SWDF - BGP</c:v>
                </c:pt>
              </c:strCache>
            </c:strRef>
          </c:cat>
          <c:val>
            <c:numRef>
              <c:f>'query-per-second'!$L$18</c:f>
              <c:numCache>
                <c:formatCode>0.000</c:formatCode>
                <c:ptCount val="1"/>
                <c:pt idx="0">
                  <c:v>0.44510385756676557</c:v>
                </c:pt>
              </c:numCache>
            </c:numRef>
          </c:val>
        </c:ser>
        <c:dLbls>
          <c:dLblPos val="outEnd"/>
          <c:showLegendKey val="0"/>
          <c:showVal val="1"/>
          <c:showCatName val="0"/>
          <c:showSerName val="0"/>
          <c:showPercent val="0"/>
          <c:showBubbleSize val="0"/>
        </c:dLbls>
        <c:gapWidth val="20"/>
        <c:overlap val="-20"/>
        <c:axId val="1249079232"/>
        <c:axId val="1249073792"/>
      </c:barChart>
      <c:catAx>
        <c:axId val="124907923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4000" b="1" i="0" u="none" strike="noStrike" kern="1200" cap="all" spc="120" normalizeH="0" baseline="0">
                <a:solidFill>
                  <a:sysClr val="windowText" lastClr="000000"/>
                </a:solidFill>
                <a:latin typeface="+mn-lt"/>
                <a:ea typeface="+mn-ea"/>
                <a:cs typeface="+mn-cs"/>
              </a:defRPr>
            </a:pPr>
            <a:endParaRPr lang="en-US"/>
          </a:p>
        </c:txPr>
        <c:crossAx val="1249073792"/>
        <c:crosses val="autoZero"/>
        <c:auto val="1"/>
        <c:lblAlgn val="ctr"/>
        <c:lblOffset val="100"/>
        <c:noMultiLvlLbl val="0"/>
      </c:catAx>
      <c:valAx>
        <c:axId val="1249073792"/>
        <c:scaling>
          <c:orientation val="minMax"/>
        </c:scaling>
        <c:delete val="1"/>
        <c:axPos val="l"/>
        <c:numFmt formatCode="0.000" sourceLinked="1"/>
        <c:majorTickMark val="none"/>
        <c:minorTickMark val="none"/>
        <c:tickLblPos val="nextTo"/>
        <c:crossAx val="1249079232"/>
        <c:crosses val="autoZero"/>
        <c:crossBetween val="between"/>
      </c:valAx>
      <c:spPr>
        <a:noFill/>
        <a:ln w="25400">
          <a:noFill/>
        </a:ln>
        <a:effectLst/>
      </c:spPr>
    </c:plotArea>
    <c:legend>
      <c:legendPos val="t"/>
      <c:layout>
        <c:manualLayout>
          <c:xMode val="edge"/>
          <c:yMode val="edge"/>
          <c:x val="0"/>
          <c:y val="0.88909200933216681"/>
          <c:w val="0.42020694143726561"/>
          <c:h val="0.11090758863317812"/>
        </c:manualLayout>
      </c:layout>
      <c:overlay val="0"/>
      <c:spPr>
        <a:noFill/>
        <a:ln>
          <a:noFill/>
        </a:ln>
        <a:effectLst/>
      </c:spPr>
      <c:txPr>
        <a:bodyPr rot="0" spcFirstLastPara="1" vertOverflow="ellipsis" vert="horz" wrap="square" anchor="ctr" anchorCtr="1"/>
        <a:lstStyle/>
        <a:p>
          <a:pPr>
            <a:defRPr sz="4000" b="1"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2.1227034120734899E-4"/>
          <c:y val="0.10327719451735201"/>
          <c:w val="0.99975656167978988"/>
          <c:h val="0.63638363954505683"/>
        </c:manualLayout>
      </c:layout>
      <c:barChart>
        <c:barDir val="col"/>
        <c:grouping val="clustered"/>
        <c:varyColors val="0"/>
        <c:ser>
          <c:idx val="0"/>
          <c:order val="0"/>
          <c:tx>
            <c:strRef>
              <c:f>'query-per-second'!$C$21</c:f>
              <c:strCache>
                <c:ptCount val="1"/>
                <c:pt idx="0">
                  <c:v>PB</c:v>
                </c:pt>
              </c:strCache>
            </c:strRef>
          </c:tx>
          <c:spPr>
            <a:pattFill prst="pct75">
              <a:fgClr>
                <a:schemeClr val="accent6">
                  <a:lumMod val="50000"/>
                </a:schemeClr>
              </a:fgClr>
              <a:bgClr>
                <a:schemeClr val="bg1"/>
              </a:bgClr>
            </a:pattFill>
            <a:ln>
              <a:noFill/>
            </a:ln>
            <a:effectLst/>
          </c:spPr>
          <c:invertIfNegative val="0"/>
          <c:dLbls>
            <c:spPr>
              <a:noFill/>
              <a:ln>
                <a:noFill/>
              </a:ln>
              <a:effectLst/>
            </c:spPr>
            <c:txPr>
              <a:bodyPr rot="-5400000" spcFirstLastPara="1" vertOverflow="clip" horzOverflow="clip" vert="horz" wrap="square" lIns="38100" tIns="19050" rIns="38100" bIns="19050" anchor="ctr" anchorCtr="0">
                <a:spAutoFit/>
              </a:bodyPr>
              <a:lstStyle/>
              <a:p>
                <a:pPr algn="ctr">
                  <a:defRPr lang="en-US" sz="32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'query-per-second'!$B$22:$B$23</c:f>
              <c:strCache>
                <c:ptCount val="2"/>
                <c:pt idx="0">
                  <c:v>Dbpedia - BGP</c:v>
                </c:pt>
                <c:pt idx="1">
                  <c:v>DBpedia - FF</c:v>
                </c:pt>
              </c:strCache>
            </c:strRef>
          </c:cat>
          <c:val>
            <c:numRef>
              <c:f>'query-per-second'!$C$22:$C$23</c:f>
              <c:numCache>
                <c:formatCode>0.000</c:formatCode>
                <c:ptCount val="2"/>
                <c:pt idx="0">
                  <c:v>4.1014075757372759E-2</c:v>
                </c:pt>
                <c:pt idx="1">
                  <c:v>1.8730501547888648E-2</c:v>
                </c:pt>
              </c:numCache>
            </c:numRef>
          </c:val>
        </c:ser>
        <c:ser>
          <c:idx val="1"/>
          <c:order val="1"/>
          <c:tx>
            <c:strRef>
              <c:f>'query-per-second'!$D$21</c:f>
              <c:strCache>
                <c:ptCount val="1"/>
                <c:pt idx="0">
                  <c:v>SB</c:v>
                </c:pt>
              </c:strCache>
            </c:strRef>
          </c:tx>
          <c:spPr>
            <a:pattFill prst="pct80">
              <a:fgClr>
                <a:schemeClr val="accent2"/>
              </a:fgClr>
              <a:bgClr>
                <a:schemeClr val="bg1"/>
              </a:bgClr>
            </a:pattFill>
            <a:ln>
              <a:noFill/>
            </a:ln>
            <a:effectLst/>
          </c:spPr>
          <c:invertIfNegative val="0"/>
          <c:dLbls>
            <c:spPr>
              <a:noFill/>
              <a:ln>
                <a:noFill/>
              </a:ln>
              <a:effectLst/>
            </c:spPr>
            <c:txPr>
              <a:bodyPr rot="-5400000" spcFirstLastPara="1" vertOverflow="clip" horzOverflow="clip" vert="horz" wrap="square" lIns="38100" tIns="19050" rIns="38100" bIns="19050" anchor="ctr" anchorCtr="0">
                <a:spAutoFit/>
              </a:bodyPr>
              <a:lstStyle/>
              <a:p>
                <a:pPr algn="ctr">
                  <a:defRPr lang="en-US" sz="32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'query-per-second'!$B$22:$B$23</c:f>
              <c:strCache>
                <c:ptCount val="2"/>
                <c:pt idx="0">
                  <c:v>Dbpedia - BGP</c:v>
                </c:pt>
                <c:pt idx="1">
                  <c:v>DBpedia - FF</c:v>
                </c:pt>
              </c:strCache>
            </c:strRef>
          </c:cat>
          <c:val>
            <c:numRef>
              <c:f>'query-per-second'!$D$22:$D$23</c:f>
              <c:numCache>
                <c:formatCode>0.000</c:formatCode>
                <c:ptCount val="2"/>
                <c:pt idx="0">
                  <c:v>3.5661841579876646E-2</c:v>
                </c:pt>
                <c:pt idx="1">
                  <c:v>1.7113655379241168E-2</c:v>
                </c:pt>
              </c:numCache>
            </c:numRef>
          </c:val>
        </c:ser>
        <c:ser>
          <c:idx val="2"/>
          <c:order val="2"/>
          <c:tx>
            <c:strRef>
              <c:f>'query-per-second'!$E$21</c:f>
              <c:strCache>
                <c:ptCount val="1"/>
                <c:pt idx="0">
                  <c:v>Hi</c:v>
                </c:pt>
              </c:strCache>
            </c:strRef>
          </c:tx>
          <c:spPr>
            <a:pattFill prst="pct90">
              <a:fgClr>
                <a:schemeClr val="accent3"/>
              </a:fgClr>
              <a:bgClr>
                <a:schemeClr val="bg1"/>
              </a:bgClr>
            </a:pattFill>
            <a:ln>
              <a:noFill/>
            </a:ln>
            <a:effectLst/>
          </c:spPr>
          <c:invertIfNegative val="0"/>
          <c:dLbls>
            <c:spPr>
              <a:noFill/>
              <a:ln>
                <a:noFill/>
              </a:ln>
              <a:effectLst/>
            </c:spPr>
            <c:txPr>
              <a:bodyPr rot="-5400000" spcFirstLastPara="1" vertOverflow="clip" horzOverflow="clip" vert="horz" wrap="square" lIns="38100" tIns="19050" rIns="38100" bIns="19050" anchor="ctr" anchorCtr="0">
                <a:spAutoFit/>
              </a:bodyPr>
              <a:lstStyle/>
              <a:p>
                <a:pPr algn="ctr">
                  <a:defRPr lang="en-US" sz="32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'query-per-second'!$B$22:$B$23</c:f>
              <c:strCache>
                <c:ptCount val="2"/>
                <c:pt idx="0">
                  <c:v>Dbpedia - BGP</c:v>
                </c:pt>
                <c:pt idx="1">
                  <c:v>DBpedia - FF</c:v>
                </c:pt>
              </c:strCache>
            </c:strRef>
          </c:cat>
          <c:val>
            <c:numRef>
              <c:f>'query-per-second'!$E$22:$E$23</c:f>
              <c:numCache>
                <c:formatCode>0.000</c:formatCode>
                <c:ptCount val="2"/>
                <c:pt idx="0">
                  <c:v>3.8290194749035854E-2</c:v>
                </c:pt>
                <c:pt idx="1">
                  <c:v>1.7652375303620856E-2</c:v>
                </c:pt>
              </c:numCache>
            </c:numRef>
          </c:val>
        </c:ser>
        <c:ser>
          <c:idx val="3"/>
          <c:order val="3"/>
          <c:tx>
            <c:strRef>
              <c:f>'query-per-second'!$F$21</c:f>
              <c:strCache>
                <c:ptCount val="1"/>
                <c:pt idx="0">
                  <c:v>Ho</c:v>
                </c:pt>
              </c:strCache>
            </c:strRef>
          </c:tx>
          <c:spPr>
            <a:pattFill prst="dkDnDiag">
              <a:fgClr>
                <a:schemeClr val="accent4"/>
              </a:fgClr>
              <a:bgClr>
                <a:schemeClr val="bg1"/>
              </a:bgClr>
            </a:pattFill>
            <a:ln>
              <a:noFill/>
            </a:ln>
            <a:effectLst/>
          </c:spPr>
          <c:invertIfNegative val="0"/>
          <c:dLbls>
            <c:spPr>
              <a:noFill/>
              <a:ln>
                <a:noFill/>
              </a:ln>
              <a:effectLst/>
            </c:spPr>
            <c:txPr>
              <a:bodyPr rot="-5400000" spcFirstLastPara="1" vertOverflow="clip" horzOverflow="clip" vert="horz" wrap="square" lIns="38100" tIns="19050" rIns="38100" bIns="19050" anchor="ctr" anchorCtr="0">
                <a:spAutoFit/>
              </a:bodyPr>
              <a:lstStyle/>
              <a:p>
                <a:pPr algn="ctr">
                  <a:defRPr lang="en-US" sz="32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'query-per-second'!$B$22:$B$23</c:f>
              <c:strCache>
                <c:ptCount val="2"/>
                <c:pt idx="0">
                  <c:v>Dbpedia - BGP</c:v>
                </c:pt>
                <c:pt idx="1">
                  <c:v>DBpedia - FF</c:v>
                </c:pt>
              </c:strCache>
            </c:strRef>
          </c:cat>
          <c:val>
            <c:numRef>
              <c:f>'query-per-second'!$F$22:$F$23</c:f>
              <c:numCache>
                <c:formatCode>0.000</c:formatCode>
                <c:ptCount val="2"/>
                <c:pt idx="0">
                  <c:v>3.5666297560116141E-2</c:v>
                </c:pt>
                <c:pt idx="1">
                  <c:v>1.5870244877878466E-2</c:v>
                </c:pt>
              </c:numCache>
            </c:numRef>
          </c:val>
        </c:ser>
        <c:ser>
          <c:idx val="4"/>
          <c:order val="4"/>
          <c:tx>
            <c:strRef>
              <c:f>'query-per-second'!$G$21</c:f>
              <c:strCache>
                <c:ptCount val="1"/>
                <c:pt idx="0">
                  <c:v>TC</c:v>
                </c:pt>
              </c:strCache>
            </c:strRef>
          </c:tx>
          <c:spPr>
            <a:pattFill prst="dkUpDiag">
              <a:fgClr>
                <a:schemeClr val="accent5"/>
              </a:fgClr>
              <a:bgClr>
                <a:schemeClr val="bg1"/>
              </a:bgClr>
            </a:pattFill>
            <a:ln>
              <a:noFill/>
            </a:ln>
            <a:effectLst/>
          </c:spPr>
          <c:invertIfNegative val="0"/>
          <c:dLbls>
            <c:spPr>
              <a:noFill/>
              <a:ln>
                <a:noFill/>
              </a:ln>
              <a:effectLst/>
            </c:spPr>
            <c:txPr>
              <a:bodyPr rot="-5400000" spcFirstLastPara="1" vertOverflow="clip" horzOverflow="clip" vert="horz" wrap="square" lIns="38100" tIns="19050" rIns="38100" bIns="19050" anchor="ctr" anchorCtr="0">
                <a:spAutoFit/>
              </a:bodyPr>
              <a:lstStyle/>
              <a:p>
                <a:pPr algn="ctr">
                  <a:defRPr lang="en-US" sz="32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'query-per-second'!$B$22:$B$23</c:f>
              <c:strCache>
                <c:ptCount val="2"/>
                <c:pt idx="0">
                  <c:v>Dbpedia - BGP</c:v>
                </c:pt>
                <c:pt idx="1">
                  <c:v>DBpedia - FF</c:v>
                </c:pt>
              </c:strCache>
            </c:strRef>
          </c:cat>
          <c:val>
            <c:numRef>
              <c:f>'query-per-second'!$G$22:$G$23</c:f>
              <c:numCache>
                <c:formatCode>0.000</c:formatCode>
                <c:ptCount val="2"/>
                <c:pt idx="0">
                  <c:v>3.8565650885987984E-2</c:v>
                </c:pt>
                <c:pt idx="1">
                  <c:v>1.7735010915603637E-2</c:v>
                </c:pt>
              </c:numCache>
            </c:numRef>
          </c:val>
        </c:ser>
        <c:ser>
          <c:idx val="5"/>
          <c:order val="5"/>
          <c:tx>
            <c:strRef>
              <c:f>'query-per-second'!$H$21</c:f>
              <c:strCache>
                <c:ptCount val="1"/>
                <c:pt idx="0">
                  <c:v>ME</c:v>
                </c:pt>
              </c:strCache>
            </c:strRef>
          </c:tx>
          <c:spPr>
            <a:pattFill prst="trellis">
              <a:fgClr>
                <a:schemeClr val="accent6"/>
              </a:fgClr>
              <a:bgClr>
                <a:schemeClr val="bg1"/>
              </a:bgClr>
            </a:pattFill>
            <a:ln>
              <a:noFill/>
            </a:ln>
            <a:effectLst/>
          </c:spPr>
          <c:invertIfNegative val="0"/>
          <c:dLbls>
            <c:spPr>
              <a:noFill/>
              <a:ln>
                <a:noFill/>
              </a:ln>
              <a:effectLst/>
            </c:spPr>
            <c:txPr>
              <a:bodyPr rot="-5400000" spcFirstLastPara="1" vertOverflow="clip" horzOverflow="clip" vert="horz" wrap="square" lIns="38100" tIns="19050" rIns="38100" bIns="19050" anchor="ctr" anchorCtr="0">
                <a:spAutoFit/>
              </a:bodyPr>
              <a:lstStyle/>
              <a:p>
                <a:pPr algn="ctr">
                  <a:defRPr lang="en-US" sz="32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'query-per-second'!$B$22:$B$23</c:f>
              <c:strCache>
                <c:ptCount val="2"/>
                <c:pt idx="0">
                  <c:v>Dbpedia - BGP</c:v>
                </c:pt>
                <c:pt idx="1">
                  <c:v>DBpedia - FF</c:v>
                </c:pt>
              </c:strCache>
            </c:strRef>
          </c:cat>
          <c:val>
            <c:numRef>
              <c:f>'query-per-second'!$H$22:$H$23</c:f>
              <c:numCache>
                <c:formatCode>0.000</c:formatCode>
                <c:ptCount val="2"/>
                <c:pt idx="0">
                  <c:v>3.5404830635091852E-2</c:v>
                </c:pt>
                <c:pt idx="1">
                  <c:v>1.676865642984908E-2</c:v>
                </c:pt>
              </c:numCache>
            </c:numRef>
          </c:val>
        </c:ser>
        <c:ser>
          <c:idx val="6"/>
          <c:order val="6"/>
          <c:tx>
            <c:strRef>
              <c:f>'query-per-second'!$I$21</c:f>
              <c:strCache>
                <c:ptCount val="1"/>
                <c:pt idx="0">
                  <c:v>RB</c:v>
                </c:pt>
              </c:strCache>
            </c:strRef>
          </c:tx>
          <c:spPr>
            <a:pattFill prst="pct50">
              <a:fgClr>
                <a:schemeClr val="accent5">
                  <a:lumMod val="75000"/>
                </a:schemeClr>
              </a:fgClr>
              <a:bgClr>
                <a:schemeClr val="bg1"/>
              </a:bgClr>
            </a:pattFill>
            <a:ln>
              <a:noFill/>
            </a:ln>
            <a:effectLst/>
          </c:spPr>
          <c:invertIfNegative val="0"/>
          <c:dLbls>
            <c:spPr>
              <a:noFill/>
              <a:ln>
                <a:noFill/>
              </a:ln>
              <a:effectLst/>
            </c:spPr>
            <c:txPr>
              <a:bodyPr rot="-5400000" spcFirstLastPara="1" vertOverflow="clip" horzOverflow="clip" vert="horz" wrap="square" lIns="38100" tIns="19050" rIns="38100" bIns="19050" anchor="ctr" anchorCtr="0">
                <a:spAutoFit/>
              </a:bodyPr>
              <a:lstStyle/>
              <a:p>
                <a:pPr algn="ctr">
                  <a:defRPr lang="en-US" sz="32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'query-per-second'!$B$22:$B$23</c:f>
              <c:strCache>
                <c:ptCount val="2"/>
                <c:pt idx="0">
                  <c:v>Dbpedia - BGP</c:v>
                </c:pt>
                <c:pt idx="1">
                  <c:v>DBpedia - FF</c:v>
                </c:pt>
              </c:strCache>
            </c:strRef>
          </c:cat>
          <c:val>
            <c:numRef>
              <c:f>'query-per-second'!$I$22:$I$23</c:f>
              <c:numCache>
                <c:formatCode>0.000</c:formatCode>
                <c:ptCount val="2"/>
                <c:pt idx="0">
                  <c:v>3.5758383463607088E-2</c:v>
                </c:pt>
                <c:pt idx="1">
                  <c:v>1.7334076772626026E-2</c:v>
                </c:pt>
              </c:numCache>
            </c:numRef>
          </c:val>
        </c:ser>
        <c:ser>
          <c:idx val="7"/>
          <c:order val="7"/>
          <c:tx>
            <c:strRef>
              <c:f>'query-per-second'!$J$21</c:f>
              <c:strCache>
                <c:ptCount val="1"/>
                <c:pt idx="0">
                  <c:v>PCM</c:v>
                </c:pt>
              </c:strCache>
            </c:strRef>
          </c:tx>
          <c:spPr>
            <a:pattFill prst="pct70">
              <a:fgClr>
                <a:schemeClr val="accent2">
                  <a:lumMod val="50000"/>
                </a:schemeClr>
              </a:fgClr>
              <a:bgClr>
                <a:schemeClr val="bg1"/>
              </a:bgClr>
            </a:pattFill>
            <a:ln>
              <a:noFill/>
            </a:ln>
            <a:effectLst/>
          </c:spPr>
          <c:invertIfNegative val="0"/>
          <c:dLbls>
            <c:spPr>
              <a:noFill/>
              <a:ln>
                <a:noFill/>
              </a:ln>
              <a:effectLst/>
            </c:spPr>
            <c:txPr>
              <a:bodyPr rot="-5400000" spcFirstLastPara="1" vertOverflow="clip" horzOverflow="clip" vert="horz" wrap="square" lIns="38100" tIns="19050" rIns="38100" bIns="19050" anchor="ctr" anchorCtr="0">
                <a:spAutoFit/>
              </a:bodyPr>
              <a:lstStyle/>
              <a:p>
                <a:pPr algn="ctr">
                  <a:defRPr lang="en-US" sz="32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'query-per-second'!$B$22:$B$23</c:f>
              <c:strCache>
                <c:ptCount val="2"/>
                <c:pt idx="0">
                  <c:v>Dbpedia - BGP</c:v>
                </c:pt>
                <c:pt idx="1">
                  <c:v>DBpedia - FF</c:v>
                </c:pt>
              </c:strCache>
            </c:strRef>
          </c:cat>
          <c:val>
            <c:numRef>
              <c:f>'query-per-second'!$J$22:$J$23</c:f>
              <c:numCache>
                <c:formatCode>0.000</c:formatCode>
                <c:ptCount val="2"/>
                <c:pt idx="0">
                  <c:v>4.4624349990561946E-2</c:v>
                </c:pt>
                <c:pt idx="1">
                  <c:v>2.3532442374147321E-2</c:v>
                </c:pt>
              </c:numCache>
            </c:numRef>
          </c:val>
        </c:ser>
        <c:ser>
          <c:idx val="8"/>
          <c:order val="8"/>
          <c:tx>
            <c:strRef>
              <c:f>'query-per-second'!$K$21</c:f>
              <c:strCache>
                <c:ptCount val="1"/>
                <c:pt idx="0">
                  <c:v>PCG</c:v>
                </c:pt>
              </c:strCache>
            </c:strRef>
          </c:tx>
          <c:spPr>
            <a:pattFill prst="lgCheck">
              <a:fgClr>
                <a:schemeClr val="accent4">
                  <a:lumMod val="50000"/>
                </a:schemeClr>
              </a:fgClr>
              <a:bgClr>
                <a:schemeClr val="bg1"/>
              </a:bgClr>
            </a:pattFill>
            <a:ln>
              <a:noFill/>
            </a:ln>
            <a:effectLst/>
          </c:spPr>
          <c:invertIfNegative val="0"/>
          <c:dLbls>
            <c:spPr>
              <a:noFill/>
              <a:ln>
                <a:noFill/>
              </a:ln>
              <a:effectLst/>
            </c:spPr>
            <c:txPr>
              <a:bodyPr rot="-5400000" spcFirstLastPara="1" vertOverflow="clip" horzOverflow="clip" vert="horz" wrap="square" lIns="38100" tIns="19050" rIns="38100" bIns="19050" anchor="ctr" anchorCtr="0">
                <a:spAutoFit/>
              </a:bodyPr>
              <a:lstStyle/>
              <a:p>
                <a:pPr algn="ctr">
                  <a:defRPr lang="en-US" sz="32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'query-per-second'!$B$22:$B$23</c:f>
              <c:strCache>
                <c:ptCount val="2"/>
                <c:pt idx="0">
                  <c:v>Dbpedia - BGP</c:v>
                </c:pt>
                <c:pt idx="1">
                  <c:v>DBpedia - FF</c:v>
                </c:pt>
              </c:strCache>
            </c:strRef>
          </c:cat>
          <c:val>
            <c:numRef>
              <c:f>'query-per-second'!$K$22:$K$23</c:f>
              <c:numCache>
                <c:formatCode>0.000</c:formatCode>
                <c:ptCount val="2"/>
                <c:pt idx="0">
                  <c:v>4.595698762975764E-2</c:v>
                </c:pt>
                <c:pt idx="1">
                  <c:v>2.6420944834124022E-2</c:v>
                </c:pt>
              </c:numCache>
            </c:numRef>
          </c:val>
        </c:ser>
        <c:dLbls>
          <c:dLblPos val="outEnd"/>
          <c:showLegendKey val="0"/>
          <c:showVal val="1"/>
          <c:showCatName val="0"/>
          <c:showSerName val="0"/>
          <c:showPercent val="0"/>
          <c:showBubbleSize val="0"/>
        </c:dLbls>
        <c:gapWidth val="20"/>
        <c:overlap val="-20"/>
        <c:axId val="1249072704"/>
        <c:axId val="1249067264"/>
      </c:barChart>
      <c:catAx>
        <c:axId val="1249072704"/>
        <c:scaling>
          <c:orientation val="minMax"/>
        </c:scaling>
        <c:delete val="0"/>
        <c:axPos val="b"/>
        <c:majorGridlines>
          <c:spPr>
            <a:ln w="9525" cap="flat" cmpd="sng" algn="ctr">
              <a:solidFill>
                <a:schemeClr val="tx1"/>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4000" b="1" i="0" u="none" strike="noStrike" kern="1200" cap="all" spc="120" normalizeH="0" baseline="0">
                <a:solidFill>
                  <a:sysClr val="windowText" lastClr="000000"/>
                </a:solidFill>
                <a:latin typeface="+mn-lt"/>
                <a:ea typeface="+mn-ea"/>
                <a:cs typeface="+mn-cs"/>
              </a:defRPr>
            </a:pPr>
            <a:endParaRPr lang="en-US"/>
          </a:p>
        </c:txPr>
        <c:crossAx val="1249067264"/>
        <c:crosses val="autoZero"/>
        <c:auto val="1"/>
        <c:lblAlgn val="ctr"/>
        <c:lblOffset val="100"/>
        <c:noMultiLvlLbl val="0"/>
      </c:catAx>
      <c:valAx>
        <c:axId val="1249067264"/>
        <c:scaling>
          <c:orientation val="minMax"/>
        </c:scaling>
        <c:delete val="1"/>
        <c:axPos val="l"/>
        <c:numFmt formatCode="0.000" sourceLinked="1"/>
        <c:majorTickMark val="none"/>
        <c:minorTickMark val="none"/>
        <c:tickLblPos val="nextTo"/>
        <c:crossAx val="1249072704"/>
        <c:crosses val="autoZero"/>
        <c:crossBetween val="between"/>
      </c:valAx>
      <c:spPr>
        <a:noFill/>
        <a:ln w="25400">
          <a:noFill/>
        </a:ln>
        <a:effectLst/>
      </c:spPr>
    </c:plotArea>
    <c:legend>
      <c:legendPos val="t"/>
      <c:layout>
        <c:manualLayout>
          <c:xMode val="edge"/>
          <c:yMode val="edge"/>
          <c:x val="0"/>
          <c:y val="0.88909200933216681"/>
          <c:w val="0.99951312335958009"/>
          <c:h val="9.2817147856517929E-2"/>
        </c:manualLayout>
      </c:layout>
      <c:overlay val="0"/>
      <c:spPr>
        <a:noFill/>
        <a:ln>
          <a:noFill/>
        </a:ln>
        <a:effectLst/>
      </c:spPr>
      <c:txPr>
        <a:bodyPr rot="0" spcFirstLastPara="1" vertOverflow="ellipsis" vert="horz" wrap="square" anchor="ctr" anchorCtr="1"/>
        <a:lstStyle/>
        <a:p>
          <a:pPr>
            <a:defRPr sz="4000" b="1"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2.1227034120734899E-4"/>
          <c:y val="0.10327719451735201"/>
          <c:w val="0.99975656167978988"/>
          <c:h val="0.63638363954505683"/>
        </c:manualLayout>
      </c:layout>
      <c:barChart>
        <c:barDir val="col"/>
        <c:grouping val="clustered"/>
        <c:varyColors val="0"/>
        <c:ser>
          <c:idx val="0"/>
          <c:order val="0"/>
          <c:tx>
            <c:strRef>
              <c:f>'query-per-second'!$C$28</c:f>
              <c:strCache>
                <c:ptCount val="1"/>
                <c:pt idx="0">
                  <c:v>PB</c:v>
                </c:pt>
              </c:strCache>
            </c:strRef>
          </c:tx>
          <c:spPr>
            <a:pattFill prst="pct75">
              <a:fgClr>
                <a:schemeClr val="accent6">
                  <a:lumMod val="50000"/>
                </a:schemeClr>
              </a:fgClr>
              <a:bgClr>
                <a:schemeClr val="bg1"/>
              </a:bgClr>
            </a:pattFill>
            <a:ln>
              <a:noFill/>
            </a:ln>
            <a:effectLst/>
          </c:spPr>
          <c:invertIfNegative val="0"/>
          <c:dLbls>
            <c:spPr>
              <a:noFill/>
              <a:ln>
                <a:noFill/>
              </a:ln>
              <a:effectLst/>
            </c:spPr>
            <c:txPr>
              <a:bodyPr rot="-5400000" spcFirstLastPara="1" vertOverflow="clip" horzOverflow="clip" vert="horz" wrap="square" lIns="38100" tIns="19050" rIns="38100" bIns="19050" anchor="ctr" anchorCtr="0">
                <a:spAutoFit/>
              </a:bodyPr>
              <a:lstStyle/>
              <a:p>
                <a:pPr algn="ctr">
                  <a:defRPr lang="en-US" sz="32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'query-per-second'!$B$29</c:f>
              <c:strCache>
                <c:ptCount val="1"/>
                <c:pt idx="0">
                  <c:v>SWDF - BGP</c:v>
                </c:pt>
              </c:strCache>
            </c:strRef>
          </c:cat>
          <c:val>
            <c:numRef>
              <c:f>'query-per-second'!$C$29</c:f>
              <c:numCache>
                <c:formatCode>0.000</c:formatCode>
                <c:ptCount val="1"/>
                <c:pt idx="0">
                  <c:v>0.27293147509454796</c:v>
                </c:pt>
              </c:numCache>
            </c:numRef>
          </c:val>
        </c:ser>
        <c:ser>
          <c:idx val="1"/>
          <c:order val="1"/>
          <c:tx>
            <c:strRef>
              <c:f>'query-per-second'!$D$28</c:f>
              <c:strCache>
                <c:ptCount val="1"/>
                <c:pt idx="0">
                  <c:v>SB</c:v>
                </c:pt>
              </c:strCache>
            </c:strRef>
          </c:tx>
          <c:spPr>
            <a:pattFill prst="pct80">
              <a:fgClr>
                <a:schemeClr val="accent2"/>
              </a:fgClr>
              <a:bgClr>
                <a:schemeClr val="bg1"/>
              </a:bgClr>
            </a:pattFill>
            <a:ln>
              <a:noFill/>
            </a:ln>
            <a:effectLst/>
          </c:spPr>
          <c:invertIfNegative val="0"/>
          <c:dLbls>
            <c:spPr>
              <a:noFill/>
              <a:ln>
                <a:noFill/>
              </a:ln>
              <a:effectLst/>
            </c:spPr>
            <c:txPr>
              <a:bodyPr rot="-5400000" spcFirstLastPara="1" vertOverflow="clip" horzOverflow="clip" vert="horz" wrap="square" lIns="38100" tIns="19050" rIns="38100" bIns="19050" anchor="ctr" anchorCtr="0">
                <a:spAutoFit/>
              </a:bodyPr>
              <a:lstStyle/>
              <a:p>
                <a:pPr algn="ctr">
                  <a:defRPr lang="en-US" sz="32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'query-per-second'!$B$29</c:f>
              <c:strCache>
                <c:ptCount val="1"/>
                <c:pt idx="0">
                  <c:v>SWDF - BGP</c:v>
                </c:pt>
              </c:strCache>
            </c:strRef>
          </c:cat>
          <c:val>
            <c:numRef>
              <c:f>'query-per-second'!$D$29</c:f>
              <c:numCache>
                <c:formatCode>0.000</c:formatCode>
                <c:ptCount val="1"/>
                <c:pt idx="0">
                  <c:v>0.28395027841324799</c:v>
                </c:pt>
              </c:numCache>
            </c:numRef>
          </c:val>
        </c:ser>
        <c:ser>
          <c:idx val="2"/>
          <c:order val="2"/>
          <c:tx>
            <c:strRef>
              <c:f>'query-per-second'!$E$28</c:f>
              <c:strCache>
                <c:ptCount val="1"/>
                <c:pt idx="0">
                  <c:v>Hi</c:v>
                </c:pt>
              </c:strCache>
            </c:strRef>
          </c:tx>
          <c:spPr>
            <a:pattFill prst="pct90">
              <a:fgClr>
                <a:schemeClr val="accent3"/>
              </a:fgClr>
              <a:bgClr>
                <a:schemeClr val="bg1"/>
              </a:bgClr>
            </a:pattFill>
            <a:ln>
              <a:noFill/>
            </a:ln>
            <a:effectLst/>
          </c:spPr>
          <c:invertIfNegative val="0"/>
          <c:dLbls>
            <c:spPr>
              <a:noFill/>
              <a:ln>
                <a:noFill/>
              </a:ln>
              <a:effectLst/>
            </c:spPr>
            <c:txPr>
              <a:bodyPr rot="-5400000" spcFirstLastPara="1" vertOverflow="clip" horzOverflow="clip" vert="horz" wrap="square" lIns="38100" tIns="19050" rIns="38100" bIns="19050" anchor="ctr" anchorCtr="0">
                <a:spAutoFit/>
              </a:bodyPr>
              <a:lstStyle/>
              <a:p>
                <a:pPr algn="ctr">
                  <a:defRPr lang="en-US" sz="32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'query-per-second'!$B$29</c:f>
              <c:strCache>
                <c:ptCount val="1"/>
                <c:pt idx="0">
                  <c:v>SWDF - BGP</c:v>
                </c:pt>
              </c:strCache>
            </c:strRef>
          </c:cat>
          <c:val>
            <c:numRef>
              <c:f>'query-per-second'!$E$29</c:f>
              <c:numCache>
                <c:formatCode>0.000</c:formatCode>
                <c:ptCount val="1"/>
                <c:pt idx="0">
                  <c:v>0.2847972386059745</c:v>
                </c:pt>
              </c:numCache>
            </c:numRef>
          </c:val>
        </c:ser>
        <c:ser>
          <c:idx val="3"/>
          <c:order val="3"/>
          <c:tx>
            <c:strRef>
              <c:f>'query-per-second'!$F$28</c:f>
              <c:strCache>
                <c:ptCount val="1"/>
                <c:pt idx="0">
                  <c:v>Ho</c:v>
                </c:pt>
              </c:strCache>
            </c:strRef>
          </c:tx>
          <c:spPr>
            <a:pattFill prst="dkDnDiag">
              <a:fgClr>
                <a:schemeClr val="accent4"/>
              </a:fgClr>
              <a:bgClr>
                <a:schemeClr val="bg1"/>
              </a:bgClr>
            </a:pattFill>
            <a:ln>
              <a:noFill/>
            </a:ln>
            <a:effectLst/>
          </c:spPr>
          <c:invertIfNegative val="0"/>
          <c:dLbls>
            <c:spPr>
              <a:noFill/>
              <a:ln>
                <a:noFill/>
              </a:ln>
              <a:effectLst/>
            </c:spPr>
            <c:txPr>
              <a:bodyPr rot="-5400000" spcFirstLastPara="1" vertOverflow="clip" horzOverflow="clip" vert="horz" wrap="square" lIns="38100" tIns="19050" rIns="38100" bIns="19050" anchor="ctr" anchorCtr="0">
                <a:spAutoFit/>
              </a:bodyPr>
              <a:lstStyle/>
              <a:p>
                <a:pPr algn="ctr">
                  <a:defRPr lang="en-US" sz="32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'query-per-second'!$B$29</c:f>
              <c:strCache>
                <c:ptCount val="1"/>
                <c:pt idx="0">
                  <c:v>SWDF - BGP</c:v>
                </c:pt>
              </c:strCache>
            </c:strRef>
          </c:cat>
          <c:val>
            <c:numRef>
              <c:f>'query-per-second'!$F$29</c:f>
              <c:numCache>
                <c:formatCode>0.000</c:formatCode>
                <c:ptCount val="1"/>
                <c:pt idx="0">
                  <c:v>0.28830768195818574</c:v>
                </c:pt>
              </c:numCache>
            </c:numRef>
          </c:val>
        </c:ser>
        <c:ser>
          <c:idx val="4"/>
          <c:order val="4"/>
          <c:tx>
            <c:strRef>
              <c:f>'query-per-second'!$G$28</c:f>
              <c:strCache>
                <c:ptCount val="1"/>
                <c:pt idx="0">
                  <c:v>TC</c:v>
                </c:pt>
              </c:strCache>
            </c:strRef>
          </c:tx>
          <c:spPr>
            <a:pattFill prst="dkUpDiag">
              <a:fgClr>
                <a:schemeClr val="accent5"/>
              </a:fgClr>
              <a:bgClr>
                <a:schemeClr val="bg1"/>
              </a:bgClr>
            </a:pattFill>
            <a:ln>
              <a:noFill/>
            </a:ln>
            <a:effectLst/>
          </c:spPr>
          <c:invertIfNegative val="0"/>
          <c:dLbls>
            <c:spPr>
              <a:noFill/>
              <a:ln>
                <a:noFill/>
              </a:ln>
              <a:effectLst/>
            </c:spPr>
            <c:txPr>
              <a:bodyPr rot="-5400000" spcFirstLastPara="1" vertOverflow="clip" horzOverflow="clip" vert="horz" wrap="square" lIns="38100" tIns="19050" rIns="38100" bIns="19050" anchor="ctr" anchorCtr="0">
                <a:spAutoFit/>
              </a:bodyPr>
              <a:lstStyle/>
              <a:p>
                <a:pPr algn="ctr">
                  <a:defRPr lang="en-US" sz="32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'query-per-second'!$B$29</c:f>
              <c:strCache>
                <c:ptCount val="1"/>
                <c:pt idx="0">
                  <c:v>SWDF - BGP</c:v>
                </c:pt>
              </c:strCache>
            </c:strRef>
          </c:cat>
          <c:val>
            <c:numRef>
              <c:f>'query-per-second'!$G$29</c:f>
              <c:numCache>
                <c:formatCode>0.000</c:formatCode>
                <c:ptCount val="1"/>
                <c:pt idx="0">
                  <c:v>0.28532814162928072</c:v>
                </c:pt>
              </c:numCache>
            </c:numRef>
          </c:val>
        </c:ser>
        <c:ser>
          <c:idx val="5"/>
          <c:order val="5"/>
          <c:tx>
            <c:strRef>
              <c:f>'query-per-second'!$H$28</c:f>
              <c:strCache>
                <c:ptCount val="1"/>
                <c:pt idx="0">
                  <c:v>ME</c:v>
                </c:pt>
              </c:strCache>
            </c:strRef>
          </c:tx>
          <c:spPr>
            <a:pattFill prst="trellis">
              <a:fgClr>
                <a:schemeClr val="accent6"/>
              </a:fgClr>
              <a:bgClr>
                <a:schemeClr val="bg1"/>
              </a:bgClr>
            </a:pattFill>
            <a:ln>
              <a:noFill/>
            </a:ln>
            <a:effectLst/>
          </c:spPr>
          <c:invertIfNegative val="0"/>
          <c:dLbls>
            <c:spPr>
              <a:noFill/>
              <a:ln>
                <a:noFill/>
              </a:ln>
              <a:effectLst/>
            </c:spPr>
            <c:txPr>
              <a:bodyPr rot="-5400000" spcFirstLastPara="1" vertOverflow="clip" horzOverflow="clip" vert="horz" wrap="square" lIns="38100" tIns="19050" rIns="38100" bIns="19050" anchor="ctr" anchorCtr="0">
                <a:spAutoFit/>
              </a:bodyPr>
              <a:lstStyle/>
              <a:p>
                <a:pPr algn="ctr">
                  <a:defRPr lang="en-US" sz="32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'query-per-second'!$B$29</c:f>
              <c:strCache>
                <c:ptCount val="1"/>
                <c:pt idx="0">
                  <c:v>SWDF - BGP</c:v>
                </c:pt>
              </c:strCache>
            </c:strRef>
          </c:cat>
          <c:val>
            <c:numRef>
              <c:f>'query-per-second'!$H$29</c:f>
              <c:numCache>
                <c:formatCode>0.000</c:formatCode>
                <c:ptCount val="1"/>
                <c:pt idx="0">
                  <c:v>0.28499311741621441</c:v>
                </c:pt>
              </c:numCache>
            </c:numRef>
          </c:val>
        </c:ser>
        <c:ser>
          <c:idx val="6"/>
          <c:order val="6"/>
          <c:tx>
            <c:strRef>
              <c:f>'query-per-second'!$I$28</c:f>
              <c:strCache>
                <c:ptCount val="1"/>
                <c:pt idx="0">
                  <c:v>RB</c:v>
                </c:pt>
              </c:strCache>
            </c:strRef>
          </c:tx>
          <c:spPr>
            <a:pattFill prst="pct50">
              <a:fgClr>
                <a:schemeClr val="accent5">
                  <a:lumMod val="75000"/>
                </a:schemeClr>
              </a:fgClr>
              <a:bgClr>
                <a:schemeClr val="bg1"/>
              </a:bgClr>
            </a:pattFill>
            <a:ln>
              <a:noFill/>
            </a:ln>
            <a:effectLst/>
          </c:spPr>
          <c:invertIfNegative val="0"/>
          <c:dLbls>
            <c:spPr>
              <a:noFill/>
              <a:ln>
                <a:noFill/>
              </a:ln>
              <a:effectLst/>
            </c:spPr>
            <c:txPr>
              <a:bodyPr rot="-5400000" spcFirstLastPara="1" vertOverflow="clip" horzOverflow="clip" vert="horz" wrap="square" lIns="38100" tIns="19050" rIns="38100" bIns="19050" anchor="ctr" anchorCtr="0">
                <a:spAutoFit/>
              </a:bodyPr>
              <a:lstStyle/>
              <a:p>
                <a:pPr algn="ctr">
                  <a:defRPr lang="en-US" sz="32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'query-per-second'!$B$29</c:f>
              <c:strCache>
                <c:ptCount val="1"/>
                <c:pt idx="0">
                  <c:v>SWDF - BGP</c:v>
                </c:pt>
              </c:strCache>
            </c:strRef>
          </c:cat>
          <c:val>
            <c:numRef>
              <c:f>'query-per-second'!$I$29</c:f>
              <c:numCache>
                <c:formatCode>0.000</c:formatCode>
                <c:ptCount val="1"/>
                <c:pt idx="0">
                  <c:v>0.28502940078269073</c:v>
                </c:pt>
              </c:numCache>
            </c:numRef>
          </c:val>
        </c:ser>
        <c:ser>
          <c:idx val="7"/>
          <c:order val="7"/>
          <c:tx>
            <c:strRef>
              <c:f>'query-per-second'!$J$28</c:f>
              <c:strCache>
                <c:ptCount val="1"/>
                <c:pt idx="0">
                  <c:v>PCM</c:v>
                </c:pt>
              </c:strCache>
            </c:strRef>
          </c:tx>
          <c:spPr>
            <a:pattFill prst="pct70">
              <a:fgClr>
                <a:schemeClr val="accent2">
                  <a:lumMod val="50000"/>
                </a:schemeClr>
              </a:fgClr>
              <a:bgClr>
                <a:schemeClr val="bg1"/>
              </a:bgClr>
            </a:pattFill>
            <a:ln>
              <a:noFill/>
            </a:ln>
            <a:effectLst/>
          </c:spPr>
          <c:invertIfNegative val="0"/>
          <c:dLbls>
            <c:spPr>
              <a:noFill/>
              <a:ln>
                <a:noFill/>
              </a:ln>
              <a:effectLst/>
            </c:spPr>
            <c:txPr>
              <a:bodyPr rot="-5400000" spcFirstLastPara="1" vertOverflow="clip" horzOverflow="clip" vert="horz" wrap="square" lIns="38100" tIns="19050" rIns="38100" bIns="19050" anchor="ctr" anchorCtr="0">
                <a:spAutoFit/>
              </a:bodyPr>
              <a:lstStyle/>
              <a:p>
                <a:pPr algn="ctr">
                  <a:defRPr lang="en-US" sz="32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'query-per-second'!$B$29</c:f>
              <c:strCache>
                <c:ptCount val="1"/>
                <c:pt idx="0">
                  <c:v>SWDF - BGP</c:v>
                </c:pt>
              </c:strCache>
            </c:strRef>
          </c:cat>
          <c:val>
            <c:numRef>
              <c:f>'query-per-second'!$J$29</c:f>
              <c:numCache>
                <c:formatCode>0.000</c:formatCode>
                <c:ptCount val="1"/>
                <c:pt idx="0">
                  <c:v>0.26204741136464682</c:v>
                </c:pt>
              </c:numCache>
            </c:numRef>
          </c:val>
        </c:ser>
        <c:ser>
          <c:idx val="8"/>
          <c:order val="8"/>
          <c:tx>
            <c:strRef>
              <c:f>'query-per-second'!$K$28</c:f>
              <c:strCache>
                <c:ptCount val="1"/>
                <c:pt idx="0">
                  <c:v>PCG</c:v>
                </c:pt>
              </c:strCache>
            </c:strRef>
          </c:tx>
          <c:spPr>
            <a:pattFill prst="lgCheck">
              <a:fgClr>
                <a:schemeClr val="accent4">
                  <a:lumMod val="50000"/>
                </a:schemeClr>
              </a:fgClr>
              <a:bgClr>
                <a:schemeClr val="bg1"/>
              </a:bgClr>
            </a:pattFill>
            <a:ln>
              <a:noFill/>
            </a:ln>
            <a:effectLst/>
          </c:spPr>
          <c:invertIfNegative val="0"/>
          <c:dLbls>
            <c:spPr>
              <a:noFill/>
              <a:ln>
                <a:noFill/>
              </a:ln>
              <a:effectLst/>
            </c:spPr>
            <c:txPr>
              <a:bodyPr rot="-5400000" spcFirstLastPara="1" vertOverflow="clip" horzOverflow="clip" vert="horz" wrap="square" lIns="38100" tIns="19050" rIns="38100" bIns="19050" anchor="ctr" anchorCtr="0">
                <a:spAutoFit/>
              </a:bodyPr>
              <a:lstStyle/>
              <a:p>
                <a:pPr algn="ctr">
                  <a:defRPr lang="en-US" sz="32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'query-per-second'!$B$29</c:f>
              <c:strCache>
                <c:ptCount val="1"/>
                <c:pt idx="0">
                  <c:v>SWDF - BGP</c:v>
                </c:pt>
              </c:strCache>
            </c:strRef>
          </c:cat>
          <c:val>
            <c:numRef>
              <c:f>'query-per-second'!$K$29</c:f>
              <c:numCache>
                <c:formatCode>0.000</c:formatCode>
                <c:ptCount val="1"/>
                <c:pt idx="0">
                  <c:v>0.303951367781155</c:v>
                </c:pt>
              </c:numCache>
            </c:numRef>
          </c:val>
        </c:ser>
        <c:ser>
          <c:idx val="9"/>
          <c:order val="9"/>
          <c:tx>
            <c:strRef>
              <c:f>'query-per-second'!$L$28</c:f>
              <c:strCache>
                <c:ptCount val="1"/>
                <c:pt idx="0">
                  <c:v>PT</c:v>
                </c:pt>
              </c:strCache>
            </c:strRef>
          </c:tx>
          <c:spPr>
            <a:solidFill>
              <a:schemeClr val="accent4">
                <a:lumMod val="60000"/>
              </a:schemeClr>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'query-per-second'!$B$29</c:f>
              <c:strCache>
                <c:ptCount val="1"/>
                <c:pt idx="0">
                  <c:v>SWDF - BGP</c:v>
                </c:pt>
              </c:strCache>
            </c:strRef>
          </c:cat>
          <c:val>
            <c:numRef>
              <c:f>'query-per-second'!$L$29</c:f>
              <c:numCache>
                <c:formatCode>0.000</c:formatCode>
                <c:ptCount val="1"/>
                <c:pt idx="0">
                  <c:v>0.2857142857142857</c:v>
                </c:pt>
              </c:numCache>
            </c:numRef>
          </c:val>
        </c:ser>
        <c:dLbls>
          <c:dLblPos val="outEnd"/>
          <c:showLegendKey val="0"/>
          <c:showVal val="1"/>
          <c:showCatName val="0"/>
          <c:showSerName val="0"/>
          <c:showPercent val="0"/>
          <c:showBubbleSize val="0"/>
        </c:dLbls>
        <c:gapWidth val="20"/>
        <c:overlap val="-20"/>
        <c:axId val="1249081952"/>
        <c:axId val="1249079776"/>
      </c:barChart>
      <c:catAx>
        <c:axId val="124908195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4000" b="1" i="0" u="none" strike="noStrike" kern="1200" cap="all" spc="120" normalizeH="0" baseline="0">
                <a:solidFill>
                  <a:sysClr val="windowText" lastClr="000000"/>
                </a:solidFill>
                <a:latin typeface="+mn-lt"/>
                <a:ea typeface="+mn-ea"/>
                <a:cs typeface="+mn-cs"/>
              </a:defRPr>
            </a:pPr>
            <a:endParaRPr lang="en-US"/>
          </a:p>
        </c:txPr>
        <c:crossAx val="1249079776"/>
        <c:crosses val="autoZero"/>
        <c:auto val="1"/>
        <c:lblAlgn val="ctr"/>
        <c:lblOffset val="100"/>
        <c:noMultiLvlLbl val="0"/>
      </c:catAx>
      <c:valAx>
        <c:axId val="1249079776"/>
        <c:scaling>
          <c:orientation val="minMax"/>
        </c:scaling>
        <c:delete val="1"/>
        <c:axPos val="l"/>
        <c:numFmt formatCode="0.000" sourceLinked="1"/>
        <c:majorTickMark val="none"/>
        <c:minorTickMark val="none"/>
        <c:tickLblPos val="nextTo"/>
        <c:crossAx val="1249081952"/>
        <c:crosses val="autoZero"/>
        <c:crossBetween val="between"/>
      </c:valAx>
      <c:spPr>
        <a:noFill/>
        <a:ln w="25400">
          <a:noFill/>
        </a:ln>
        <a:effectLst/>
      </c:spPr>
    </c:plotArea>
    <c:legend>
      <c:legendPos val="t"/>
      <c:layout>
        <c:manualLayout>
          <c:xMode val="edge"/>
          <c:yMode val="edge"/>
          <c:x val="0"/>
          <c:y val="0.88909200933216681"/>
          <c:w val="0.41934963361718502"/>
          <c:h val="0.11090778032827874"/>
        </c:manualLayout>
      </c:layout>
      <c:overlay val="0"/>
      <c:spPr>
        <a:noFill/>
        <a:ln>
          <a:noFill/>
        </a:ln>
        <a:effectLst/>
      </c:spPr>
      <c:txPr>
        <a:bodyPr rot="0" spcFirstLastPara="1" vertOverflow="ellipsis" vert="horz" wrap="square" anchor="ctr" anchorCtr="1"/>
        <a:lstStyle/>
        <a:p>
          <a:pPr>
            <a:defRPr sz="4000" b="1"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2.1227034120734899E-4"/>
          <c:y val="0.10327719451735201"/>
          <c:w val="0.99975656167978988"/>
          <c:h val="0.63638363954505683"/>
        </c:manualLayout>
      </c:layout>
      <c:barChart>
        <c:barDir val="col"/>
        <c:grouping val="clustered"/>
        <c:varyColors val="0"/>
        <c:ser>
          <c:idx val="0"/>
          <c:order val="0"/>
          <c:tx>
            <c:strRef>
              <c:f>'query-per-second'!$C$31</c:f>
              <c:strCache>
                <c:ptCount val="1"/>
                <c:pt idx="0">
                  <c:v>PB</c:v>
                </c:pt>
              </c:strCache>
            </c:strRef>
          </c:tx>
          <c:spPr>
            <a:pattFill prst="pct75">
              <a:fgClr>
                <a:schemeClr val="accent6">
                  <a:lumMod val="50000"/>
                </a:schemeClr>
              </a:fgClr>
              <a:bgClr>
                <a:schemeClr val="bg1"/>
              </a:bgClr>
            </a:pattFill>
            <a:ln>
              <a:noFill/>
            </a:ln>
            <a:effectLst/>
          </c:spPr>
          <c:invertIfNegative val="0"/>
          <c:dLbls>
            <c:spPr>
              <a:noFill/>
              <a:ln>
                <a:noFill/>
              </a:ln>
              <a:effectLst/>
            </c:spPr>
            <c:txPr>
              <a:bodyPr rot="-5400000" spcFirstLastPara="1" vertOverflow="clip" horzOverflow="clip" vert="horz" wrap="square" lIns="38100" tIns="19050" rIns="38100" bIns="19050" anchor="ctr" anchorCtr="0">
                <a:spAutoFit/>
              </a:bodyPr>
              <a:lstStyle/>
              <a:p>
                <a:pPr algn="ctr">
                  <a:defRPr lang="en-US" sz="32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'query-per-second'!$B$32</c:f>
              <c:strCache>
                <c:ptCount val="1"/>
                <c:pt idx="0">
                  <c:v>Dbpedia - BGP</c:v>
                </c:pt>
              </c:strCache>
            </c:strRef>
          </c:cat>
          <c:val>
            <c:numRef>
              <c:f>'query-per-second'!$C$32</c:f>
              <c:numCache>
                <c:formatCode>0.000</c:formatCode>
                <c:ptCount val="1"/>
                <c:pt idx="0">
                  <c:v>6.8072535461649892E-3</c:v>
                </c:pt>
              </c:numCache>
            </c:numRef>
          </c:val>
        </c:ser>
        <c:ser>
          <c:idx val="1"/>
          <c:order val="1"/>
          <c:tx>
            <c:strRef>
              <c:f>'query-per-second'!$D$31</c:f>
              <c:strCache>
                <c:ptCount val="1"/>
                <c:pt idx="0">
                  <c:v>SB</c:v>
                </c:pt>
              </c:strCache>
            </c:strRef>
          </c:tx>
          <c:spPr>
            <a:pattFill prst="pct80">
              <a:fgClr>
                <a:schemeClr val="accent2"/>
              </a:fgClr>
              <a:bgClr>
                <a:schemeClr val="bg1"/>
              </a:bgClr>
            </a:pattFill>
            <a:ln>
              <a:noFill/>
            </a:ln>
            <a:effectLst/>
          </c:spPr>
          <c:invertIfNegative val="0"/>
          <c:dLbls>
            <c:spPr>
              <a:noFill/>
              <a:ln>
                <a:noFill/>
              </a:ln>
              <a:effectLst/>
            </c:spPr>
            <c:txPr>
              <a:bodyPr rot="-5400000" spcFirstLastPara="1" vertOverflow="clip" horzOverflow="clip" vert="horz" wrap="square" lIns="38100" tIns="19050" rIns="38100" bIns="19050" anchor="ctr" anchorCtr="0">
                <a:spAutoFit/>
              </a:bodyPr>
              <a:lstStyle/>
              <a:p>
                <a:pPr algn="ctr">
                  <a:defRPr lang="en-US" sz="32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'query-per-second'!$B$32</c:f>
              <c:strCache>
                <c:ptCount val="1"/>
                <c:pt idx="0">
                  <c:v>Dbpedia - BGP</c:v>
                </c:pt>
              </c:strCache>
            </c:strRef>
          </c:cat>
          <c:val>
            <c:numRef>
              <c:f>'query-per-second'!$D$32</c:f>
              <c:numCache>
                <c:formatCode>0.000</c:formatCode>
                <c:ptCount val="1"/>
                <c:pt idx="0">
                  <c:v>8.932180454817102E-3</c:v>
                </c:pt>
              </c:numCache>
            </c:numRef>
          </c:val>
        </c:ser>
        <c:ser>
          <c:idx val="2"/>
          <c:order val="2"/>
          <c:tx>
            <c:strRef>
              <c:f>'query-per-second'!$E$31</c:f>
              <c:strCache>
                <c:ptCount val="1"/>
                <c:pt idx="0">
                  <c:v>Hi</c:v>
                </c:pt>
              </c:strCache>
            </c:strRef>
          </c:tx>
          <c:spPr>
            <a:pattFill prst="pct90">
              <a:fgClr>
                <a:schemeClr val="accent3"/>
              </a:fgClr>
              <a:bgClr>
                <a:schemeClr val="bg1"/>
              </a:bgClr>
            </a:pattFill>
            <a:ln>
              <a:noFill/>
            </a:ln>
            <a:effectLst/>
          </c:spPr>
          <c:invertIfNegative val="0"/>
          <c:dLbls>
            <c:spPr>
              <a:noFill/>
              <a:ln>
                <a:noFill/>
              </a:ln>
              <a:effectLst/>
            </c:spPr>
            <c:txPr>
              <a:bodyPr rot="-5400000" spcFirstLastPara="1" vertOverflow="clip" horzOverflow="clip" vert="horz" wrap="square" lIns="38100" tIns="19050" rIns="38100" bIns="19050" anchor="ctr" anchorCtr="0">
                <a:spAutoFit/>
              </a:bodyPr>
              <a:lstStyle/>
              <a:p>
                <a:pPr algn="ctr">
                  <a:defRPr lang="en-US" sz="32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'query-per-second'!$B$32</c:f>
              <c:strCache>
                <c:ptCount val="1"/>
                <c:pt idx="0">
                  <c:v>Dbpedia - BGP</c:v>
                </c:pt>
              </c:strCache>
            </c:strRef>
          </c:cat>
          <c:val>
            <c:numRef>
              <c:f>'query-per-second'!$E$32</c:f>
              <c:numCache>
                <c:formatCode>0.000</c:formatCode>
                <c:ptCount val="1"/>
                <c:pt idx="0">
                  <c:v>5.7158573028603197E-3</c:v>
                </c:pt>
              </c:numCache>
            </c:numRef>
          </c:val>
        </c:ser>
        <c:ser>
          <c:idx val="3"/>
          <c:order val="3"/>
          <c:tx>
            <c:strRef>
              <c:f>'query-per-second'!$F$31</c:f>
              <c:strCache>
                <c:ptCount val="1"/>
                <c:pt idx="0">
                  <c:v>Ho</c:v>
                </c:pt>
              </c:strCache>
            </c:strRef>
          </c:tx>
          <c:spPr>
            <a:pattFill prst="dkDnDiag">
              <a:fgClr>
                <a:schemeClr val="accent4"/>
              </a:fgClr>
              <a:bgClr>
                <a:schemeClr val="bg1"/>
              </a:bgClr>
            </a:pattFill>
            <a:ln>
              <a:noFill/>
            </a:ln>
            <a:effectLst/>
          </c:spPr>
          <c:invertIfNegative val="0"/>
          <c:dLbls>
            <c:spPr>
              <a:noFill/>
              <a:ln>
                <a:noFill/>
              </a:ln>
              <a:effectLst/>
            </c:spPr>
            <c:txPr>
              <a:bodyPr rot="-5400000" spcFirstLastPara="1" vertOverflow="clip" horzOverflow="clip" vert="horz" wrap="square" lIns="38100" tIns="19050" rIns="38100" bIns="19050" anchor="ctr" anchorCtr="0">
                <a:spAutoFit/>
              </a:bodyPr>
              <a:lstStyle/>
              <a:p>
                <a:pPr algn="ctr">
                  <a:defRPr lang="en-US" sz="32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'query-per-second'!$B$32</c:f>
              <c:strCache>
                <c:ptCount val="1"/>
                <c:pt idx="0">
                  <c:v>Dbpedia - BGP</c:v>
                </c:pt>
              </c:strCache>
            </c:strRef>
          </c:cat>
          <c:val>
            <c:numRef>
              <c:f>'query-per-second'!$F$32</c:f>
              <c:numCache>
                <c:formatCode>0.000</c:formatCode>
                <c:ptCount val="1"/>
                <c:pt idx="0">
                  <c:v>6.7322176717168249E-3</c:v>
                </c:pt>
              </c:numCache>
            </c:numRef>
          </c:val>
        </c:ser>
        <c:ser>
          <c:idx val="4"/>
          <c:order val="4"/>
          <c:tx>
            <c:strRef>
              <c:f>'query-per-second'!$G$31</c:f>
              <c:strCache>
                <c:ptCount val="1"/>
                <c:pt idx="0">
                  <c:v>TC</c:v>
                </c:pt>
              </c:strCache>
            </c:strRef>
          </c:tx>
          <c:spPr>
            <a:pattFill prst="dkUpDiag">
              <a:fgClr>
                <a:schemeClr val="accent5"/>
              </a:fgClr>
              <a:bgClr>
                <a:schemeClr val="bg1"/>
              </a:bgClr>
            </a:pattFill>
            <a:ln>
              <a:noFill/>
            </a:ln>
            <a:effectLst/>
          </c:spPr>
          <c:invertIfNegative val="0"/>
          <c:dLbls>
            <c:spPr>
              <a:noFill/>
              <a:ln>
                <a:noFill/>
              </a:ln>
              <a:effectLst/>
            </c:spPr>
            <c:txPr>
              <a:bodyPr rot="-5400000" spcFirstLastPara="1" vertOverflow="clip" horzOverflow="clip" vert="horz" wrap="square" lIns="38100" tIns="19050" rIns="38100" bIns="19050" anchor="ctr" anchorCtr="0">
                <a:spAutoFit/>
              </a:bodyPr>
              <a:lstStyle/>
              <a:p>
                <a:pPr algn="ctr">
                  <a:defRPr lang="en-US" sz="32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'query-per-second'!$B$32</c:f>
              <c:strCache>
                <c:ptCount val="1"/>
                <c:pt idx="0">
                  <c:v>Dbpedia - BGP</c:v>
                </c:pt>
              </c:strCache>
            </c:strRef>
          </c:cat>
          <c:val>
            <c:numRef>
              <c:f>'query-per-second'!$G$32</c:f>
              <c:numCache>
                <c:formatCode>0.000</c:formatCode>
                <c:ptCount val="1"/>
                <c:pt idx="0">
                  <c:v>7.680723192317474E-3</c:v>
                </c:pt>
              </c:numCache>
            </c:numRef>
          </c:val>
        </c:ser>
        <c:ser>
          <c:idx val="5"/>
          <c:order val="5"/>
          <c:tx>
            <c:strRef>
              <c:f>'query-per-second'!$H$31</c:f>
              <c:strCache>
                <c:ptCount val="1"/>
                <c:pt idx="0">
                  <c:v>ME</c:v>
                </c:pt>
              </c:strCache>
            </c:strRef>
          </c:tx>
          <c:spPr>
            <a:pattFill prst="trellis">
              <a:fgClr>
                <a:schemeClr val="accent6"/>
              </a:fgClr>
              <a:bgClr>
                <a:schemeClr val="bg1"/>
              </a:bgClr>
            </a:pattFill>
            <a:ln>
              <a:noFill/>
            </a:ln>
            <a:effectLst/>
          </c:spPr>
          <c:invertIfNegative val="0"/>
          <c:dLbls>
            <c:spPr>
              <a:noFill/>
              <a:ln>
                <a:noFill/>
              </a:ln>
              <a:effectLst/>
            </c:spPr>
            <c:txPr>
              <a:bodyPr rot="-5400000" spcFirstLastPara="1" vertOverflow="clip" horzOverflow="clip" vert="horz" wrap="square" lIns="38100" tIns="19050" rIns="38100" bIns="19050" anchor="ctr" anchorCtr="0">
                <a:spAutoFit/>
              </a:bodyPr>
              <a:lstStyle/>
              <a:p>
                <a:pPr algn="ctr">
                  <a:defRPr lang="en-US" sz="32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'query-per-second'!$B$32</c:f>
              <c:strCache>
                <c:ptCount val="1"/>
                <c:pt idx="0">
                  <c:v>Dbpedia - BGP</c:v>
                </c:pt>
              </c:strCache>
            </c:strRef>
          </c:cat>
          <c:val>
            <c:numRef>
              <c:f>'query-per-second'!$H$32</c:f>
              <c:numCache>
                <c:formatCode>0.000</c:formatCode>
                <c:ptCount val="1"/>
                <c:pt idx="0">
                  <c:v>1.9003426127696562E-2</c:v>
                </c:pt>
              </c:numCache>
            </c:numRef>
          </c:val>
        </c:ser>
        <c:ser>
          <c:idx val="6"/>
          <c:order val="6"/>
          <c:tx>
            <c:strRef>
              <c:f>'query-per-second'!$I$31</c:f>
              <c:strCache>
                <c:ptCount val="1"/>
                <c:pt idx="0">
                  <c:v>RB</c:v>
                </c:pt>
              </c:strCache>
            </c:strRef>
          </c:tx>
          <c:spPr>
            <a:pattFill prst="pct50">
              <a:fgClr>
                <a:schemeClr val="accent5">
                  <a:lumMod val="75000"/>
                </a:schemeClr>
              </a:fgClr>
              <a:bgClr>
                <a:schemeClr val="bg1"/>
              </a:bgClr>
            </a:pattFill>
            <a:ln>
              <a:noFill/>
            </a:ln>
            <a:effectLst/>
          </c:spPr>
          <c:invertIfNegative val="0"/>
          <c:dLbls>
            <c:spPr>
              <a:noFill/>
              <a:ln>
                <a:noFill/>
              </a:ln>
              <a:effectLst/>
            </c:spPr>
            <c:txPr>
              <a:bodyPr rot="-5400000" spcFirstLastPara="1" vertOverflow="clip" horzOverflow="clip" vert="horz" wrap="square" lIns="38100" tIns="19050" rIns="38100" bIns="19050" anchor="ctr" anchorCtr="0">
                <a:spAutoFit/>
              </a:bodyPr>
              <a:lstStyle/>
              <a:p>
                <a:pPr algn="ctr">
                  <a:defRPr lang="en-US" sz="32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'query-per-second'!$B$32</c:f>
              <c:strCache>
                <c:ptCount val="1"/>
                <c:pt idx="0">
                  <c:v>Dbpedia - BGP</c:v>
                </c:pt>
              </c:strCache>
            </c:strRef>
          </c:cat>
          <c:val>
            <c:numRef>
              <c:f>'query-per-second'!$I$32</c:f>
              <c:numCache>
                <c:formatCode>0.000</c:formatCode>
                <c:ptCount val="1"/>
                <c:pt idx="0">
                  <c:v>5.4798795354428472E-3</c:v>
                </c:pt>
              </c:numCache>
            </c:numRef>
          </c:val>
        </c:ser>
        <c:ser>
          <c:idx val="7"/>
          <c:order val="7"/>
          <c:tx>
            <c:strRef>
              <c:f>'query-per-second'!$J$31</c:f>
              <c:strCache>
                <c:ptCount val="1"/>
                <c:pt idx="0">
                  <c:v>PCM</c:v>
                </c:pt>
              </c:strCache>
            </c:strRef>
          </c:tx>
          <c:spPr>
            <a:pattFill prst="pct70">
              <a:fgClr>
                <a:schemeClr val="accent2">
                  <a:lumMod val="50000"/>
                </a:schemeClr>
              </a:fgClr>
              <a:bgClr>
                <a:schemeClr val="bg1"/>
              </a:bgClr>
            </a:pattFill>
            <a:ln>
              <a:noFill/>
            </a:ln>
            <a:effectLst/>
          </c:spPr>
          <c:invertIfNegative val="0"/>
          <c:dLbls>
            <c:spPr>
              <a:noFill/>
              <a:ln>
                <a:noFill/>
              </a:ln>
              <a:effectLst/>
            </c:spPr>
            <c:txPr>
              <a:bodyPr rot="-5400000" spcFirstLastPara="1" vertOverflow="clip" horzOverflow="clip" vert="horz" wrap="square" lIns="38100" tIns="19050" rIns="38100" bIns="19050" anchor="ctr" anchorCtr="0">
                <a:spAutoFit/>
              </a:bodyPr>
              <a:lstStyle/>
              <a:p>
                <a:pPr algn="ctr">
                  <a:defRPr lang="en-US" sz="32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'query-per-second'!$B$32</c:f>
              <c:strCache>
                <c:ptCount val="1"/>
                <c:pt idx="0">
                  <c:v>Dbpedia - BGP</c:v>
                </c:pt>
              </c:strCache>
            </c:strRef>
          </c:cat>
          <c:val>
            <c:numRef>
              <c:f>'query-per-second'!$J$32</c:f>
              <c:numCache>
                <c:formatCode>0.000</c:formatCode>
                <c:ptCount val="1"/>
                <c:pt idx="0">
                  <c:v>7.838656617299853E-3</c:v>
                </c:pt>
              </c:numCache>
            </c:numRef>
          </c:val>
        </c:ser>
        <c:ser>
          <c:idx val="8"/>
          <c:order val="8"/>
          <c:tx>
            <c:strRef>
              <c:f>'query-per-second'!$K$31</c:f>
              <c:strCache>
                <c:ptCount val="1"/>
                <c:pt idx="0">
                  <c:v>PCG</c:v>
                </c:pt>
              </c:strCache>
            </c:strRef>
          </c:tx>
          <c:spPr>
            <a:pattFill prst="lgCheck">
              <a:fgClr>
                <a:schemeClr val="accent4">
                  <a:lumMod val="50000"/>
                </a:schemeClr>
              </a:fgClr>
              <a:bgClr>
                <a:schemeClr val="bg1"/>
              </a:bgClr>
            </a:pattFill>
            <a:ln>
              <a:noFill/>
            </a:ln>
            <a:effectLst/>
          </c:spPr>
          <c:invertIfNegative val="0"/>
          <c:dLbls>
            <c:spPr>
              <a:noFill/>
              <a:ln>
                <a:noFill/>
              </a:ln>
              <a:effectLst/>
            </c:spPr>
            <c:txPr>
              <a:bodyPr rot="-5400000" spcFirstLastPara="1" vertOverflow="clip" horzOverflow="clip" vert="horz" wrap="square" lIns="38100" tIns="19050" rIns="38100" bIns="19050" anchor="ctr" anchorCtr="0">
                <a:spAutoFit/>
              </a:bodyPr>
              <a:lstStyle/>
              <a:p>
                <a:pPr algn="ctr">
                  <a:defRPr lang="en-US" sz="32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'query-per-second'!$B$32</c:f>
              <c:strCache>
                <c:ptCount val="1"/>
                <c:pt idx="0">
                  <c:v>Dbpedia - BGP</c:v>
                </c:pt>
              </c:strCache>
            </c:strRef>
          </c:cat>
          <c:val>
            <c:numRef>
              <c:f>'query-per-second'!$K$32</c:f>
              <c:numCache>
                <c:formatCode>0.000</c:formatCode>
                <c:ptCount val="1"/>
                <c:pt idx="0">
                  <c:v>1.8873605602290098E-2</c:v>
                </c:pt>
              </c:numCache>
            </c:numRef>
          </c:val>
        </c:ser>
        <c:dLbls>
          <c:dLblPos val="outEnd"/>
          <c:showLegendKey val="0"/>
          <c:showVal val="1"/>
          <c:showCatName val="0"/>
          <c:showSerName val="0"/>
          <c:showPercent val="0"/>
          <c:showBubbleSize val="0"/>
        </c:dLbls>
        <c:gapWidth val="20"/>
        <c:overlap val="-20"/>
        <c:axId val="1249074880"/>
        <c:axId val="1249075424"/>
      </c:barChart>
      <c:catAx>
        <c:axId val="124907488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4000" b="1" i="0" u="none" strike="noStrike" kern="1200" cap="all" spc="120" normalizeH="0" baseline="0">
                <a:solidFill>
                  <a:sysClr val="windowText" lastClr="000000"/>
                </a:solidFill>
                <a:latin typeface="+mn-lt"/>
                <a:ea typeface="+mn-ea"/>
                <a:cs typeface="+mn-cs"/>
              </a:defRPr>
            </a:pPr>
            <a:endParaRPr lang="en-US"/>
          </a:p>
        </c:txPr>
        <c:crossAx val="1249075424"/>
        <c:crosses val="autoZero"/>
        <c:auto val="1"/>
        <c:lblAlgn val="ctr"/>
        <c:lblOffset val="100"/>
        <c:noMultiLvlLbl val="0"/>
      </c:catAx>
      <c:valAx>
        <c:axId val="1249075424"/>
        <c:scaling>
          <c:orientation val="minMax"/>
        </c:scaling>
        <c:delete val="1"/>
        <c:axPos val="l"/>
        <c:numFmt formatCode="0.000" sourceLinked="1"/>
        <c:majorTickMark val="none"/>
        <c:minorTickMark val="none"/>
        <c:tickLblPos val="nextTo"/>
        <c:crossAx val="1249074880"/>
        <c:crosses val="autoZero"/>
        <c:crossBetween val="between"/>
      </c:valAx>
      <c:spPr>
        <a:noFill/>
        <a:ln w="25400">
          <a:noFill/>
        </a:ln>
        <a:effectLst/>
      </c:spPr>
    </c:plotArea>
    <c:legend>
      <c:legendPos val="t"/>
      <c:layout>
        <c:manualLayout>
          <c:xMode val="edge"/>
          <c:yMode val="edge"/>
          <c:x val="0"/>
          <c:y val="0.88909200933216681"/>
          <c:w val="0.99951312335958009"/>
          <c:h val="9.2817147856517929E-2"/>
        </c:manualLayout>
      </c:layout>
      <c:overlay val="0"/>
      <c:spPr>
        <a:noFill/>
        <a:ln>
          <a:noFill/>
        </a:ln>
        <a:effectLst/>
      </c:spPr>
      <c:txPr>
        <a:bodyPr rot="0" spcFirstLastPara="1" vertOverflow="ellipsis" vert="horz" wrap="square" anchor="ctr" anchorCtr="1"/>
        <a:lstStyle/>
        <a:p>
          <a:pPr>
            <a:defRPr sz="4000" b="1"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2.1227034120734899E-4"/>
          <c:y val="0.10327719451735201"/>
          <c:w val="0.99975656167978988"/>
          <c:h val="0.63638363954505683"/>
        </c:manualLayout>
      </c:layout>
      <c:barChart>
        <c:barDir val="col"/>
        <c:grouping val="clustered"/>
        <c:varyColors val="0"/>
        <c:ser>
          <c:idx val="0"/>
          <c:order val="0"/>
          <c:tx>
            <c:strRef>
              <c:f>'query-per-second'!$C$4</c:f>
              <c:strCache>
                <c:ptCount val="1"/>
                <c:pt idx="0">
                  <c:v>PB</c:v>
                </c:pt>
              </c:strCache>
            </c:strRef>
          </c:tx>
          <c:spPr>
            <a:pattFill prst="pct75">
              <a:fgClr>
                <a:schemeClr val="accent6">
                  <a:lumMod val="50000"/>
                </a:schemeClr>
              </a:fgClr>
              <a:bgClr>
                <a:schemeClr val="bg1"/>
              </a:bgClr>
            </a:pattFill>
            <a:ln>
              <a:noFill/>
            </a:ln>
            <a:effectLst/>
          </c:spPr>
          <c:invertIfNegative val="0"/>
          <c:dLbls>
            <c:spPr>
              <a:noFill/>
              <a:ln>
                <a:noFill/>
              </a:ln>
              <a:effectLst/>
            </c:spPr>
            <c:txPr>
              <a:bodyPr rot="-5400000" spcFirstLastPara="1" vertOverflow="clip" horzOverflow="clip" vert="horz" wrap="square" lIns="38100" tIns="19050" rIns="38100" bIns="19050" anchor="ctr" anchorCtr="0">
                <a:spAutoFit/>
              </a:bodyPr>
              <a:lstStyle/>
              <a:p>
                <a:pPr algn="ctr">
                  <a:defRPr lang="en-US" sz="32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'query-per-second'!$B$6</c:f>
              <c:strCache>
                <c:ptCount val="1"/>
                <c:pt idx="0">
                  <c:v>SWDF - FF</c:v>
                </c:pt>
              </c:strCache>
            </c:strRef>
          </c:cat>
          <c:val>
            <c:numRef>
              <c:f>'query-per-second'!$C$6</c:f>
              <c:numCache>
                <c:formatCode>0.000</c:formatCode>
                <c:ptCount val="1"/>
                <c:pt idx="0">
                  <c:v>4.0177450405959658E-2</c:v>
                </c:pt>
              </c:numCache>
            </c:numRef>
          </c:val>
        </c:ser>
        <c:ser>
          <c:idx val="1"/>
          <c:order val="1"/>
          <c:tx>
            <c:strRef>
              <c:f>'query-per-second'!$D$4</c:f>
              <c:strCache>
                <c:ptCount val="1"/>
                <c:pt idx="0">
                  <c:v>SB</c:v>
                </c:pt>
              </c:strCache>
            </c:strRef>
          </c:tx>
          <c:spPr>
            <a:pattFill prst="pct80">
              <a:fgClr>
                <a:schemeClr val="accent2"/>
              </a:fgClr>
              <a:bgClr>
                <a:schemeClr val="bg1"/>
              </a:bgClr>
            </a:pattFill>
            <a:ln>
              <a:noFill/>
            </a:ln>
            <a:effectLst/>
          </c:spPr>
          <c:invertIfNegative val="0"/>
          <c:dLbls>
            <c:spPr>
              <a:noFill/>
              <a:ln>
                <a:noFill/>
              </a:ln>
              <a:effectLst/>
            </c:spPr>
            <c:txPr>
              <a:bodyPr rot="-5400000" spcFirstLastPara="1" vertOverflow="clip" horzOverflow="clip" vert="horz" wrap="square" lIns="38100" tIns="19050" rIns="38100" bIns="19050" anchor="ctr" anchorCtr="0">
                <a:spAutoFit/>
              </a:bodyPr>
              <a:lstStyle/>
              <a:p>
                <a:pPr algn="ctr">
                  <a:defRPr lang="en-US" sz="32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'query-per-second'!$B$6</c:f>
              <c:strCache>
                <c:ptCount val="1"/>
                <c:pt idx="0">
                  <c:v>SWDF - FF</c:v>
                </c:pt>
              </c:strCache>
            </c:strRef>
          </c:cat>
          <c:val>
            <c:numRef>
              <c:f>'query-per-second'!$D$6</c:f>
              <c:numCache>
                <c:formatCode>0.000</c:formatCode>
                <c:ptCount val="1"/>
                <c:pt idx="0">
                  <c:v>5.4088934107237807E-2</c:v>
                </c:pt>
              </c:numCache>
            </c:numRef>
          </c:val>
        </c:ser>
        <c:ser>
          <c:idx val="2"/>
          <c:order val="2"/>
          <c:tx>
            <c:strRef>
              <c:f>'query-per-second'!$E$4</c:f>
              <c:strCache>
                <c:ptCount val="1"/>
                <c:pt idx="0">
                  <c:v>Hi</c:v>
                </c:pt>
              </c:strCache>
            </c:strRef>
          </c:tx>
          <c:spPr>
            <a:pattFill prst="pct90">
              <a:fgClr>
                <a:schemeClr val="accent3"/>
              </a:fgClr>
              <a:bgClr>
                <a:schemeClr val="bg1"/>
              </a:bgClr>
            </a:pattFill>
            <a:ln>
              <a:noFill/>
            </a:ln>
            <a:effectLst/>
          </c:spPr>
          <c:invertIfNegative val="0"/>
          <c:dLbls>
            <c:spPr>
              <a:noFill/>
              <a:ln>
                <a:noFill/>
              </a:ln>
              <a:effectLst/>
            </c:spPr>
            <c:txPr>
              <a:bodyPr rot="-5400000" spcFirstLastPara="1" vertOverflow="clip" horzOverflow="clip" vert="horz" wrap="square" lIns="38100" tIns="19050" rIns="38100" bIns="19050" anchor="ctr" anchorCtr="0">
                <a:spAutoFit/>
              </a:bodyPr>
              <a:lstStyle/>
              <a:p>
                <a:pPr algn="ctr">
                  <a:defRPr lang="en-US" sz="32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'query-per-second'!$B$6</c:f>
              <c:strCache>
                <c:ptCount val="1"/>
                <c:pt idx="0">
                  <c:v>SWDF - FF</c:v>
                </c:pt>
              </c:strCache>
            </c:strRef>
          </c:cat>
          <c:val>
            <c:numRef>
              <c:f>'query-per-second'!$E$6</c:f>
              <c:numCache>
                <c:formatCode>0.000</c:formatCode>
                <c:ptCount val="1"/>
                <c:pt idx="0">
                  <c:v>4.8030355184476597E-2</c:v>
                </c:pt>
              </c:numCache>
            </c:numRef>
          </c:val>
        </c:ser>
        <c:ser>
          <c:idx val="3"/>
          <c:order val="3"/>
          <c:tx>
            <c:strRef>
              <c:f>'query-per-second'!$F$4</c:f>
              <c:strCache>
                <c:ptCount val="1"/>
                <c:pt idx="0">
                  <c:v>Ho</c:v>
                </c:pt>
              </c:strCache>
            </c:strRef>
          </c:tx>
          <c:spPr>
            <a:pattFill prst="dkDnDiag">
              <a:fgClr>
                <a:schemeClr val="accent4"/>
              </a:fgClr>
              <a:bgClr>
                <a:schemeClr val="bg1"/>
              </a:bgClr>
            </a:pattFill>
            <a:ln>
              <a:noFill/>
            </a:ln>
            <a:effectLst/>
          </c:spPr>
          <c:invertIfNegative val="0"/>
          <c:dLbls>
            <c:spPr>
              <a:noFill/>
              <a:ln>
                <a:noFill/>
              </a:ln>
              <a:effectLst/>
            </c:spPr>
            <c:txPr>
              <a:bodyPr rot="-5400000" spcFirstLastPara="1" vertOverflow="clip" horzOverflow="clip" vert="horz" wrap="square" lIns="38100" tIns="19050" rIns="38100" bIns="19050" anchor="ctr" anchorCtr="0">
                <a:spAutoFit/>
              </a:bodyPr>
              <a:lstStyle/>
              <a:p>
                <a:pPr algn="ctr">
                  <a:defRPr lang="en-US" sz="32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'query-per-second'!$B$6</c:f>
              <c:strCache>
                <c:ptCount val="1"/>
                <c:pt idx="0">
                  <c:v>SWDF - FF</c:v>
                </c:pt>
              </c:strCache>
            </c:strRef>
          </c:cat>
          <c:val>
            <c:numRef>
              <c:f>'query-per-second'!$F$6</c:f>
              <c:numCache>
                <c:formatCode>0.000</c:formatCode>
                <c:ptCount val="1"/>
                <c:pt idx="0">
                  <c:v>8.9078897476424515E-2</c:v>
                </c:pt>
              </c:numCache>
            </c:numRef>
          </c:val>
        </c:ser>
        <c:ser>
          <c:idx val="4"/>
          <c:order val="4"/>
          <c:tx>
            <c:strRef>
              <c:f>'query-per-second'!$G$4</c:f>
              <c:strCache>
                <c:ptCount val="1"/>
                <c:pt idx="0">
                  <c:v>TC</c:v>
                </c:pt>
              </c:strCache>
            </c:strRef>
          </c:tx>
          <c:spPr>
            <a:pattFill prst="dkUpDiag">
              <a:fgClr>
                <a:schemeClr val="accent5"/>
              </a:fgClr>
              <a:bgClr>
                <a:schemeClr val="bg1"/>
              </a:bgClr>
            </a:pattFill>
            <a:ln>
              <a:noFill/>
            </a:ln>
            <a:effectLst/>
          </c:spPr>
          <c:invertIfNegative val="0"/>
          <c:dLbls>
            <c:spPr>
              <a:noFill/>
              <a:ln>
                <a:noFill/>
              </a:ln>
              <a:effectLst/>
            </c:spPr>
            <c:txPr>
              <a:bodyPr rot="-5400000" spcFirstLastPara="1" vertOverflow="clip" horzOverflow="clip" vert="horz" wrap="square" lIns="38100" tIns="19050" rIns="38100" bIns="19050" anchor="ctr" anchorCtr="0">
                <a:spAutoFit/>
              </a:bodyPr>
              <a:lstStyle/>
              <a:p>
                <a:pPr algn="ctr">
                  <a:defRPr lang="en-US" sz="32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'query-per-second'!$B$6</c:f>
              <c:strCache>
                <c:ptCount val="1"/>
                <c:pt idx="0">
                  <c:v>SWDF - FF</c:v>
                </c:pt>
              </c:strCache>
            </c:strRef>
          </c:cat>
          <c:val>
            <c:numRef>
              <c:f>'query-per-second'!$G$6</c:f>
              <c:numCache>
                <c:formatCode>0.000</c:formatCode>
                <c:ptCount val="1"/>
                <c:pt idx="0">
                  <c:v>5.4234866257723731E-2</c:v>
                </c:pt>
              </c:numCache>
            </c:numRef>
          </c:val>
        </c:ser>
        <c:ser>
          <c:idx val="5"/>
          <c:order val="5"/>
          <c:tx>
            <c:strRef>
              <c:f>'query-per-second'!$H$4</c:f>
              <c:strCache>
                <c:ptCount val="1"/>
                <c:pt idx="0">
                  <c:v>ME</c:v>
                </c:pt>
              </c:strCache>
            </c:strRef>
          </c:tx>
          <c:spPr>
            <a:pattFill prst="trellis">
              <a:fgClr>
                <a:schemeClr val="accent6"/>
              </a:fgClr>
              <a:bgClr>
                <a:schemeClr val="bg1"/>
              </a:bgClr>
            </a:pattFill>
            <a:ln>
              <a:noFill/>
            </a:ln>
            <a:effectLst/>
          </c:spPr>
          <c:invertIfNegative val="0"/>
          <c:dLbls>
            <c:spPr>
              <a:noFill/>
              <a:ln>
                <a:noFill/>
              </a:ln>
              <a:effectLst/>
            </c:spPr>
            <c:txPr>
              <a:bodyPr rot="-5400000" spcFirstLastPara="1" vertOverflow="clip" horzOverflow="clip" vert="horz" wrap="square" lIns="38100" tIns="19050" rIns="38100" bIns="19050" anchor="ctr" anchorCtr="0">
                <a:spAutoFit/>
              </a:bodyPr>
              <a:lstStyle/>
              <a:p>
                <a:pPr algn="ctr">
                  <a:defRPr lang="en-US" sz="32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'query-per-second'!$B$6</c:f>
              <c:strCache>
                <c:ptCount val="1"/>
                <c:pt idx="0">
                  <c:v>SWDF - FF</c:v>
                </c:pt>
              </c:strCache>
            </c:strRef>
          </c:cat>
          <c:val>
            <c:numRef>
              <c:f>'query-per-second'!$H$6</c:f>
              <c:numCache>
                <c:formatCode>0.000</c:formatCode>
                <c:ptCount val="1"/>
                <c:pt idx="0">
                  <c:v>4.5471404322178235E-2</c:v>
                </c:pt>
              </c:numCache>
            </c:numRef>
          </c:val>
        </c:ser>
        <c:ser>
          <c:idx val="6"/>
          <c:order val="6"/>
          <c:tx>
            <c:strRef>
              <c:f>'query-per-second'!$I$4</c:f>
              <c:strCache>
                <c:ptCount val="1"/>
                <c:pt idx="0">
                  <c:v>RB</c:v>
                </c:pt>
              </c:strCache>
            </c:strRef>
          </c:tx>
          <c:spPr>
            <a:pattFill prst="pct50">
              <a:fgClr>
                <a:schemeClr val="accent5">
                  <a:lumMod val="75000"/>
                </a:schemeClr>
              </a:fgClr>
              <a:bgClr>
                <a:schemeClr val="bg1"/>
              </a:bgClr>
            </a:pattFill>
            <a:ln>
              <a:noFill/>
            </a:ln>
            <a:effectLst/>
          </c:spPr>
          <c:invertIfNegative val="0"/>
          <c:dLbls>
            <c:spPr>
              <a:noFill/>
              <a:ln>
                <a:noFill/>
              </a:ln>
              <a:effectLst/>
            </c:spPr>
            <c:txPr>
              <a:bodyPr rot="-5400000" spcFirstLastPara="1" vertOverflow="clip" horzOverflow="clip" vert="horz" wrap="square" lIns="38100" tIns="19050" rIns="38100" bIns="19050" anchor="ctr" anchorCtr="0">
                <a:spAutoFit/>
              </a:bodyPr>
              <a:lstStyle/>
              <a:p>
                <a:pPr algn="ctr">
                  <a:defRPr lang="en-US" sz="32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'query-per-second'!$B$6</c:f>
              <c:strCache>
                <c:ptCount val="1"/>
                <c:pt idx="0">
                  <c:v>SWDF - FF</c:v>
                </c:pt>
              </c:strCache>
            </c:strRef>
          </c:cat>
          <c:val>
            <c:numRef>
              <c:f>'query-per-second'!$I$6</c:f>
              <c:numCache>
                <c:formatCode>0.000</c:formatCode>
                <c:ptCount val="1"/>
                <c:pt idx="0">
                  <c:v>6.2730993815769534E-2</c:v>
                </c:pt>
              </c:numCache>
            </c:numRef>
          </c:val>
        </c:ser>
        <c:ser>
          <c:idx val="7"/>
          <c:order val="7"/>
          <c:tx>
            <c:strRef>
              <c:f>'query-per-second'!$J$4</c:f>
              <c:strCache>
                <c:ptCount val="1"/>
                <c:pt idx="0">
                  <c:v>PCM</c:v>
                </c:pt>
              </c:strCache>
            </c:strRef>
          </c:tx>
          <c:spPr>
            <a:pattFill prst="pct70">
              <a:fgClr>
                <a:schemeClr val="accent2">
                  <a:lumMod val="50000"/>
                </a:schemeClr>
              </a:fgClr>
              <a:bgClr>
                <a:schemeClr val="bg1"/>
              </a:bgClr>
            </a:pattFill>
            <a:ln>
              <a:noFill/>
            </a:ln>
            <a:effectLst/>
          </c:spPr>
          <c:invertIfNegative val="0"/>
          <c:dLbls>
            <c:spPr>
              <a:noFill/>
              <a:ln>
                <a:noFill/>
              </a:ln>
              <a:effectLst/>
            </c:spPr>
            <c:txPr>
              <a:bodyPr rot="-5400000" spcFirstLastPara="1" vertOverflow="clip" horzOverflow="clip" vert="horz" wrap="square" lIns="38100" tIns="19050" rIns="38100" bIns="19050" anchor="ctr" anchorCtr="0">
                <a:spAutoFit/>
              </a:bodyPr>
              <a:lstStyle/>
              <a:p>
                <a:pPr algn="ctr">
                  <a:defRPr lang="en-US" sz="32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'query-per-second'!$B$6</c:f>
              <c:strCache>
                <c:ptCount val="1"/>
                <c:pt idx="0">
                  <c:v>SWDF - FF</c:v>
                </c:pt>
              </c:strCache>
            </c:strRef>
          </c:cat>
          <c:val>
            <c:numRef>
              <c:f>'query-per-second'!$J$6</c:f>
              <c:numCache>
                <c:formatCode>0.000</c:formatCode>
                <c:ptCount val="1"/>
                <c:pt idx="0">
                  <c:v>6.118721554318441E-2</c:v>
                </c:pt>
              </c:numCache>
            </c:numRef>
          </c:val>
        </c:ser>
        <c:ser>
          <c:idx val="8"/>
          <c:order val="8"/>
          <c:tx>
            <c:strRef>
              <c:f>'query-per-second'!$K$4</c:f>
              <c:strCache>
                <c:ptCount val="1"/>
                <c:pt idx="0">
                  <c:v>PCG</c:v>
                </c:pt>
              </c:strCache>
            </c:strRef>
          </c:tx>
          <c:spPr>
            <a:pattFill prst="lgCheck">
              <a:fgClr>
                <a:schemeClr val="accent4">
                  <a:lumMod val="50000"/>
                </a:schemeClr>
              </a:fgClr>
              <a:bgClr>
                <a:schemeClr val="bg1"/>
              </a:bgClr>
            </a:pattFill>
            <a:ln>
              <a:noFill/>
            </a:ln>
            <a:effectLst/>
          </c:spPr>
          <c:invertIfNegative val="0"/>
          <c:dLbls>
            <c:spPr>
              <a:noFill/>
              <a:ln>
                <a:noFill/>
              </a:ln>
              <a:effectLst/>
            </c:spPr>
            <c:txPr>
              <a:bodyPr rot="-5400000" spcFirstLastPara="1" vertOverflow="clip" horzOverflow="clip" vert="horz" wrap="square" lIns="38100" tIns="19050" rIns="38100" bIns="19050" anchor="ctr" anchorCtr="0">
                <a:spAutoFit/>
              </a:bodyPr>
              <a:lstStyle/>
              <a:p>
                <a:pPr algn="ctr">
                  <a:defRPr lang="en-US" sz="32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'query-per-second'!$B$6</c:f>
              <c:strCache>
                <c:ptCount val="1"/>
                <c:pt idx="0">
                  <c:v>SWDF - FF</c:v>
                </c:pt>
              </c:strCache>
            </c:strRef>
          </c:cat>
          <c:val>
            <c:numRef>
              <c:f>'query-per-second'!$K$6</c:f>
              <c:numCache>
                <c:formatCode>0.000</c:formatCode>
                <c:ptCount val="1"/>
                <c:pt idx="0">
                  <c:v>1.2259409096481548</c:v>
                </c:pt>
              </c:numCache>
            </c:numRef>
          </c:val>
        </c:ser>
        <c:ser>
          <c:idx val="9"/>
          <c:order val="9"/>
          <c:tx>
            <c:strRef>
              <c:f>'query-per-second'!$L$4</c:f>
              <c:strCache>
                <c:ptCount val="1"/>
                <c:pt idx="0">
                  <c:v>PT</c:v>
                </c:pt>
              </c:strCache>
            </c:strRef>
          </c:tx>
          <c:spPr>
            <a:solidFill>
              <a:schemeClr val="accent4">
                <a:lumMod val="60000"/>
              </a:schemeClr>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'query-per-second'!$B$6</c:f>
              <c:strCache>
                <c:ptCount val="1"/>
                <c:pt idx="0">
                  <c:v>SWDF - FF</c:v>
                </c:pt>
              </c:strCache>
            </c:strRef>
          </c:cat>
          <c:val>
            <c:numRef>
              <c:f>'query-per-second'!$L$6</c:f>
              <c:numCache>
                <c:formatCode>0.000</c:formatCode>
                <c:ptCount val="1"/>
                <c:pt idx="0">
                  <c:v>0.65435176642259352</c:v>
                </c:pt>
              </c:numCache>
            </c:numRef>
          </c:val>
        </c:ser>
        <c:dLbls>
          <c:dLblPos val="outEnd"/>
          <c:showLegendKey val="0"/>
          <c:showVal val="1"/>
          <c:showCatName val="0"/>
          <c:showSerName val="0"/>
          <c:showPercent val="0"/>
          <c:showBubbleSize val="0"/>
        </c:dLbls>
        <c:gapWidth val="20"/>
        <c:overlap val="-20"/>
        <c:axId val="1161505328"/>
        <c:axId val="1161499344"/>
      </c:barChart>
      <c:catAx>
        <c:axId val="116150532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4000" b="1" i="0" u="none" strike="noStrike" kern="1200" cap="all" spc="120" normalizeH="0" baseline="0">
                <a:solidFill>
                  <a:sysClr val="windowText" lastClr="000000"/>
                </a:solidFill>
                <a:latin typeface="+mn-lt"/>
                <a:ea typeface="+mn-ea"/>
                <a:cs typeface="+mn-cs"/>
              </a:defRPr>
            </a:pPr>
            <a:endParaRPr lang="en-US"/>
          </a:p>
        </c:txPr>
        <c:crossAx val="1161499344"/>
        <c:crosses val="autoZero"/>
        <c:auto val="1"/>
        <c:lblAlgn val="ctr"/>
        <c:lblOffset val="100"/>
        <c:noMultiLvlLbl val="0"/>
      </c:catAx>
      <c:valAx>
        <c:axId val="1161499344"/>
        <c:scaling>
          <c:orientation val="minMax"/>
        </c:scaling>
        <c:delete val="1"/>
        <c:axPos val="l"/>
        <c:numFmt formatCode="0.000" sourceLinked="1"/>
        <c:majorTickMark val="none"/>
        <c:minorTickMark val="none"/>
        <c:tickLblPos val="nextTo"/>
        <c:crossAx val="1161505328"/>
        <c:crosses val="autoZero"/>
        <c:crossBetween val="between"/>
      </c:valAx>
      <c:spPr>
        <a:noFill/>
        <a:ln w="25400">
          <a:noFill/>
        </a:ln>
        <a:effectLst/>
      </c:spPr>
    </c:plotArea>
    <c:legend>
      <c:legendPos val="t"/>
      <c:layout>
        <c:manualLayout>
          <c:xMode val="edge"/>
          <c:yMode val="edge"/>
          <c:x val="0"/>
          <c:y val="0.88909200933216681"/>
          <c:w val="0.77847830186137978"/>
          <c:h val="0.1109078825519445"/>
        </c:manualLayout>
      </c:layout>
      <c:overlay val="0"/>
      <c:spPr>
        <a:noFill/>
        <a:ln>
          <a:noFill/>
        </a:ln>
        <a:effectLst/>
      </c:spPr>
      <c:txPr>
        <a:bodyPr rot="0" spcFirstLastPara="1" vertOverflow="ellipsis" vert="horz" wrap="square" anchor="ctr" anchorCtr="1"/>
        <a:lstStyle/>
        <a:p>
          <a:pPr>
            <a:defRPr sz="4000" b="1"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2.1227034120734899E-4"/>
          <c:y val="0.10327719451735201"/>
          <c:w val="0.99975656167978988"/>
          <c:h val="0.63638363954505683"/>
        </c:manualLayout>
      </c:layout>
      <c:barChart>
        <c:barDir val="col"/>
        <c:grouping val="clustered"/>
        <c:varyColors val="0"/>
        <c:ser>
          <c:idx val="0"/>
          <c:order val="0"/>
          <c:tx>
            <c:strRef>
              <c:f>'query-per-second'!$C$17</c:f>
              <c:strCache>
                <c:ptCount val="1"/>
                <c:pt idx="0">
                  <c:v>PB</c:v>
                </c:pt>
              </c:strCache>
            </c:strRef>
          </c:tx>
          <c:spPr>
            <a:pattFill prst="pct75">
              <a:fgClr>
                <a:schemeClr val="accent6">
                  <a:lumMod val="50000"/>
                </a:schemeClr>
              </a:fgClr>
              <a:bgClr>
                <a:schemeClr val="bg1"/>
              </a:bgClr>
            </a:pattFill>
            <a:ln>
              <a:noFill/>
            </a:ln>
            <a:effectLst/>
          </c:spPr>
          <c:invertIfNegative val="0"/>
          <c:dLbls>
            <c:spPr>
              <a:noFill/>
              <a:ln>
                <a:noFill/>
              </a:ln>
              <a:effectLst/>
            </c:spPr>
            <c:txPr>
              <a:bodyPr rot="-5400000" spcFirstLastPara="1" vertOverflow="clip" horzOverflow="clip" vert="horz" wrap="square" lIns="38100" tIns="19050" rIns="38100" bIns="19050" anchor="ctr" anchorCtr="0">
                <a:spAutoFit/>
              </a:bodyPr>
              <a:lstStyle/>
              <a:p>
                <a:pPr algn="ctr">
                  <a:defRPr lang="en-US" sz="32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'query-per-second'!$B$19</c:f>
              <c:strCache>
                <c:ptCount val="1"/>
                <c:pt idx="0">
                  <c:v>SWDF - FF</c:v>
                </c:pt>
              </c:strCache>
            </c:strRef>
          </c:cat>
          <c:val>
            <c:numRef>
              <c:f>'query-per-second'!$C$19</c:f>
              <c:numCache>
                <c:formatCode>0.000</c:formatCode>
                <c:ptCount val="1"/>
                <c:pt idx="0">
                  <c:v>7.8638278597596395E-2</c:v>
                </c:pt>
              </c:numCache>
            </c:numRef>
          </c:val>
        </c:ser>
        <c:ser>
          <c:idx val="1"/>
          <c:order val="1"/>
          <c:tx>
            <c:strRef>
              <c:f>'query-per-second'!$D$17</c:f>
              <c:strCache>
                <c:ptCount val="1"/>
                <c:pt idx="0">
                  <c:v>SB</c:v>
                </c:pt>
              </c:strCache>
            </c:strRef>
          </c:tx>
          <c:spPr>
            <a:pattFill prst="pct80">
              <a:fgClr>
                <a:schemeClr val="accent2"/>
              </a:fgClr>
              <a:bgClr>
                <a:schemeClr val="bg1"/>
              </a:bgClr>
            </a:pattFill>
            <a:ln>
              <a:noFill/>
            </a:ln>
            <a:effectLst/>
          </c:spPr>
          <c:invertIfNegative val="0"/>
          <c:dLbls>
            <c:spPr>
              <a:noFill/>
              <a:ln>
                <a:noFill/>
              </a:ln>
              <a:effectLst/>
            </c:spPr>
            <c:txPr>
              <a:bodyPr rot="-5400000" spcFirstLastPara="1" vertOverflow="clip" horzOverflow="clip" vert="horz" wrap="square" lIns="38100" tIns="19050" rIns="38100" bIns="19050" anchor="ctr" anchorCtr="0">
                <a:spAutoFit/>
              </a:bodyPr>
              <a:lstStyle/>
              <a:p>
                <a:pPr algn="ctr">
                  <a:defRPr lang="en-US" sz="32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'query-per-second'!$B$19</c:f>
              <c:strCache>
                <c:ptCount val="1"/>
                <c:pt idx="0">
                  <c:v>SWDF - FF</c:v>
                </c:pt>
              </c:strCache>
            </c:strRef>
          </c:cat>
          <c:val>
            <c:numRef>
              <c:f>'query-per-second'!$D$19</c:f>
              <c:numCache>
                <c:formatCode>0.000</c:formatCode>
                <c:ptCount val="1"/>
                <c:pt idx="0">
                  <c:v>7.4633920619362026E-2</c:v>
                </c:pt>
              </c:numCache>
            </c:numRef>
          </c:val>
        </c:ser>
        <c:ser>
          <c:idx val="2"/>
          <c:order val="2"/>
          <c:tx>
            <c:strRef>
              <c:f>'query-per-second'!$E$17</c:f>
              <c:strCache>
                <c:ptCount val="1"/>
                <c:pt idx="0">
                  <c:v>Hi</c:v>
                </c:pt>
              </c:strCache>
            </c:strRef>
          </c:tx>
          <c:spPr>
            <a:pattFill prst="pct90">
              <a:fgClr>
                <a:schemeClr val="accent3"/>
              </a:fgClr>
              <a:bgClr>
                <a:schemeClr val="bg1"/>
              </a:bgClr>
            </a:pattFill>
            <a:ln>
              <a:noFill/>
            </a:ln>
            <a:effectLst/>
          </c:spPr>
          <c:invertIfNegative val="0"/>
          <c:dLbls>
            <c:spPr>
              <a:noFill/>
              <a:ln>
                <a:noFill/>
              </a:ln>
              <a:effectLst/>
            </c:spPr>
            <c:txPr>
              <a:bodyPr rot="-5400000" spcFirstLastPara="1" vertOverflow="clip" horzOverflow="clip" vert="horz" wrap="square" lIns="38100" tIns="19050" rIns="38100" bIns="19050" anchor="ctr" anchorCtr="0">
                <a:spAutoFit/>
              </a:bodyPr>
              <a:lstStyle/>
              <a:p>
                <a:pPr algn="ctr">
                  <a:defRPr lang="en-US" sz="32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'query-per-second'!$B$19</c:f>
              <c:strCache>
                <c:ptCount val="1"/>
                <c:pt idx="0">
                  <c:v>SWDF - FF</c:v>
                </c:pt>
              </c:strCache>
            </c:strRef>
          </c:cat>
          <c:val>
            <c:numRef>
              <c:f>'query-per-second'!$E$19</c:f>
              <c:numCache>
                <c:formatCode>0.000</c:formatCode>
                <c:ptCount val="1"/>
                <c:pt idx="0">
                  <c:v>7.424116251761681E-2</c:v>
                </c:pt>
              </c:numCache>
            </c:numRef>
          </c:val>
        </c:ser>
        <c:ser>
          <c:idx val="3"/>
          <c:order val="3"/>
          <c:tx>
            <c:strRef>
              <c:f>'query-per-second'!$F$17</c:f>
              <c:strCache>
                <c:ptCount val="1"/>
                <c:pt idx="0">
                  <c:v>Ho</c:v>
                </c:pt>
              </c:strCache>
            </c:strRef>
          </c:tx>
          <c:spPr>
            <a:pattFill prst="dkDnDiag">
              <a:fgClr>
                <a:schemeClr val="accent4"/>
              </a:fgClr>
              <a:bgClr>
                <a:schemeClr val="bg1"/>
              </a:bgClr>
            </a:pattFill>
            <a:ln>
              <a:noFill/>
            </a:ln>
            <a:effectLst/>
          </c:spPr>
          <c:invertIfNegative val="0"/>
          <c:dLbls>
            <c:spPr>
              <a:noFill/>
              <a:ln>
                <a:noFill/>
              </a:ln>
              <a:effectLst/>
            </c:spPr>
            <c:txPr>
              <a:bodyPr rot="-5400000" spcFirstLastPara="1" vertOverflow="clip" horzOverflow="clip" vert="horz" wrap="square" lIns="38100" tIns="19050" rIns="38100" bIns="19050" anchor="ctr" anchorCtr="0">
                <a:spAutoFit/>
              </a:bodyPr>
              <a:lstStyle/>
              <a:p>
                <a:pPr algn="ctr">
                  <a:defRPr lang="en-US" sz="32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'query-per-second'!$B$19</c:f>
              <c:strCache>
                <c:ptCount val="1"/>
                <c:pt idx="0">
                  <c:v>SWDF - FF</c:v>
                </c:pt>
              </c:strCache>
            </c:strRef>
          </c:cat>
          <c:val>
            <c:numRef>
              <c:f>'query-per-second'!$F$19</c:f>
              <c:numCache>
                <c:formatCode>0.000</c:formatCode>
                <c:ptCount val="1"/>
                <c:pt idx="0">
                  <c:v>8.1443548897213613E-2</c:v>
                </c:pt>
              </c:numCache>
            </c:numRef>
          </c:val>
        </c:ser>
        <c:ser>
          <c:idx val="4"/>
          <c:order val="4"/>
          <c:tx>
            <c:strRef>
              <c:f>'query-per-second'!$G$17</c:f>
              <c:strCache>
                <c:ptCount val="1"/>
                <c:pt idx="0">
                  <c:v>TC</c:v>
                </c:pt>
              </c:strCache>
            </c:strRef>
          </c:tx>
          <c:spPr>
            <a:pattFill prst="dkUpDiag">
              <a:fgClr>
                <a:schemeClr val="accent5"/>
              </a:fgClr>
              <a:bgClr>
                <a:schemeClr val="bg1"/>
              </a:bgClr>
            </a:pattFill>
            <a:ln>
              <a:noFill/>
            </a:ln>
            <a:effectLst/>
          </c:spPr>
          <c:invertIfNegative val="0"/>
          <c:dLbls>
            <c:spPr>
              <a:noFill/>
              <a:ln>
                <a:noFill/>
              </a:ln>
              <a:effectLst/>
            </c:spPr>
            <c:txPr>
              <a:bodyPr rot="-5400000" spcFirstLastPara="1" vertOverflow="clip" horzOverflow="clip" vert="horz" wrap="square" lIns="38100" tIns="19050" rIns="38100" bIns="19050" anchor="ctr" anchorCtr="0">
                <a:spAutoFit/>
              </a:bodyPr>
              <a:lstStyle/>
              <a:p>
                <a:pPr algn="ctr">
                  <a:defRPr lang="en-US" sz="32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'query-per-second'!$B$19</c:f>
              <c:strCache>
                <c:ptCount val="1"/>
                <c:pt idx="0">
                  <c:v>SWDF - FF</c:v>
                </c:pt>
              </c:strCache>
            </c:strRef>
          </c:cat>
          <c:val>
            <c:numRef>
              <c:f>'query-per-second'!$G$19</c:f>
              <c:numCache>
                <c:formatCode>0.000</c:formatCode>
                <c:ptCount val="1"/>
                <c:pt idx="0">
                  <c:v>7.445469382244442E-2</c:v>
                </c:pt>
              </c:numCache>
            </c:numRef>
          </c:val>
        </c:ser>
        <c:ser>
          <c:idx val="5"/>
          <c:order val="5"/>
          <c:tx>
            <c:strRef>
              <c:f>'query-per-second'!$H$17</c:f>
              <c:strCache>
                <c:ptCount val="1"/>
                <c:pt idx="0">
                  <c:v>ME</c:v>
                </c:pt>
              </c:strCache>
            </c:strRef>
          </c:tx>
          <c:spPr>
            <a:pattFill prst="trellis">
              <a:fgClr>
                <a:schemeClr val="accent6"/>
              </a:fgClr>
              <a:bgClr>
                <a:schemeClr val="bg1"/>
              </a:bgClr>
            </a:pattFill>
            <a:ln>
              <a:noFill/>
            </a:ln>
            <a:effectLst/>
          </c:spPr>
          <c:invertIfNegative val="0"/>
          <c:dLbls>
            <c:spPr>
              <a:noFill/>
              <a:ln>
                <a:noFill/>
              </a:ln>
              <a:effectLst/>
            </c:spPr>
            <c:txPr>
              <a:bodyPr rot="-5400000" spcFirstLastPara="1" vertOverflow="clip" horzOverflow="clip" vert="horz" wrap="square" lIns="38100" tIns="19050" rIns="38100" bIns="19050" anchor="ctr" anchorCtr="0">
                <a:spAutoFit/>
              </a:bodyPr>
              <a:lstStyle/>
              <a:p>
                <a:pPr algn="ctr">
                  <a:defRPr lang="en-US" sz="32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'query-per-second'!$B$19</c:f>
              <c:strCache>
                <c:ptCount val="1"/>
                <c:pt idx="0">
                  <c:v>SWDF - FF</c:v>
                </c:pt>
              </c:strCache>
            </c:strRef>
          </c:cat>
          <c:val>
            <c:numRef>
              <c:f>'query-per-second'!$H$19</c:f>
              <c:numCache>
                <c:formatCode>0.000</c:formatCode>
                <c:ptCount val="1"/>
                <c:pt idx="0">
                  <c:v>6.8279628750002555E-2</c:v>
                </c:pt>
              </c:numCache>
            </c:numRef>
          </c:val>
        </c:ser>
        <c:ser>
          <c:idx val="6"/>
          <c:order val="6"/>
          <c:tx>
            <c:strRef>
              <c:f>'query-per-second'!$I$17</c:f>
              <c:strCache>
                <c:ptCount val="1"/>
                <c:pt idx="0">
                  <c:v>RB</c:v>
                </c:pt>
              </c:strCache>
            </c:strRef>
          </c:tx>
          <c:spPr>
            <a:pattFill prst="pct50">
              <a:fgClr>
                <a:schemeClr val="accent5">
                  <a:lumMod val="75000"/>
                </a:schemeClr>
              </a:fgClr>
              <a:bgClr>
                <a:schemeClr val="bg1"/>
              </a:bgClr>
            </a:pattFill>
            <a:ln>
              <a:noFill/>
            </a:ln>
            <a:effectLst/>
          </c:spPr>
          <c:invertIfNegative val="0"/>
          <c:dLbls>
            <c:spPr>
              <a:noFill/>
              <a:ln>
                <a:noFill/>
              </a:ln>
              <a:effectLst/>
            </c:spPr>
            <c:txPr>
              <a:bodyPr rot="-5400000" spcFirstLastPara="1" vertOverflow="clip" horzOverflow="clip" vert="horz" wrap="square" lIns="38100" tIns="19050" rIns="38100" bIns="19050" anchor="ctr" anchorCtr="0">
                <a:spAutoFit/>
              </a:bodyPr>
              <a:lstStyle/>
              <a:p>
                <a:pPr algn="ctr">
                  <a:defRPr lang="en-US" sz="32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'query-per-second'!$B$19</c:f>
              <c:strCache>
                <c:ptCount val="1"/>
                <c:pt idx="0">
                  <c:v>SWDF - FF</c:v>
                </c:pt>
              </c:strCache>
            </c:strRef>
          </c:cat>
          <c:val>
            <c:numRef>
              <c:f>'query-per-second'!$I$19</c:f>
              <c:numCache>
                <c:formatCode>0.000</c:formatCode>
                <c:ptCount val="1"/>
                <c:pt idx="0">
                  <c:v>7.082579333741762E-2</c:v>
                </c:pt>
              </c:numCache>
            </c:numRef>
          </c:val>
        </c:ser>
        <c:ser>
          <c:idx val="7"/>
          <c:order val="7"/>
          <c:tx>
            <c:strRef>
              <c:f>'query-per-second'!$J$17</c:f>
              <c:strCache>
                <c:ptCount val="1"/>
                <c:pt idx="0">
                  <c:v>PCM</c:v>
                </c:pt>
              </c:strCache>
            </c:strRef>
          </c:tx>
          <c:spPr>
            <a:pattFill prst="pct70">
              <a:fgClr>
                <a:schemeClr val="accent2">
                  <a:lumMod val="50000"/>
                </a:schemeClr>
              </a:fgClr>
              <a:bgClr>
                <a:schemeClr val="bg1"/>
              </a:bgClr>
            </a:pattFill>
            <a:ln>
              <a:noFill/>
            </a:ln>
            <a:effectLst/>
          </c:spPr>
          <c:invertIfNegative val="0"/>
          <c:dLbls>
            <c:spPr>
              <a:noFill/>
              <a:ln>
                <a:noFill/>
              </a:ln>
              <a:effectLst/>
            </c:spPr>
            <c:txPr>
              <a:bodyPr rot="-5400000" spcFirstLastPara="1" vertOverflow="clip" horzOverflow="clip" vert="horz" wrap="square" lIns="38100" tIns="19050" rIns="38100" bIns="19050" anchor="ctr" anchorCtr="0">
                <a:spAutoFit/>
              </a:bodyPr>
              <a:lstStyle/>
              <a:p>
                <a:pPr algn="ctr">
                  <a:defRPr lang="en-US" sz="32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'query-per-second'!$B$19</c:f>
              <c:strCache>
                <c:ptCount val="1"/>
                <c:pt idx="0">
                  <c:v>SWDF - FF</c:v>
                </c:pt>
              </c:strCache>
            </c:strRef>
          </c:cat>
          <c:val>
            <c:numRef>
              <c:f>'query-per-second'!$J$19</c:f>
              <c:numCache>
                <c:formatCode>0.000</c:formatCode>
                <c:ptCount val="1"/>
                <c:pt idx="0">
                  <c:v>0.12391937144790284</c:v>
                </c:pt>
              </c:numCache>
            </c:numRef>
          </c:val>
        </c:ser>
        <c:ser>
          <c:idx val="8"/>
          <c:order val="8"/>
          <c:tx>
            <c:strRef>
              <c:f>'query-per-second'!$K$17</c:f>
              <c:strCache>
                <c:ptCount val="1"/>
                <c:pt idx="0">
                  <c:v>PCG</c:v>
                </c:pt>
              </c:strCache>
            </c:strRef>
          </c:tx>
          <c:spPr>
            <a:pattFill prst="lgCheck">
              <a:fgClr>
                <a:schemeClr val="accent4">
                  <a:lumMod val="50000"/>
                </a:schemeClr>
              </a:fgClr>
              <a:bgClr>
                <a:schemeClr val="bg1"/>
              </a:bgClr>
            </a:pattFill>
            <a:ln>
              <a:noFill/>
            </a:ln>
            <a:effectLst/>
          </c:spPr>
          <c:invertIfNegative val="0"/>
          <c:dLbls>
            <c:spPr>
              <a:noFill/>
              <a:ln>
                <a:noFill/>
              </a:ln>
              <a:effectLst/>
            </c:spPr>
            <c:txPr>
              <a:bodyPr rot="-5400000" spcFirstLastPara="1" vertOverflow="clip" horzOverflow="clip" vert="horz" wrap="square" lIns="38100" tIns="19050" rIns="38100" bIns="19050" anchor="ctr" anchorCtr="0">
                <a:spAutoFit/>
              </a:bodyPr>
              <a:lstStyle/>
              <a:p>
                <a:pPr algn="ctr">
                  <a:defRPr lang="en-US" sz="32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'query-per-second'!$B$19</c:f>
              <c:strCache>
                <c:ptCount val="1"/>
                <c:pt idx="0">
                  <c:v>SWDF - FF</c:v>
                </c:pt>
              </c:strCache>
            </c:strRef>
          </c:cat>
          <c:val>
            <c:numRef>
              <c:f>'query-per-second'!$K$19</c:f>
              <c:numCache>
                <c:formatCode>0.000</c:formatCode>
                <c:ptCount val="1"/>
                <c:pt idx="0">
                  <c:v>0.61001771084753831</c:v>
                </c:pt>
              </c:numCache>
            </c:numRef>
          </c:val>
        </c:ser>
        <c:ser>
          <c:idx val="9"/>
          <c:order val="9"/>
          <c:tx>
            <c:strRef>
              <c:f>'query-per-second'!$L$17</c:f>
              <c:strCache>
                <c:ptCount val="1"/>
                <c:pt idx="0">
                  <c:v>PT</c:v>
                </c:pt>
              </c:strCache>
            </c:strRef>
          </c:tx>
          <c:spPr>
            <a:solidFill>
              <a:schemeClr val="accent4">
                <a:lumMod val="60000"/>
              </a:schemeClr>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'query-per-second'!$B$19</c:f>
              <c:strCache>
                <c:ptCount val="1"/>
                <c:pt idx="0">
                  <c:v>SWDF - FF</c:v>
                </c:pt>
              </c:strCache>
            </c:strRef>
          </c:cat>
          <c:val>
            <c:numRef>
              <c:f>'query-per-second'!$L$19</c:f>
              <c:numCache>
                <c:formatCode>0.000</c:formatCode>
                <c:ptCount val="1"/>
                <c:pt idx="0">
                  <c:v>0.8543357539513029</c:v>
                </c:pt>
              </c:numCache>
            </c:numRef>
          </c:val>
        </c:ser>
        <c:dLbls>
          <c:dLblPos val="outEnd"/>
          <c:showLegendKey val="0"/>
          <c:showVal val="1"/>
          <c:showCatName val="0"/>
          <c:showSerName val="0"/>
          <c:showPercent val="0"/>
          <c:showBubbleSize val="0"/>
        </c:dLbls>
        <c:gapWidth val="20"/>
        <c:overlap val="-20"/>
        <c:axId val="1161496080"/>
        <c:axId val="1161500976"/>
      </c:barChart>
      <c:catAx>
        <c:axId val="116149608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4000" b="1" i="0" u="none" strike="noStrike" kern="1200" cap="all" spc="120" normalizeH="0" baseline="0">
                <a:solidFill>
                  <a:sysClr val="windowText" lastClr="000000"/>
                </a:solidFill>
                <a:latin typeface="+mn-lt"/>
                <a:ea typeface="+mn-ea"/>
                <a:cs typeface="+mn-cs"/>
              </a:defRPr>
            </a:pPr>
            <a:endParaRPr lang="en-US"/>
          </a:p>
        </c:txPr>
        <c:crossAx val="1161500976"/>
        <c:crosses val="autoZero"/>
        <c:auto val="1"/>
        <c:lblAlgn val="ctr"/>
        <c:lblOffset val="100"/>
        <c:noMultiLvlLbl val="0"/>
      </c:catAx>
      <c:valAx>
        <c:axId val="1161500976"/>
        <c:scaling>
          <c:orientation val="minMax"/>
        </c:scaling>
        <c:delete val="1"/>
        <c:axPos val="l"/>
        <c:numFmt formatCode="0.000" sourceLinked="1"/>
        <c:majorTickMark val="none"/>
        <c:minorTickMark val="none"/>
        <c:tickLblPos val="nextTo"/>
        <c:crossAx val="1161496080"/>
        <c:crosses val="autoZero"/>
        <c:crossBetween val="between"/>
      </c:valAx>
      <c:spPr>
        <a:noFill/>
        <a:ln w="25400">
          <a:noFill/>
        </a:ln>
        <a:effectLst/>
      </c:spPr>
    </c:plotArea>
    <c:legend>
      <c:legendPos val="t"/>
      <c:layout>
        <c:manualLayout>
          <c:xMode val="edge"/>
          <c:yMode val="edge"/>
          <c:x val="0"/>
          <c:y val="0.88909200933216681"/>
          <c:w val="0.41974164263151098"/>
          <c:h val="0.11090832283678455"/>
        </c:manualLayout>
      </c:layout>
      <c:overlay val="0"/>
      <c:spPr>
        <a:noFill/>
        <a:ln>
          <a:noFill/>
        </a:ln>
        <a:effectLst/>
      </c:spPr>
      <c:txPr>
        <a:bodyPr rot="0" spcFirstLastPara="1" vertOverflow="ellipsis" vert="horz" wrap="square" anchor="ctr" anchorCtr="1"/>
        <a:lstStyle/>
        <a:p>
          <a:pPr>
            <a:defRPr sz="4000" b="1"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5039763569983969E-3"/>
          <c:y val="0.13105494390738751"/>
          <c:w val="0.96433987089603801"/>
          <c:h val="0.60860588188882236"/>
        </c:manualLayout>
      </c:layout>
      <c:barChart>
        <c:barDir val="col"/>
        <c:grouping val="clustered"/>
        <c:varyColors val="0"/>
        <c:ser>
          <c:idx val="0"/>
          <c:order val="0"/>
          <c:tx>
            <c:strRef>
              <c:f>scores!$C$89</c:f>
              <c:strCache>
                <c:ptCount val="1"/>
                <c:pt idx="0">
                  <c:v>PB</c:v>
                </c:pt>
              </c:strCache>
            </c:strRef>
          </c:tx>
          <c:spPr>
            <a:pattFill prst="pct75">
              <a:fgClr>
                <a:schemeClr val="accent6">
                  <a:lumMod val="50000"/>
                </a:schemeClr>
              </a:fgClr>
              <a:bgClr>
                <a:schemeClr val="bg1"/>
              </a:bgClr>
            </a:pattFill>
            <a:ln>
              <a:noFill/>
            </a:ln>
            <a:effectLst/>
          </c:spPr>
          <c:invertIfNegative val="0"/>
          <c:dLbls>
            <c:spPr>
              <a:noFill/>
              <a:ln>
                <a:noFill/>
              </a:ln>
              <a:effectLst/>
            </c:spPr>
            <c:txPr>
              <a:bodyPr rot="-5400000" spcFirstLastPara="1" vertOverflow="clip" horzOverflow="clip" vert="horz" wrap="square" lIns="38100" tIns="19050" rIns="38100" bIns="19050" anchor="ctr" anchorCtr="0">
                <a:spAutoFit/>
              </a:bodyPr>
              <a:lstStyle/>
              <a:p>
                <a:pPr algn="ctr">
                  <a:defRPr lang="en-US" sz="24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val>
            <c:numRef>
              <c:f>scores!$D$89</c:f>
              <c:numCache>
                <c:formatCode>General</c:formatCode>
                <c:ptCount val="1"/>
                <c:pt idx="0">
                  <c:v>0.46</c:v>
                </c:pt>
              </c:numCache>
            </c:numRef>
          </c:val>
        </c:ser>
        <c:ser>
          <c:idx val="1"/>
          <c:order val="1"/>
          <c:tx>
            <c:strRef>
              <c:f>scores!$C$90</c:f>
              <c:strCache>
                <c:ptCount val="1"/>
                <c:pt idx="0">
                  <c:v>SB</c:v>
                </c:pt>
              </c:strCache>
            </c:strRef>
          </c:tx>
          <c:spPr>
            <a:pattFill prst="pct80">
              <a:fgClr>
                <a:schemeClr val="accent2"/>
              </a:fgClr>
              <a:bgClr>
                <a:schemeClr val="bg1"/>
              </a:bgClr>
            </a:pattFill>
            <a:ln>
              <a:noFill/>
            </a:ln>
            <a:effectLst/>
          </c:spPr>
          <c:invertIfNegative val="0"/>
          <c:dLbls>
            <c:spPr>
              <a:noFill/>
              <a:ln>
                <a:noFill/>
              </a:ln>
              <a:effectLst/>
            </c:spPr>
            <c:txPr>
              <a:bodyPr rot="-5400000" spcFirstLastPara="1" vertOverflow="clip" horzOverflow="clip" vert="horz" wrap="square" lIns="38100" tIns="19050" rIns="38100" bIns="19050" anchor="ctr" anchorCtr="0">
                <a:spAutoFit/>
              </a:bodyPr>
              <a:lstStyle/>
              <a:p>
                <a:pPr algn="ctr">
                  <a:defRPr lang="en-US" sz="24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val>
            <c:numRef>
              <c:f>scores!$D$90</c:f>
              <c:numCache>
                <c:formatCode>General</c:formatCode>
                <c:ptCount val="1"/>
                <c:pt idx="0">
                  <c:v>0.45</c:v>
                </c:pt>
              </c:numCache>
            </c:numRef>
          </c:val>
        </c:ser>
        <c:ser>
          <c:idx val="2"/>
          <c:order val="2"/>
          <c:tx>
            <c:strRef>
              <c:f>scores!$C$91</c:f>
              <c:strCache>
                <c:ptCount val="1"/>
                <c:pt idx="0">
                  <c:v>Hi</c:v>
                </c:pt>
              </c:strCache>
            </c:strRef>
          </c:tx>
          <c:spPr>
            <a:pattFill prst="pct90">
              <a:fgClr>
                <a:schemeClr val="accent3"/>
              </a:fgClr>
              <a:bgClr>
                <a:schemeClr val="bg1"/>
              </a:bgClr>
            </a:pattFill>
            <a:ln>
              <a:noFill/>
            </a:ln>
            <a:effectLst/>
          </c:spPr>
          <c:invertIfNegative val="0"/>
          <c:dLbls>
            <c:spPr>
              <a:noFill/>
              <a:ln>
                <a:noFill/>
              </a:ln>
              <a:effectLst/>
            </c:spPr>
            <c:txPr>
              <a:bodyPr rot="-5400000" spcFirstLastPara="1" vertOverflow="clip" horzOverflow="clip" vert="horz" wrap="square" lIns="38100" tIns="19050" rIns="38100" bIns="19050" anchor="ctr" anchorCtr="0">
                <a:spAutoFit/>
              </a:bodyPr>
              <a:lstStyle/>
              <a:p>
                <a:pPr algn="ctr">
                  <a:defRPr lang="en-US" sz="24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val>
            <c:numRef>
              <c:f>scores!$D$91</c:f>
              <c:numCache>
                <c:formatCode>General</c:formatCode>
                <c:ptCount val="1"/>
                <c:pt idx="0">
                  <c:v>0.41</c:v>
                </c:pt>
              </c:numCache>
            </c:numRef>
          </c:val>
        </c:ser>
        <c:ser>
          <c:idx val="3"/>
          <c:order val="3"/>
          <c:tx>
            <c:strRef>
              <c:f>scores!$C$92</c:f>
              <c:strCache>
                <c:ptCount val="1"/>
                <c:pt idx="0">
                  <c:v>Ho</c:v>
                </c:pt>
              </c:strCache>
            </c:strRef>
          </c:tx>
          <c:spPr>
            <a:pattFill prst="dkDnDiag">
              <a:fgClr>
                <a:schemeClr val="accent4"/>
              </a:fgClr>
              <a:bgClr>
                <a:schemeClr val="bg1"/>
              </a:bgClr>
            </a:pattFill>
            <a:ln>
              <a:noFill/>
            </a:ln>
            <a:effectLst/>
          </c:spPr>
          <c:invertIfNegative val="0"/>
          <c:dLbls>
            <c:spPr>
              <a:noFill/>
              <a:ln>
                <a:noFill/>
              </a:ln>
              <a:effectLst/>
            </c:spPr>
            <c:txPr>
              <a:bodyPr rot="-5400000" spcFirstLastPara="1" vertOverflow="clip" horzOverflow="clip" vert="horz" wrap="square" lIns="38100" tIns="19050" rIns="38100" bIns="19050" anchor="ctr" anchorCtr="0">
                <a:spAutoFit/>
              </a:bodyPr>
              <a:lstStyle/>
              <a:p>
                <a:pPr algn="ctr">
                  <a:defRPr lang="en-US" sz="24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val>
            <c:numRef>
              <c:f>scores!$D$92</c:f>
              <c:numCache>
                <c:formatCode>General</c:formatCode>
                <c:ptCount val="1"/>
                <c:pt idx="0">
                  <c:v>0.48</c:v>
                </c:pt>
              </c:numCache>
            </c:numRef>
          </c:val>
        </c:ser>
        <c:ser>
          <c:idx val="4"/>
          <c:order val="4"/>
          <c:tx>
            <c:strRef>
              <c:f>scores!$C$93</c:f>
              <c:strCache>
                <c:ptCount val="1"/>
                <c:pt idx="0">
                  <c:v>TC</c:v>
                </c:pt>
              </c:strCache>
            </c:strRef>
          </c:tx>
          <c:spPr>
            <a:pattFill prst="dkUpDiag">
              <a:fgClr>
                <a:schemeClr val="accent5"/>
              </a:fgClr>
              <a:bgClr>
                <a:schemeClr val="bg1"/>
              </a:bgClr>
            </a:pattFill>
            <a:ln>
              <a:noFill/>
            </a:ln>
            <a:effectLst/>
          </c:spPr>
          <c:invertIfNegative val="0"/>
          <c:dLbls>
            <c:spPr>
              <a:noFill/>
              <a:ln>
                <a:noFill/>
              </a:ln>
              <a:effectLst/>
            </c:spPr>
            <c:txPr>
              <a:bodyPr rot="-5400000" spcFirstLastPara="1" vertOverflow="clip" horzOverflow="clip" vert="horz" wrap="square" lIns="38100" tIns="19050" rIns="38100" bIns="19050" anchor="ctr" anchorCtr="0">
                <a:spAutoFit/>
              </a:bodyPr>
              <a:lstStyle/>
              <a:p>
                <a:pPr algn="ctr">
                  <a:defRPr lang="en-US" sz="24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val>
            <c:numRef>
              <c:f>scores!$D$93</c:f>
              <c:numCache>
                <c:formatCode>General</c:formatCode>
                <c:ptCount val="1"/>
                <c:pt idx="0">
                  <c:v>0.6</c:v>
                </c:pt>
              </c:numCache>
            </c:numRef>
          </c:val>
        </c:ser>
        <c:ser>
          <c:idx val="5"/>
          <c:order val="5"/>
          <c:tx>
            <c:strRef>
              <c:f>scores!$C$94</c:f>
              <c:strCache>
                <c:ptCount val="1"/>
                <c:pt idx="0">
                  <c:v>ME</c:v>
                </c:pt>
              </c:strCache>
            </c:strRef>
          </c:tx>
          <c:spPr>
            <a:pattFill prst="trellis">
              <a:fgClr>
                <a:schemeClr val="accent6"/>
              </a:fgClr>
              <a:bgClr>
                <a:schemeClr val="bg1"/>
              </a:bgClr>
            </a:pattFill>
            <a:ln>
              <a:noFill/>
            </a:ln>
            <a:effectLst/>
          </c:spPr>
          <c:invertIfNegative val="0"/>
          <c:dLbls>
            <c:spPr>
              <a:noFill/>
              <a:ln>
                <a:noFill/>
              </a:ln>
              <a:effectLst/>
            </c:spPr>
            <c:txPr>
              <a:bodyPr rot="-5400000" spcFirstLastPara="1" vertOverflow="clip" horzOverflow="clip" vert="horz" wrap="square" lIns="38100" tIns="19050" rIns="38100" bIns="19050" anchor="ctr" anchorCtr="0">
                <a:spAutoFit/>
              </a:bodyPr>
              <a:lstStyle/>
              <a:p>
                <a:pPr algn="ctr">
                  <a:defRPr lang="en-US" sz="24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val>
            <c:numRef>
              <c:f>scores!$D$94</c:f>
              <c:numCache>
                <c:formatCode>General</c:formatCode>
                <c:ptCount val="1"/>
                <c:pt idx="0">
                  <c:v>0.33</c:v>
                </c:pt>
              </c:numCache>
            </c:numRef>
          </c:val>
        </c:ser>
        <c:ser>
          <c:idx val="6"/>
          <c:order val="6"/>
          <c:tx>
            <c:strRef>
              <c:f>scores!$C$95</c:f>
              <c:strCache>
                <c:ptCount val="1"/>
                <c:pt idx="0">
                  <c:v>RB</c:v>
                </c:pt>
              </c:strCache>
            </c:strRef>
          </c:tx>
          <c:spPr>
            <a:pattFill prst="pct50">
              <a:fgClr>
                <a:schemeClr val="accent5">
                  <a:lumMod val="75000"/>
                </a:schemeClr>
              </a:fgClr>
              <a:bgClr>
                <a:schemeClr val="bg1"/>
              </a:bgClr>
            </a:pattFill>
            <a:ln>
              <a:noFill/>
            </a:ln>
            <a:effectLst/>
          </c:spPr>
          <c:invertIfNegative val="0"/>
          <c:dLbls>
            <c:spPr>
              <a:noFill/>
              <a:ln>
                <a:noFill/>
              </a:ln>
              <a:effectLst/>
            </c:spPr>
            <c:txPr>
              <a:bodyPr rot="-5400000" spcFirstLastPara="1" vertOverflow="clip" horzOverflow="clip" vert="horz" wrap="square" lIns="38100" tIns="19050" rIns="38100" bIns="19050" anchor="ctr" anchorCtr="0">
                <a:spAutoFit/>
              </a:bodyPr>
              <a:lstStyle/>
              <a:p>
                <a:pPr algn="ctr">
                  <a:defRPr lang="en-US" sz="24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val>
            <c:numRef>
              <c:f>scores!$D$95</c:f>
              <c:numCache>
                <c:formatCode>General</c:formatCode>
                <c:ptCount val="1"/>
                <c:pt idx="0">
                  <c:v>0.48</c:v>
                </c:pt>
              </c:numCache>
            </c:numRef>
          </c:val>
        </c:ser>
        <c:ser>
          <c:idx val="7"/>
          <c:order val="7"/>
          <c:tx>
            <c:strRef>
              <c:f>scores!$C$96</c:f>
              <c:strCache>
                <c:ptCount val="1"/>
                <c:pt idx="0">
                  <c:v>PCM</c:v>
                </c:pt>
              </c:strCache>
            </c:strRef>
          </c:tx>
          <c:spPr>
            <a:pattFill prst="pct70">
              <a:fgClr>
                <a:schemeClr val="accent2">
                  <a:lumMod val="50000"/>
                </a:schemeClr>
              </a:fgClr>
              <a:bgClr>
                <a:schemeClr val="bg1"/>
              </a:bgClr>
            </a:pattFill>
            <a:ln>
              <a:noFill/>
            </a:ln>
            <a:effectLst/>
          </c:spPr>
          <c:invertIfNegative val="0"/>
          <c:dLbls>
            <c:spPr>
              <a:noFill/>
              <a:ln>
                <a:noFill/>
              </a:ln>
              <a:effectLst/>
            </c:spPr>
            <c:txPr>
              <a:bodyPr rot="-5400000" spcFirstLastPara="1" vertOverflow="clip" horzOverflow="clip" vert="horz" wrap="square" lIns="38100" tIns="19050" rIns="38100" bIns="19050" anchor="ctr" anchorCtr="0">
                <a:spAutoFit/>
              </a:bodyPr>
              <a:lstStyle/>
              <a:p>
                <a:pPr algn="ctr">
                  <a:defRPr lang="en-US" sz="24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val>
            <c:numRef>
              <c:f>scores!$D$96</c:f>
              <c:numCache>
                <c:formatCode>General</c:formatCode>
                <c:ptCount val="1"/>
                <c:pt idx="0">
                  <c:v>0.57999999999999996</c:v>
                </c:pt>
              </c:numCache>
            </c:numRef>
          </c:val>
        </c:ser>
        <c:ser>
          <c:idx val="8"/>
          <c:order val="8"/>
          <c:tx>
            <c:strRef>
              <c:f>scores!$C$97</c:f>
              <c:strCache>
                <c:ptCount val="1"/>
                <c:pt idx="0">
                  <c:v>PCG</c:v>
                </c:pt>
              </c:strCache>
            </c:strRef>
          </c:tx>
          <c:spPr>
            <a:pattFill prst="lgCheck">
              <a:fgClr>
                <a:schemeClr val="accent4">
                  <a:lumMod val="50000"/>
                </a:schemeClr>
              </a:fgClr>
              <a:bgClr>
                <a:schemeClr val="bg1"/>
              </a:bgClr>
            </a:pattFill>
            <a:ln>
              <a:noFill/>
            </a:ln>
            <a:effectLst/>
          </c:spPr>
          <c:invertIfNegative val="0"/>
          <c:dLbls>
            <c:spPr>
              <a:noFill/>
              <a:ln>
                <a:noFill/>
              </a:ln>
              <a:effectLst/>
            </c:spPr>
            <c:txPr>
              <a:bodyPr rot="-5400000" spcFirstLastPara="1" vertOverflow="clip" horzOverflow="clip" vert="horz" wrap="square" lIns="38100" tIns="19050" rIns="38100" bIns="19050" anchor="ctr" anchorCtr="0">
                <a:spAutoFit/>
              </a:bodyPr>
              <a:lstStyle/>
              <a:p>
                <a:pPr algn="ctr">
                  <a:defRPr lang="en-US" sz="24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val>
            <c:numRef>
              <c:f>scores!$D$97</c:f>
              <c:numCache>
                <c:formatCode>General</c:formatCode>
                <c:ptCount val="1"/>
                <c:pt idx="0">
                  <c:v>0.73</c:v>
                </c:pt>
              </c:numCache>
            </c:numRef>
          </c:val>
        </c:ser>
        <c:dLbls>
          <c:dLblPos val="outEnd"/>
          <c:showLegendKey val="0"/>
          <c:showVal val="1"/>
          <c:showCatName val="0"/>
          <c:showSerName val="0"/>
          <c:showPercent val="0"/>
          <c:showBubbleSize val="0"/>
        </c:dLbls>
        <c:gapWidth val="20"/>
        <c:overlap val="-20"/>
        <c:axId val="1161504784"/>
        <c:axId val="1161502064"/>
      </c:barChart>
      <c:catAx>
        <c:axId val="116150478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3200" b="1" i="0" u="none" strike="noStrike" kern="1200" cap="all" spc="120" normalizeH="0" baseline="0">
                <a:solidFill>
                  <a:sysClr val="windowText" lastClr="000000"/>
                </a:solidFill>
                <a:latin typeface="+mn-lt"/>
                <a:ea typeface="+mn-ea"/>
                <a:cs typeface="+mn-cs"/>
              </a:defRPr>
            </a:pPr>
            <a:endParaRPr lang="en-US"/>
          </a:p>
        </c:txPr>
        <c:crossAx val="1161502064"/>
        <c:crosses val="autoZero"/>
        <c:auto val="1"/>
        <c:lblAlgn val="ctr"/>
        <c:lblOffset val="100"/>
        <c:noMultiLvlLbl val="0"/>
      </c:catAx>
      <c:valAx>
        <c:axId val="1161502064"/>
        <c:scaling>
          <c:orientation val="minMax"/>
        </c:scaling>
        <c:delete val="1"/>
        <c:axPos val="l"/>
        <c:numFmt formatCode="General" sourceLinked="1"/>
        <c:majorTickMark val="none"/>
        <c:minorTickMark val="none"/>
        <c:tickLblPos val="nextTo"/>
        <c:crossAx val="1161504784"/>
        <c:crosses val="autoZero"/>
        <c:crossBetween val="between"/>
      </c:valAx>
      <c:spPr>
        <a:noFill/>
        <a:ln>
          <a:noFill/>
        </a:ln>
        <a:effectLst/>
      </c:spPr>
    </c:plotArea>
    <c:legend>
      <c:legendPos val="t"/>
      <c:layout>
        <c:manualLayout>
          <c:xMode val="edge"/>
          <c:yMode val="edge"/>
          <c:x val="2.8542852371251974E-2"/>
          <c:y val="0.90390681791057725"/>
          <c:w val="0.94742980414744482"/>
          <c:h val="9.4668997981967901E-2"/>
        </c:manualLayout>
      </c:layout>
      <c:overlay val="0"/>
      <c:spPr>
        <a:noFill/>
        <a:ln>
          <a:noFill/>
        </a:ln>
        <a:effectLst/>
      </c:spPr>
      <c:txPr>
        <a:bodyPr rot="0" spcFirstLastPara="1" vertOverflow="ellipsis" vert="horz" wrap="square" anchor="ctr" anchorCtr="1"/>
        <a:lstStyle/>
        <a:p>
          <a:pPr>
            <a:defRPr sz="4000" b="1"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accent2"/>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14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scores!$C$89:$C$97</c:f>
              <c:strCache>
                <c:ptCount val="9"/>
                <c:pt idx="0">
                  <c:v>PB</c:v>
                </c:pt>
                <c:pt idx="1">
                  <c:v>SB</c:v>
                </c:pt>
                <c:pt idx="2">
                  <c:v>Hi</c:v>
                </c:pt>
                <c:pt idx="3">
                  <c:v>Ho</c:v>
                </c:pt>
                <c:pt idx="4">
                  <c:v>TC</c:v>
                </c:pt>
                <c:pt idx="5">
                  <c:v>ME</c:v>
                </c:pt>
                <c:pt idx="6">
                  <c:v>RB</c:v>
                </c:pt>
                <c:pt idx="7">
                  <c:v>PCM</c:v>
                </c:pt>
                <c:pt idx="8">
                  <c:v>PCG</c:v>
                </c:pt>
              </c:strCache>
            </c:strRef>
          </c:cat>
          <c:val>
            <c:numRef>
              <c:f>scores!$D$89:$D$97</c:f>
              <c:numCache>
                <c:formatCode>General</c:formatCode>
                <c:ptCount val="9"/>
                <c:pt idx="0">
                  <c:v>0.46</c:v>
                </c:pt>
                <c:pt idx="1">
                  <c:v>0.45</c:v>
                </c:pt>
                <c:pt idx="2">
                  <c:v>0.41</c:v>
                </c:pt>
                <c:pt idx="3">
                  <c:v>0.48</c:v>
                </c:pt>
                <c:pt idx="4">
                  <c:v>0.6</c:v>
                </c:pt>
                <c:pt idx="5">
                  <c:v>0.33</c:v>
                </c:pt>
                <c:pt idx="6">
                  <c:v>0.48</c:v>
                </c:pt>
                <c:pt idx="7">
                  <c:v>0.57999999999999996</c:v>
                </c:pt>
                <c:pt idx="8">
                  <c:v>0.73</c:v>
                </c:pt>
              </c:numCache>
            </c:numRef>
          </c:val>
        </c:ser>
        <c:dLbls>
          <c:dLblPos val="outEnd"/>
          <c:showLegendKey val="0"/>
          <c:showVal val="1"/>
          <c:showCatName val="0"/>
          <c:showSerName val="0"/>
          <c:showPercent val="0"/>
          <c:showBubbleSize val="0"/>
        </c:dLbls>
        <c:gapWidth val="47"/>
        <c:overlap val="-6"/>
        <c:axId val="1161495536"/>
        <c:axId val="1161499888"/>
      </c:barChart>
      <c:catAx>
        <c:axId val="116149553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1600" b="1" i="0" u="none" strike="noStrike" kern="1200" cap="all" spc="120" normalizeH="0" baseline="0">
                <a:solidFill>
                  <a:schemeClr val="tx1"/>
                </a:solidFill>
                <a:latin typeface="+mn-lt"/>
                <a:ea typeface="+mn-ea"/>
                <a:cs typeface="+mn-cs"/>
              </a:defRPr>
            </a:pPr>
            <a:endParaRPr lang="en-US"/>
          </a:p>
        </c:txPr>
        <c:crossAx val="1161499888"/>
        <c:crosses val="autoZero"/>
        <c:auto val="1"/>
        <c:lblAlgn val="ctr"/>
        <c:lblOffset val="100"/>
        <c:noMultiLvlLbl val="0"/>
      </c:catAx>
      <c:valAx>
        <c:axId val="1161499888"/>
        <c:scaling>
          <c:orientation val="minMax"/>
        </c:scaling>
        <c:delete val="1"/>
        <c:axPos val="l"/>
        <c:numFmt formatCode="General" sourceLinked="1"/>
        <c:majorTickMark val="none"/>
        <c:minorTickMark val="none"/>
        <c:tickLblPos val="nextTo"/>
        <c:crossAx val="1161495536"/>
        <c:crosses val="autoZero"/>
        <c:crossBetween val="between"/>
      </c:valAx>
      <c:spPr>
        <a:noFill/>
        <a:ln>
          <a:noFill/>
        </a:ln>
        <a:effectLst/>
      </c:spPr>
    </c:plotArea>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barChart>
        <c:barDir val="col"/>
        <c:grouping val="clustered"/>
        <c:varyColors val="0"/>
        <c:ser>
          <c:idx val="0"/>
          <c:order val="0"/>
          <c:spPr>
            <a:solidFill>
              <a:schemeClr val="accent2"/>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14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scores!$AD$76:$AD$85</c:f>
              <c:strCache>
                <c:ptCount val="10"/>
                <c:pt idx="0">
                  <c:v>PB</c:v>
                </c:pt>
                <c:pt idx="1">
                  <c:v>SB</c:v>
                </c:pt>
                <c:pt idx="2">
                  <c:v>Hi</c:v>
                </c:pt>
                <c:pt idx="3">
                  <c:v>Ho</c:v>
                </c:pt>
                <c:pt idx="4">
                  <c:v>TC</c:v>
                </c:pt>
                <c:pt idx="5">
                  <c:v>ME</c:v>
                </c:pt>
                <c:pt idx="6">
                  <c:v>RB</c:v>
                </c:pt>
                <c:pt idx="7">
                  <c:v>PCM</c:v>
                </c:pt>
                <c:pt idx="8">
                  <c:v>PCG</c:v>
                </c:pt>
                <c:pt idx="9">
                  <c:v>PT</c:v>
                </c:pt>
              </c:strCache>
            </c:strRef>
          </c:cat>
          <c:val>
            <c:numRef>
              <c:f>scores!$AE$76:$AE$85</c:f>
              <c:numCache>
                <c:formatCode>General</c:formatCode>
                <c:ptCount val="10"/>
                <c:pt idx="0">
                  <c:v>0.21000000000000002</c:v>
                </c:pt>
                <c:pt idx="1">
                  <c:v>0.29500000000000004</c:v>
                </c:pt>
                <c:pt idx="2">
                  <c:v>0.26</c:v>
                </c:pt>
                <c:pt idx="3">
                  <c:v>0.185</c:v>
                </c:pt>
                <c:pt idx="4">
                  <c:v>0.31000000000000005</c:v>
                </c:pt>
                <c:pt idx="5">
                  <c:v>0.24500000000000002</c:v>
                </c:pt>
                <c:pt idx="6">
                  <c:v>0.28999999999999998</c:v>
                </c:pt>
                <c:pt idx="7">
                  <c:v>0.185</c:v>
                </c:pt>
                <c:pt idx="8">
                  <c:v>0.29000000000000004</c:v>
                </c:pt>
                <c:pt idx="9">
                  <c:v>0.23000000000000004</c:v>
                </c:pt>
              </c:numCache>
            </c:numRef>
          </c:val>
        </c:ser>
        <c:dLbls>
          <c:dLblPos val="outEnd"/>
          <c:showLegendKey val="0"/>
          <c:showVal val="1"/>
          <c:showCatName val="0"/>
          <c:showSerName val="0"/>
          <c:showPercent val="0"/>
          <c:showBubbleSize val="0"/>
        </c:dLbls>
        <c:gapWidth val="47"/>
        <c:overlap val="-6"/>
        <c:axId val="1161497168"/>
        <c:axId val="1161496624"/>
      </c:barChart>
      <c:catAx>
        <c:axId val="11614971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1600" b="1" i="0" u="none" strike="noStrike" kern="1200" cap="all" spc="120" normalizeH="0" baseline="0">
                <a:solidFill>
                  <a:schemeClr val="tx1"/>
                </a:solidFill>
                <a:latin typeface="+mn-lt"/>
                <a:ea typeface="+mn-ea"/>
                <a:cs typeface="+mn-cs"/>
              </a:defRPr>
            </a:pPr>
            <a:endParaRPr lang="en-US"/>
          </a:p>
        </c:txPr>
        <c:crossAx val="1161496624"/>
        <c:crosses val="autoZero"/>
        <c:auto val="1"/>
        <c:lblAlgn val="ctr"/>
        <c:lblOffset val="100"/>
        <c:noMultiLvlLbl val="0"/>
      </c:catAx>
      <c:valAx>
        <c:axId val="1161496624"/>
        <c:scaling>
          <c:orientation val="minMax"/>
        </c:scaling>
        <c:delete val="1"/>
        <c:axPos val="l"/>
        <c:numFmt formatCode="General" sourceLinked="1"/>
        <c:majorTickMark val="none"/>
        <c:minorTickMark val="none"/>
        <c:tickLblPos val="nextTo"/>
        <c:crossAx val="1161497168"/>
        <c:crosses val="autoZero"/>
        <c:crossBetween val="between"/>
      </c:valAx>
      <c:spPr>
        <a:noFill/>
        <a:ln>
          <a:noFill/>
        </a:ln>
        <a:effectLst/>
      </c:spPr>
    </c:plotArea>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stacked"/>
        <c:varyColors val="0"/>
        <c:ser>
          <c:idx val="0"/>
          <c:order val="0"/>
          <c:tx>
            <c:strRef>
              <c:f>'timeout queries'!$B$21</c:f>
              <c:strCache>
                <c:ptCount val="1"/>
                <c:pt idx="0">
                  <c:v>SWDF BGP only</c:v>
                </c:pt>
              </c:strCache>
            </c:strRef>
          </c:tx>
          <c:spPr>
            <a:solidFill>
              <a:schemeClr val="accent1"/>
            </a:solidFill>
            <a:ln>
              <a:noFill/>
            </a:ln>
            <a:effectLst/>
          </c:spPr>
          <c:invertIfNegative val="0"/>
          <c:cat>
            <c:strRef>
              <c:f>'timeout queries'!$A$22:$A$29</c:f>
              <c:strCache>
                <c:ptCount val="8"/>
                <c:pt idx="0">
                  <c:v>Predicate-based</c:v>
                </c:pt>
                <c:pt idx="1">
                  <c:v>Subject-based</c:v>
                </c:pt>
                <c:pt idx="2">
                  <c:v>Hierarchical</c:v>
                </c:pt>
                <c:pt idx="3">
                  <c:v>Horizontal </c:v>
                </c:pt>
                <c:pt idx="4">
                  <c:v>TCV-Min</c:v>
                </c:pt>
                <c:pt idx="5">
                  <c:v>Min-Edgecut</c:v>
                </c:pt>
                <c:pt idx="6">
                  <c:v>Recursive-bisection</c:v>
                </c:pt>
                <c:pt idx="7">
                  <c:v>MCL</c:v>
                </c:pt>
              </c:strCache>
            </c:strRef>
          </c:cat>
          <c:val>
            <c:numRef>
              <c:f>'timeout queries'!$B$22:$B$29</c:f>
              <c:numCache>
                <c:formatCode>General</c:formatCode>
                <c:ptCount val="8"/>
                <c:pt idx="0">
                  <c:v>0</c:v>
                </c:pt>
                <c:pt idx="1">
                  <c:v>0</c:v>
                </c:pt>
                <c:pt idx="2">
                  <c:v>0</c:v>
                </c:pt>
                <c:pt idx="3">
                  <c:v>0</c:v>
                </c:pt>
                <c:pt idx="4">
                  <c:v>0</c:v>
                </c:pt>
                <c:pt idx="5">
                  <c:v>0</c:v>
                </c:pt>
                <c:pt idx="6">
                  <c:v>0</c:v>
                </c:pt>
                <c:pt idx="7">
                  <c:v>0</c:v>
                </c:pt>
              </c:numCache>
            </c:numRef>
          </c:val>
        </c:ser>
        <c:ser>
          <c:idx val="1"/>
          <c:order val="1"/>
          <c:tx>
            <c:strRef>
              <c:f>'timeout queries'!$C$21</c:f>
              <c:strCache>
                <c:ptCount val="1"/>
                <c:pt idx="0">
                  <c:v>SWDF fully featured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'timeout queries'!$A$22:$A$29</c:f>
              <c:strCache>
                <c:ptCount val="8"/>
                <c:pt idx="0">
                  <c:v>Predicate-based</c:v>
                </c:pt>
                <c:pt idx="1">
                  <c:v>Subject-based</c:v>
                </c:pt>
                <c:pt idx="2">
                  <c:v>Hierarchical</c:v>
                </c:pt>
                <c:pt idx="3">
                  <c:v>Horizontal </c:v>
                </c:pt>
                <c:pt idx="4">
                  <c:v>TCV-Min</c:v>
                </c:pt>
                <c:pt idx="5">
                  <c:v>Min-Edgecut</c:v>
                </c:pt>
                <c:pt idx="6">
                  <c:v>Recursive-bisection</c:v>
                </c:pt>
                <c:pt idx="7">
                  <c:v>MCL</c:v>
                </c:pt>
              </c:strCache>
            </c:strRef>
          </c:cat>
          <c:val>
            <c:numRef>
              <c:f>'timeout queries'!$C$22:$C$29</c:f>
              <c:numCache>
                <c:formatCode>General</c:formatCode>
                <c:ptCount val="8"/>
                <c:pt idx="0">
                  <c:v>20</c:v>
                </c:pt>
                <c:pt idx="1">
                  <c:v>20</c:v>
                </c:pt>
                <c:pt idx="2">
                  <c:v>20</c:v>
                </c:pt>
                <c:pt idx="3">
                  <c:v>19</c:v>
                </c:pt>
                <c:pt idx="4">
                  <c:v>20</c:v>
                </c:pt>
                <c:pt idx="5">
                  <c:v>22</c:v>
                </c:pt>
                <c:pt idx="6">
                  <c:v>21</c:v>
                </c:pt>
                <c:pt idx="7">
                  <c:v>11</c:v>
                </c:pt>
              </c:numCache>
            </c:numRef>
          </c:val>
        </c:ser>
        <c:ser>
          <c:idx val="2"/>
          <c:order val="2"/>
          <c:tx>
            <c:strRef>
              <c:f>'timeout queries'!$D$21</c:f>
              <c:strCache>
                <c:ptCount val="1"/>
                <c:pt idx="0">
                  <c:v>DBpedia BGP only</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'timeout queries'!$A$22:$A$29</c:f>
              <c:strCache>
                <c:ptCount val="8"/>
                <c:pt idx="0">
                  <c:v>Predicate-based</c:v>
                </c:pt>
                <c:pt idx="1">
                  <c:v>Subject-based</c:v>
                </c:pt>
                <c:pt idx="2">
                  <c:v>Hierarchical</c:v>
                </c:pt>
                <c:pt idx="3">
                  <c:v>Horizontal </c:v>
                </c:pt>
                <c:pt idx="4">
                  <c:v>TCV-Min</c:v>
                </c:pt>
                <c:pt idx="5">
                  <c:v>Min-Edgecut</c:v>
                </c:pt>
                <c:pt idx="6">
                  <c:v>Recursive-bisection</c:v>
                </c:pt>
                <c:pt idx="7">
                  <c:v>MCL</c:v>
                </c:pt>
              </c:strCache>
            </c:strRef>
          </c:cat>
          <c:val>
            <c:numRef>
              <c:f>'timeout queries'!$D$22:$D$29</c:f>
              <c:numCache>
                <c:formatCode>General</c:formatCode>
                <c:ptCount val="8"/>
                <c:pt idx="0">
                  <c:v>35</c:v>
                </c:pt>
                <c:pt idx="1">
                  <c:v>35</c:v>
                </c:pt>
                <c:pt idx="2">
                  <c:v>33</c:v>
                </c:pt>
                <c:pt idx="3">
                  <c:v>34</c:v>
                </c:pt>
                <c:pt idx="4">
                  <c:v>33</c:v>
                </c:pt>
                <c:pt idx="5">
                  <c:v>34</c:v>
                </c:pt>
                <c:pt idx="6">
                  <c:v>35</c:v>
                </c:pt>
                <c:pt idx="7">
                  <c:v>20</c:v>
                </c:pt>
              </c:numCache>
            </c:numRef>
          </c:val>
        </c:ser>
        <c:ser>
          <c:idx val="3"/>
          <c:order val="3"/>
          <c:tx>
            <c:strRef>
              <c:f>'timeout queries'!$E$21</c:f>
              <c:strCache>
                <c:ptCount val="1"/>
                <c:pt idx="0">
                  <c:v>DBpedia fully featured</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'timeout queries'!$A$22:$A$29</c:f>
              <c:strCache>
                <c:ptCount val="8"/>
                <c:pt idx="0">
                  <c:v>Predicate-based</c:v>
                </c:pt>
                <c:pt idx="1">
                  <c:v>Subject-based</c:v>
                </c:pt>
                <c:pt idx="2">
                  <c:v>Hierarchical</c:v>
                </c:pt>
                <c:pt idx="3">
                  <c:v>Horizontal </c:v>
                </c:pt>
                <c:pt idx="4">
                  <c:v>TCV-Min</c:v>
                </c:pt>
                <c:pt idx="5">
                  <c:v>Min-Edgecut</c:v>
                </c:pt>
                <c:pt idx="6">
                  <c:v>Recursive-bisection</c:v>
                </c:pt>
                <c:pt idx="7">
                  <c:v>MCL</c:v>
                </c:pt>
              </c:strCache>
            </c:strRef>
          </c:cat>
          <c:val>
            <c:numRef>
              <c:f>'timeout queries'!$E$22:$E$29</c:f>
              <c:numCache>
                <c:formatCode>General</c:formatCode>
                <c:ptCount val="8"/>
                <c:pt idx="0">
                  <c:v>81</c:v>
                </c:pt>
                <c:pt idx="1">
                  <c:v>83</c:v>
                </c:pt>
                <c:pt idx="2">
                  <c:v>79</c:v>
                </c:pt>
                <c:pt idx="3">
                  <c:v>83</c:v>
                </c:pt>
                <c:pt idx="4">
                  <c:v>85</c:v>
                </c:pt>
                <c:pt idx="5">
                  <c:v>84</c:v>
                </c:pt>
                <c:pt idx="6">
                  <c:v>81</c:v>
                </c:pt>
                <c:pt idx="7">
                  <c:v>51</c:v>
                </c:pt>
              </c:numCache>
            </c:numRef>
          </c:val>
        </c:ser>
        <c:dLbls>
          <c:showLegendKey val="0"/>
          <c:showVal val="0"/>
          <c:showCatName val="0"/>
          <c:showSerName val="0"/>
          <c:showPercent val="0"/>
          <c:showBubbleSize val="0"/>
        </c:dLbls>
        <c:gapWidth val="150"/>
        <c:overlap val="100"/>
        <c:axId val="1161502608"/>
        <c:axId val="1161503152"/>
      </c:barChart>
      <c:catAx>
        <c:axId val="11615026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1503152"/>
        <c:crosses val="autoZero"/>
        <c:auto val="1"/>
        <c:lblAlgn val="ctr"/>
        <c:lblOffset val="100"/>
        <c:noMultiLvlLbl val="0"/>
      </c:catAx>
      <c:valAx>
        <c:axId val="116150315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15026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1037004474214591"/>
          <c:y val="2.995674324590207E-2"/>
          <c:w val="0.75901587001745896"/>
          <c:h val="0.6138166574408348"/>
        </c:manualLayout>
      </c:layout>
      <c:barChart>
        <c:barDir val="col"/>
        <c:grouping val="stacked"/>
        <c:varyColors val="0"/>
        <c:ser>
          <c:idx val="0"/>
          <c:order val="0"/>
          <c:tx>
            <c:strRef>
              <c:f>'benchmark-execution'!$E$63</c:f>
              <c:strCache>
                <c:ptCount val="1"/>
                <c:pt idx="0">
                  <c:v>SWDF BGP-only</c:v>
                </c:pt>
              </c:strCache>
            </c:strRef>
          </c:tx>
          <c:spPr>
            <a:pattFill prst="pct90">
              <a:fgClr>
                <a:schemeClr val="accent4">
                  <a:lumMod val="75000"/>
                </a:schemeClr>
              </a:fgClr>
              <a:bgClr>
                <a:schemeClr val="bg1"/>
              </a:bgClr>
            </a:patt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'benchmark-execution'!$D$95:$D$102</c:f>
              <c:strCache>
                <c:ptCount val="8"/>
                <c:pt idx="0">
                  <c:v>PB</c:v>
                </c:pt>
                <c:pt idx="1">
                  <c:v>SB</c:v>
                </c:pt>
                <c:pt idx="2">
                  <c:v>Hi</c:v>
                </c:pt>
                <c:pt idx="3">
                  <c:v>Ho</c:v>
                </c:pt>
                <c:pt idx="4">
                  <c:v>TC</c:v>
                </c:pt>
                <c:pt idx="5">
                  <c:v>ME</c:v>
                </c:pt>
                <c:pt idx="6">
                  <c:v>RB</c:v>
                </c:pt>
                <c:pt idx="7">
                  <c:v>MCL</c:v>
                </c:pt>
              </c:strCache>
            </c:strRef>
          </c:cat>
          <c:val>
            <c:numRef>
              <c:f>'benchmark-execution'!$E$95:$E$102</c:f>
              <c:numCache>
                <c:formatCode>0</c:formatCode>
                <c:ptCount val="8"/>
                <c:pt idx="0">
                  <c:v>1099.1770000000001</c:v>
                </c:pt>
                <c:pt idx="1">
                  <c:v>1056.5229999999999</c:v>
                </c:pt>
                <c:pt idx="2">
                  <c:v>1053.3809999999999</c:v>
                </c:pt>
                <c:pt idx="3">
                  <c:v>1040.5550000000001</c:v>
                </c:pt>
                <c:pt idx="4">
                  <c:v>1051.421</c:v>
                </c:pt>
                <c:pt idx="5">
                  <c:v>1052.6569999999999</c:v>
                </c:pt>
                <c:pt idx="6">
                  <c:v>1052.5229999999999</c:v>
                </c:pt>
                <c:pt idx="7">
                  <c:v>1144.8310000000001</c:v>
                </c:pt>
              </c:numCache>
            </c:numRef>
          </c:val>
        </c:ser>
        <c:ser>
          <c:idx val="1"/>
          <c:order val="1"/>
          <c:tx>
            <c:strRef>
              <c:f>'benchmark-execution'!$F$63</c:f>
              <c:strCache>
                <c:ptCount val="1"/>
                <c:pt idx="0">
                  <c:v>SWDF fully-featured</c:v>
                </c:pt>
              </c:strCache>
            </c:strRef>
          </c:tx>
          <c:spPr>
            <a:pattFill prst="pct75">
              <a:fgClr>
                <a:schemeClr val="accent6"/>
              </a:fgClr>
              <a:bgClr>
                <a:schemeClr val="bg1"/>
              </a:bgClr>
            </a:patt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'benchmark-execution'!$D$95:$D$102</c:f>
              <c:strCache>
                <c:ptCount val="8"/>
                <c:pt idx="0">
                  <c:v>PB</c:v>
                </c:pt>
                <c:pt idx="1">
                  <c:v>SB</c:v>
                </c:pt>
                <c:pt idx="2">
                  <c:v>Hi</c:v>
                </c:pt>
                <c:pt idx="3">
                  <c:v>Ho</c:v>
                </c:pt>
                <c:pt idx="4">
                  <c:v>TC</c:v>
                </c:pt>
                <c:pt idx="5">
                  <c:v>ME</c:v>
                </c:pt>
                <c:pt idx="6">
                  <c:v>RB</c:v>
                </c:pt>
                <c:pt idx="7">
                  <c:v>MCL</c:v>
                </c:pt>
              </c:strCache>
            </c:strRef>
          </c:cat>
          <c:val>
            <c:numRef>
              <c:f>'benchmark-execution'!$F$95:$F$102</c:f>
              <c:numCache>
                <c:formatCode>0</c:formatCode>
                <c:ptCount val="8"/>
                <c:pt idx="0">
                  <c:v>44070.637000000002</c:v>
                </c:pt>
                <c:pt idx="1">
                  <c:v>33586.423999999999</c:v>
                </c:pt>
                <c:pt idx="2">
                  <c:v>52485.565000000002</c:v>
                </c:pt>
                <c:pt idx="3">
                  <c:v>44561.839</c:v>
                </c:pt>
                <c:pt idx="4">
                  <c:v>39058.822</c:v>
                </c:pt>
                <c:pt idx="5">
                  <c:v>15786.627</c:v>
                </c:pt>
                <c:pt idx="6">
                  <c:v>54745.728999999999</c:v>
                </c:pt>
                <c:pt idx="7">
                  <c:v>38271.864000000001</c:v>
                </c:pt>
              </c:numCache>
            </c:numRef>
          </c:val>
        </c:ser>
        <c:dLbls>
          <c:dLblPos val="ctr"/>
          <c:showLegendKey val="0"/>
          <c:showVal val="1"/>
          <c:showCatName val="0"/>
          <c:showSerName val="0"/>
          <c:showPercent val="0"/>
          <c:showBubbleSize val="0"/>
        </c:dLbls>
        <c:gapWidth val="40"/>
        <c:overlap val="100"/>
        <c:axId val="1251164016"/>
        <c:axId val="1251165648"/>
      </c:barChart>
      <c:catAx>
        <c:axId val="12511640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endParaRPr lang="en-US"/>
          </a:p>
        </c:txPr>
        <c:crossAx val="1251165648"/>
        <c:crossesAt val="1.0000000000000002E-2"/>
        <c:auto val="1"/>
        <c:lblAlgn val="ctr"/>
        <c:lblOffset val="100"/>
        <c:noMultiLvlLbl val="0"/>
      </c:catAx>
      <c:valAx>
        <c:axId val="1251165648"/>
        <c:scaling>
          <c:logBase val="10"/>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lang="en-US" sz="1400" b="1" i="0" u="none" strike="noStrike" kern="1200" baseline="0">
                    <a:solidFill>
                      <a:sysClr val="windowText" lastClr="000000"/>
                    </a:solidFill>
                    <a:latin typeface="+mn-lt"/>
                    <a:ea typeface="+mn-ea"/>
                    <a:cs typeface="+mn-cs"/>
                  </a:defRPr>
                </a:pPr>
                <a:r>
                  <a:rPr lang="en-US" sz="1400" b="1" i="0" u="none" strike="noStrike" kern="1200" baseline="0">
                    <a:solidFill>
                      <a:sysClr val="windowText" lastClr="000000"/>
                    </a:solidFill>
                    <a:latin typeface="+mn-lt"/>
                    <a:ea typeface="+mn-ea"/>
                    <a:cs typeface="+mn-cs"/>
                  </a:rPr>
                  <a:t> Benchmark execution time in sec (log scale)</a:t>
                </a:r>
              </a:p>
            </c:rich>
          </c:tx>
          <c:overlay val="0"/>
          <c:spPr>
            <a:noFill/>
            <a:ln>
              <a:noFill/>
            </a:ln>
            <a:effectLst/>
          </c:spPr>
          <c:txPr>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lang="en-US" sz="1400" b="1" i="0" u="none" strike="noStrike" kern="1200" baseline="0">
                  <a:solidFill>
                    <a:sysClr val="windowText" lastClr="000000"/>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endParaRPr lang="en-US"/>
          </a:p>
        </c:txPr>
        <c:crossAx val="1251164016"/>
        <c:crosses val="autoZero"/>
        <c:crossBetween val="between"/>
      </c:valAx>
      <c:spPr>
        <a:noFill/>
        <a:ln>
          <a:noFill/>
        </a:ln>
        <a:effectLst/>
      </c:spPr>
    </c:plotArea>
    <c:legend>
      <c:legendPos val="b"/>
      <c:layout>
        <c:manualLayout>
          <c:xMode val="edge"/>
          <c:yMode val="edge"/>
          <c:x val="9.1743422847574502E-2"/>
          <c:y val="0.75732938409762829"/>
          <c:w val="0.89165659893510307"/>
          <c:h val="0.17698329556944578"/>
        </c:manualLayout>
      </c:layout>
      <c:overlay val="0"/>
      <c:spPr>
        <a:noFill/>
        <a:ln>
          <a:noFill/>
        </a:ln>
        <a:effectLst/>
      </c:spPr>
      <c:txPr>
        <a:bodyPr rot="0" spcFirstLastPara="1" vertOverflow="ellipsis" vert="horz" wrap="square" anchor="ctr" anchorCtr="1"/>
        <a:lstStyle/>
        <a:p>
          <a:pPr>
            <a:defRPr sz="1400" b="1"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barChart>
        <c:barDir val="bar"/>
        <c:grouping val="stacked"/>
        <c:varyColors val="0"/>
        <c:ser>
          <c:idx val="0"/>
          <c:order val="0"/>
          <c:tx>
            <c:strRef>
              <c:f>'timeout queries'!$B$4</c:f>
              <c:strCache>
                <c:ptCount val="1"/>
                <c:pt idx="0">
                  <c:v>SWDF BGP only</c:v>
                </c:pt>
              </c:strCache>
            </c:strRef>
          </c:tx>
          <c:spPr>
            <a:solidFill>
              <a:schemeClr val="accent1"/>
            </a:solidFill>
            <a:ln>
              <a:noFill/>
            </a:ln>
            <a:effectLst/>
          </c:spPr>
          <c:invertIfNegative val="0"/>
          <c:cat>
            <c:strRef>
              <c:f>'timeout queries'!$A$5:$A$12</c:f>
              <c:strCache>
                <c:ptCount val="8"/>
                <c:pt idx="0">
                  <c:v>Predicate-based</c:v>
                </c:pt>
                <c:pt idx="1">
                  <c:v>Subject-based</c:v>
                </c:pt>
                <c:pt idx="2">
                  <c:v>Hierarchical</c:v>
                </c:pt>
                <c:pt idx="3">
                  <c:v>Horizontal </c:v>
                </c:pt>
                <c:pt idx="4">
                  <c:v>TCV-Min</c:v>
                </c:pt>
                <c:pt idx="5">
                  <c:v>Min-Edgecut</c:v>
                </c:pt>
                <c:pt idx="6">
                  <c:v>Recursive-bisection</c:v>
                </c:pt>
                <c:pt idx="7">
                  <c:v>MCL</c:v>
                </c:pt>
              </c:strCache>
            </c:strRef>
          </c:cat>
          <c:val>
            <c:numRef>
              <c:f>'timeout queries'!$B$5:$B$12</c:f>
              <c:numCache>
                <c:formatCode>General</c:formatCode>
                <c:ptCount val="8"/>
                <c:pt idx="0">
                  <c:v>0</c:v>
                </c:pt>
                <c:pt idx="1">
                  <c:v>0</c:v>
                </c:pt>
                <c:pt idx="2">
                  <c:v>0</c:v>
                </c:pt>
                <c:pt idx="3">
                  <c:v>0</c:v>
                </c:pt>
                <c:pt idx="4">
                  <c:v>0</c:v>
                </c:pt>
                <c:pt idx="5">
                  <c:v>0</c:v>
                </c:pt>
                <c:pt idx="6">
                  <c:v>0</c:v>
                </c:pt>
                <c:pt idx="7">
                  <c:v>0</c:v>
                </c:pt>
              </c:numCache>
            </c:numRef>
          </c:val>
        </c:ser>
        <c:ser>
          <c:idx val="1"/>
          <c:order val="1"/>
          <c:tx>
            <c:strRef>
              <c:f>'timeout queries'!$C$4</c:f>
              <c:strCache>
                <c:ptCount val="1"/>
                <c:pt idx="0">
                  <c:v>SWDF fully featured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'timeout queries'!$A$5:$A$12</c:f>
              <c:strCache>
                <c:ptCount val="8"/>
                <c:pt idx="0">
                  <c:v>Predicate-based</c:v>
                </c:pt>
                <c:pt idx="1">
                  <c:v>Subject-based</c:v>
                </c:pt>
                <c:pt idx="2">
                  <c:v>Hierarchical</c:v>
                </c:pt>
                <c:pt idx="3">
                  <c:v>Horizontal </c:v>
                </c:pt>
                <c:pt idx="4">
                  <c:v>TCV-Min</c:v>
                </c:pt>
                <c:pt idx="5">
                  <c:v>Min-Edgecut</c:v>
                </c:pt>
                <c:pt idx="6">
                  <c:v>Recursive-bisection</c:v>
                </c:pt>
                <c:pt idx="7">
                  <c:v>MCL</c:v>
                </c:pt>
              </c:strCache>
            </c:strRef>
          </c:cat>
          <c:val>
            <c:numRef>
              <c:f>'timeout queries'!$C$5:$C$12</c:f>
              <c:numCache>
                <c:formatCode>General</c:formatCode>
                <c:ptCount val="8"/>
                <c:pt idx="0">
                  <c:v>35</c:v>
                </c:pt>
                <c:pt idx="1">
                  <c:v>24</c:v>
                </c:pt>
                <c:pt idx="2">
                  <c:v>28</c:v>
                </c:pt>
                <c:pt idx="3">
                  <c:v>12</c:v>
                </c:pt>
                <c:pt idx="4">
                  <c:v>24</c:v>
                </c:pt>
                <c:pt idx="5">
                  <c:v>30</c:v>
                </c:pt>
                <c:pt idx="6">
                  <c:v>19</c:v>
                </c:pt>
                <c:pt idx="7">
                  <c:v>20</c:v>
                </c:pt>
              </c:numCache>
            </c:numRef>
          </c:val>
        </c:ser>
        <c:ser>
          <c:idx val="2"/>
          <c:order val="2"/>
          <c:tx>
            <c:strRef>
              <c:f>'timeout queries'!$D$4</c:f>
              <c:strCache>
                <c:ptCount val="1"/>
                <c:pt idx="0">
                  <c:v>DBpedia BGP only</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'timeout queries'!$A$5:$A$12</c:f>
              <c:strCache>
                <c:ptCount val="8"/>
                <c:pt idx="0">
                  <c:v>Predicate-based</c:v>
                </c:pt>
                <c:pt idx="1">
                  <c:v>Subject-based</c:v>
                </c:pt>
                <c:pt idx="2">
                  <c:v>Hierarchical</c:v>
                </c:pt>
                <c:pt idx="3">
                  <c:v>Horizontal </c:v>
                </c:pt>
                <c:pt idx="4">
                  <c:v>TCV-Min</c:v>
                </c:pt>
                <c:pt idx="5">
                  <c:v>Min-Edgecut</c:v>
                </c:pt>
                <c:pt idx="6">
                  <c:v>Recursive-bisection</c:v>
                </c:pt>
                <c:pt idx="7">
                  <c:v>MCL</c:v>
                </c:pt>
              </c:strCache>
            </c:strRef>
          </c:cat>
          <c:val>
            <c:numRef>
              <c:f>'timeout queries'!$D$5:$D$12</c:f>
              <c:numCache>
                <c:formatCode>General</c:formatCode>
                <c:ptCount val="8"/>
                <c:pt idx="0">
                  <c:v>32</c:v>
                </c:pt>
                <c:pt idx="1">
                  <c:v>29</c:v>
                </c:pt>
                <c:pt idx="2">
                  <c:v>28</c:v>
                </c:pt>
                <c:pt idx="3">
                  <c:v>31</c:v>
                </c:pt>
                <c:pt idx="4">
                  <c:v>35</c:v>
                </c:pt>
                <c:pt idx="5">
                  <c:v>35</c:v>
                </c:pt>
                <c:pt idx="6">
                  <c:v>32</c:v>
                </c:pt>
                <c:pt idx="7">
                  <c:v>40</c:v>
                </c:pt>
              </c:numCache>
            </c:numRef>
          </c:val>
        </c:ser>
        <c:ser>
          <c:idx val="3"/>
          <c:order val="3"/>
          <c:tx>
            <c:strRef>
              <c:f>'timeout queries'!$E$4</c:f>
              <c:strCache>
                <c:ptCount val="1"/>
                <c:pt idx="0">
                  <c:v>DBpedia fully featured</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'timeout queries'!$A$5:$A$12</c:f>
              <c:strCache>
                <c:ptCount val="8"/>
                <c:pt idx="0">
                  <c:v>Predicate-based</c:v>
                </c:pt>
                <c:pt idx="1">
                  <c:v>Subject-based</c:v>
                </c:pt>
                <c:pt idx="2">
                  <c:v>Hierarchical</c:v>
                </c:pt>
                <c:pt idx="3">
                  <c:v>Horizontal </c:v>
                </c:pt>
                <c:pt idx="4">
                  <c:v>TCV-Min</c:v>
                </c:pt>
                <c:pt idx="5">
                  <c:v>Min-Edgecut</c:v>
                </c:pt>
                <c:pt idx="6">
                  <c:v>Recursive-bisection</c:v>
                </c:pt>
                <c:pt idx="7">
                  <c:v>MCL</c:v>
                </c:pt>
              </c:strCache>
            </c:strRef>
          </c:cat>
          <c:val>
            <c:numRef>
              <c:f>'timeout queries'!$E$5:$E$12</c:f>
              <c:numCache>
                <c:formatCode>General</c:formatCode>
                <c:ptCount val="8"/>
                <c:pt idx="0">
                  <c:v>73</c:v>
                </c:pt>
                <c:pt idx="1">
                  <c:v>69</c:v>
                </c:pt>
                <c:pt idx="2">
                  <c:v>70</c:v>
                </c:pt>
                <c:pt idx="3">
                  <c:v>73</c:v>
                </c:pt>
                <c:pt idx="4">
                  <c:v>70</c:v>
                </c:pt>
                <c:pt idx="5">
                  <c:v>74</c:v>
                </c:pt>
                <c:pt idx="6">
                  <c:v>70</c:v>
                </c:pt>
                <c:pt idx="7">
                  <c:v>68</c:v>
                </c:pt>
              </c:numCache>
            </c:numRef>
          </c:val>
        </c:ser>
        <c:dLbls>
          <c:showLegendKey val="0"/>
          <c:showVal val="0"/>
          <c:showCatName val="0"/>
          <c:showSerName val="0"/>
          <c:showPercent val="0"/>
          <c:showBubbleSize val="0"/>
        </c:dLbls>
        <c:gapWidth val="150"/>
        <c:overlap val="100"/>
        <c:axId val="1161491728"/>
        <c:axId val="1161492272"/>
      </c:barChart>
      <c:catAx>
        <c:axId val="11614917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1161492272"/>
        <c:crosses val="autoZero"/>
        <c:auto val="1"/>
        <c:lblAlgn val="ctr"/>
        <c:lblOffset val="100"/>
        <c:noMultiLvlLbl val="0"/>
      </c:catAx>
      <c:valAx>
        <c:axId val="116149227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16149172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barChart>
        <c:barDir val="bar"/>
        <c:grouping val="stacked"/>
        <c:varyColors val="0"/>
        <c:ser>
          <c:idx val="0"/>
          <c:order val="0"/>
          <c:tx>
            <c:strRef>
              <c:f>'timeout queries'!$B$36</c:f>
              <c:strCache>
                <c:ptCount val="1"/>
                <c:pt idx="0">
                  <c:v>SWDF BGP</c:v>
                </c:pt>
              </c:strCache>
            </c:strRef>
          </c:tx>
          <c:spPr>
            <a:solidFill>
              <a:schemeClr val="accent1"/>
            </a:solidFill>
            <a:ln>
              <a:noFill/>
            </a:ln>
            <a:effectLst/>
          </c:spPr>
          <c:invertIfNegative val="0"/>
          <c:cat>
            <c:strRef>
              <c:f>'timeout queries'!$A$37:$A$44</c:f>
              <c:strCache>
                <c:ptCount val="8"/>
                <c:pt idx="0">
                  <c:v>Predicate-based</c:v>
                </c:pt>
                <c:pt idx="1">
                  <c:v>Subject-based</c:v>
                </c:pt>
                <c:pt idx="2">
                  <c:v>Hierarchical</c:v>
                </c:pt>
                <c:pt idx="3">
                  <c:v>Horizontal </c:v>
                </c:pt>
                <c:pt idx="4">
                  <c:v>TCV-Min</c:v>
                </c:pt>
                <c:pt idx="5">
                  <c:v>Min-Edgecut</c:v>
                </c:pt>
                <c:pt idx="6">
                  <c:v>Recursive-bisection</c:v>
                </c:pt>
                <c:pt idx="7">
                  <c:v>MCL</c:v>
                </c:pt>
              </c:strCache>
            </c:strRef>
          </c:cat>
          <c:val>
            <c:numRef>
              <c:f>'timeout queries'!$B$37:$B$44</c:f>
              <c:numCache>
                <c:formatCode>General</c:formatCode>
                <c:ptCount val="8"/>
                <c:pt idx="0">
                  <c:v>0</c:v>
                </c:pt>
                <c:pt idx="1">
                  <c:v>0</c:v>
                </c:pt>
                <c:pt idx="2">
                  <c:v>0</c:v>
                </c:pt>
                <c:pt idx="3">
                  <c:v>0</c:v>
                </c:pt>
                <c:pt idx="4">
                  <c:v>0</c:v>
                </c:pt>
                <c:pt idx="5">
                  <c:v>0</c:v>
                </c:pt>
                <c:pt idx="6">
                  <c:v>0</c:v>
                </c:pt>
                <c:pt idx="7">
                  <c:v>0</c:v>
                </c:pt>
              </c:numCache>
            </c:numRef>
          </c:val>
        </c:ser>
        <c:ser>
          <c:idx val="1"/>
          <c:order val="1"/>
          <c:tx>
            <c:strRef>
              <c:f>'timeout queries'!$C$36</c:f>
              <c:strCache>
                <c:ptCount val="1"/>
                <c:pt idx="0">
                  <c:v>DBpedia BGP</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'timeout queries'!$A$37:$A$44</c:f>
              <c:strCache>
                <c:ptCount val="8"/>
                <c:pt idx="0">
                  <c:v>Predicate-based</c:v>
                </c:pt>
                <c:pt idx="1">
                  <c:v>Subject-based</c:v>
                </c:pt>
                <c:pt idx="2">
                  <c:v>Hierarchical</c:v>
                </c:pt>
                <c:pt idx="3">
                  <c:v>Horizontal </c:v>
                </c:pt>
                <c:pt idx="4">
                  <c:v>TCV-Min</c:v>
                </c:pt>
                <c:pt idx="5">
                  <c:v>Min-Edgecut</c:v>
                </c:pt>
                <c:pt idx="6">
                  <c:v>Recursive-bisection</c:v>
                </c:pt>
                <c:pt idx="7">
                  <c:v>MCL</c:v>
                </c:pt>
              </c:strCache>
            </c:strRef>
          </c:cat>
          <c:val>
            <c:numRef>
              <c:f>'timeout queries'!$C$37:$C$44</c:f>
              <c:numCache>
                <c:formatCode>General</c:formatCode>
                <c:ptCount val="8"/>
                <c:pt idx="0">
                  <c:v>209</c:v>
                </c:pt>
                <c:pt idx="1">
                  <c:v>162</c:v>
                </c:pt>
                <c:pt idx="2">
                  <c:v>286</c:v>
                </c:pt>
                <c:pt idx="3">
                  <c:v>246</c:v>
                </c:pt>
                <c:pt idx="4">
                  <c:v>188</c:v>
                </c:pt>
                <c:pt idx="5">
                  <c:v>65</c:v>
                </c:pt>
                <c:pt idx="6">
                  <c:v>298</c:v>
                </c:pt>
                <c:pt idx="7">
                  <c:v>187</c:v>
                </c:pt>
              </c:numCache>
            </c:numRef>
          </c:val>
        </c:ser>
        <c:dLbls>
          <c:showLegendKey val="0"/>
          <c:showVal val="0"/>
          <c:showCatName val="0"/>
          <c:showSerName val="0"/>
          <c:showPercent val="0"/>
          <c:showBubbleSize val="0"/>
        </c:dLbls>
        <c:gapWidth val="150"/>
        <c:overlap val="100"/>
        <c:axId val="1166606960"/>
        <c:axId val="1166603152"/>
      </c:barChart>
      <c:catAx>
        <c:axId val="11666069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1166603152"/>
        <c:crosses val="autoZero"/>
        <c:auto val="1"/>
        <c:lblAlgn val="ctr"/>
        <c:lblOffset val="100"/>
        <c:noMultiLvlLbl val="0"/>
      </c:catAx>
      <c:valAx>
        <c:axId val="116660315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1666069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1.783006455198102E-2"/>
          <c:y val="4.2783027841121139E-2"/>
          <c:w val="0.96433987089603801"/>
          <c:h val="0.60860588188882236"/>
        </c:manualLayout>
      </c:layout>
      <c:barChart>
        <c:barDir val="col"/>
        <c:grouping val="clustered"/>
        <c:varyColors val="0"/>
        <c:ser>
          <c:idx val="0"/>
          <c:order val="0"/>
          <c:tx>
            <c:strRef>
              <c:f>'timeout queries'!$B$67</c:f>
              <c:strCache>
                <c:ptCount val="1"/>
                <c:pt idx="0">
                  <c:v>PB</c:v>
                </c:pt>
              </c:strCache>
            </c:strRef>
          </c:tx>
          <c:spPr>
            <a:pattFill prst="pct75">
              <a:fgClr>
                <a:schemeClr val="accent6">
                  <a:lumMod val="50000"/>
                </a:schemeClr>
              </a:fgClr>
              <a:bgClr>
                <a:schemeClr val="bg1"/>
              </a:bgClr>
            </a:patt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'timeout queries'!$A$68:$A$71</c:f>
              <c:strCache>
                <c:ptCount val="4"/>
                <c:pt idx="0">
                  <c:v>SWDF BGP-only</c:v>
                </c:pt>
                <c:pt idx="1">
                  <c:v>SWDF fully-featured</c:v>
                </c:pt>
                <c:pt idx="2">
                  <c:v>DBpedia BGP-only</c:v>
                </c:pt>
                <c:pt idx="3">
                  <c:v>DBpedia fully-featured</c:v>
                </c:pt>
              </c:strCache>
            </c:strRef>
          </c:cat>
          <c:val>
            <c:numRef>
              <c:f>'timeout queries'!$B$68:$B$71</c:f>
              <c:numCache>
                <c:formatCode>General</c:formatCode>
                <c:ptCount val="4"/>
                <c:pt idx="0">
                  <c:v>0</c:v>
                </c:pt>
                <c:pt idx="1">
                  <c:v>55</c:v>
                </c:pt>
                <c:pt idx="2">
                  <c:v>276</c:v>
                </c:pt>
                <c:pt idx="3">
                  <c:v>154</c:v>
                </c:pt>
              </c:numCache>
            </c:numRef>
          </c:val>
        </c:ser>
        <c:ser>
          <c:idx val="1"/>
          <c:order val="1"/>
          <c:tx>
            <c:strRef>
              <c:f>'timeout queries'!$C$67</c:f>
              <c:strCache>
                <c:ptCount val="1"/>
                <c:pt idx="0">
                  <c:v>SB</c:v>
                </c:pt>
              </c:strCache>
            </c:strRef>
          </c:tx>
          <c:spPr>
            <a:pattFill prst="pct80">
              <a:fgClr>
                <a:schemeClr val="accent2"/>
              </a:fgClr>
              <a:bgClr>
                <a:schemeClr val="bg1"/>
              </a:bgClr>
            </a:pattFill>
            <a:ln>
              <a:noFill/>
            </a:ln>
            <a:effectLst/>
          </c:spPr>
          <c:invertIfNegative val="0"/>
          <c:dLbls>
            <c:spPr>
              <a:noFill/>
              <a:ln>
                <a:noFill/>
              </a:ln>
              <a:effectLst/>
            </c:spPr>
            <c:txPr>
              <a:bodyPr rot="-5400000" spcFirstLastPara="1" vertOverflow="clip" horzOverflow="clip" vert="horz" wrap="square" lIns="38100" tIns="19050" rIns="38100" bIns="19050" anchor="ctr" anchorCtr="0">
                <a:spAutoFit/>
              </a:bodyPr>
              <a:lstStyle/>
              <a:p>
                <a:pPr algn="ctr">
                  <a:defRPr lang="en-US" sz="10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'timeout queries'!$A$68:$A$71</c:f>
              <c:strCache>
                <c:ptCount val="4"/>
                <c:pt idx="0">
                  <c:v>SWDF BGP-only</c:v>
                </c:pt>
                <c:pt idx="1">
                  <c:v>SWDF fully-featured</c:v>
                </c:pt>
                <c:pt idx="2">
                  <c:v>DBpedia BGP-only</c:v>
                </c:pt>
                <c:pt idx="3">
                  <c:v>DBpedia fully-featured</c:v>
                </c:pt>
              </c:strCache>
            </c:strRef>
          </c:cat>
          <c:val>
            <c:numRef>
              <c:f>'timeout queries'!$C$68:$C$71</c:f>
              <c:numCache>
                <c:formatCode>General</c:formatCode>
                <c:ptCount val="4"/>
                <c:pt idx="0">
                  <c:v>0</c:v>
                </c:pt>
                <c:pt idx="1">
                  <c:v>44</c:v>
                </c:pt>
                <c:pt idx="2">
                  <c:v>226</c:v>
                </c:pt>
                <c:pt idx="3">
                  <c:v>152</c:v>
                </c:pt>
              </c:numCache>
            </c:numRef>
          </c:val>
        </c:ser>
        <c:ser>
          <c:idx val="2"/>
          <c:order val="2"/>
          <c:tx>
            <c:strRef>
              <c:f>'timeout queries'!$D$67</c:f>
              <c:strCache>
                <c:ptCount val="1"/>
                <c:pt idx="0">
                  <c:v>Hi</c:v>
                </c:pt>
              </c:strCache>
            </c:strRef>
          </c:tx>
          <c:spPr>
            <a:pattFill prst="pct90">
              <a:fgClr>
                <a:schemeClr val="accent3"/>
              </a:fgClr>
              <a:bgClr>
                <a:schemeClr val="bg1"/>
              </a:bgClr>
            </a:pattFill>
            <a:ln>
              <a:noFill/>
            </a:ln>
            <a:effectLst/>
          </c:spPr>
          <c:invertIfNegative val="0"/>
          <c:dLbls>
            <c:spPr>
              <a:noFill/>
              <a:ln>
                <a:noFill/>
              </a:ln>
              <a:effectLst/>
            </c:spPr>
            <c:txPr>
              <a:bodyPr rot="-5400000" spcFirstLastPara="1" vertOverflow="clip" horzOverflow="clip" vert="horz" wrap="square" lIns="38100" tIns="19050" rIns="38100" bIns="19050" anchor="ctr" anchorCtr="0">
                <a:spAutoFit/>
              </a:bodyPr>
              <a:lstStyle/>
              <a:p>
                <a:pPr algn="ctr">
                  <a:defRPr lang="en-US" sz="10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'timeout queries'!$A$68:$A$71</c:f>
              <c:strCache>
                <c:ptCount val="4"/>
                <c:pt idx="0">
                  <c:v>SWDF BGP-only</c:v>
                </c:pt>
                <c:pt idx="1">
                  <c:v>SWDF fully-featured</c:v>
                </c:pt>
                <c:pt idx="2">
                  <c:v>DBpedia BGP-only</c:v>
                </c:pt>
                <c:pt idx="3">
                  <c:v>DBpedia fully-featured</c:v>
                </c:pt>
              </c:strCache>
            </c:strRef>
          </c:cat>
          <c:val>
            <c:numRef>
              <c:f>'timeout queries'!$D$68:$D$71</c:f>
              <c:numCache>
                <c:formatCode>General</c:formatCode>
                <c:ptCount val="4"/>
                <c:pt idx="0">
                  <c:v>0</c:v>
                </c:pt>
                <c:pt idx="1">
                  <c:v>48</c:v>
                </c:pt>
                <c:pt idx="2">
                  <c:v>347</c:v>
                </c:pt>
                <c:pt idx="3">
                  <c:v>149</c:v>
                </c:pt>
              </c:numCache>
            </c:numRef>
          </c:val>
        </c:ser>
        <c:ser>
          <c:idx val="3"/>
          <c:order val="3"/>
          <c:tx>
            <c:strRef>
              <c:f>'timeout queries'!$E$67</c:f>
              <c:strCache>
                <c:ptCount val="1"/>
                <c:pt idx="0">
                  <c:v>Ho</c:v>
                </c:pt>
              </c:strCache>
            </c:strRef>
          </c:tx>
          <c:spPr>
            <a:pattFill prst="dkDnDiag">
              <a:fgClr>
                <a:schemeClr val="accent4"/>
              </a:fgClr>
              <a:bgClr>
                <a:schemeClr val="bg1"/>
              </a:bgClr>
            </a:pattFill>
            <a:ln>
              <a:noFill/>
            </a:ln>
            <a:effectLst/>
          </c:spPr>
          <c:invertIfNegative val="0"/>
          <c:dLbls>
            <c:spPr>
              <a:noFill/>
              <a:ln>
                <a:noFill/>
              </a:ln>
              <a:effectLst/>
            </c:spPr>
            <c:txPr>
              <a:bodyPr rot="-5400000" spcFirstLastPara="1" vertOverflow="clip" horzOverflow="clip" vert="horz" wrap="square" lIns="38100" tIns="19050" rIns="38100" bIns="19050" anchor="ctr" anchorCtr="0">
                <a:spAutoFit/>
              </a:bodyPr>
              <a:lstStyle/>
              <a:p>
                <a:pPr algn="ctr">
                  <a:defRPr lang="en-US" sz="10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'timeout queries'!$A$68:$A$71</c:f>
              <c:strCache>
                <c:ptCount val="4"/>
                <c:pt idx="0">
                  <c:v>SWDF BGP-only</c:v>
                </c:pt>
                <c:pt idx="1">
                  <c:v>SWDF fully-featured</c:v>
                </c:pt>
                <c:pt idx="2">
                  <c:v>DBpedia BGP-only</c:v>
                </c:pt>
                <c:pt idx="3">
                  <c:v>DBpedia fully-featured</c:v>
                </c:pt>
              </c:strCache>
            </c:strRef>
          </c:cat>
          <c:val>
            <c:numRef>
              <c:f>'timeout queries'!$E$68:$E$71</c:f>
              <c:numCache>
                <c:formatCode>General</c:formatCode>
                <c:ptCount val="4"/>
                <c:pt idx="0">
                  <c:v>0</c:v>
                </c:pt>
                <c:pt idx="1">
                  <c:v>31</c:v>
                </c:pt>
                <c:pt idx="2">
                  <c:v>311</c:v>
                </c:pt>
                <c:pt idx="3">
                  <c:v>156</c:v>
                </c:pt>
              </c:numCache>
            </c:numRef>
          </c:val>
        </c:ser>
        <c:ser>
          <c:idx val="4"/>
          <c:order val="4"/>
          <c:tx>
            <c:strRef>
              <c:f>'timeout queries'!$F$67</c:f>
              <c:strCache>
                <c:ptCount val="1"/>
                <c:pt idx="0">
                  <c:v>TC</c:v>
                </c:pt>
              </c:strCache>
            </c:strRef>
          </c:tx>
          <c:spPr>
            <a:pattFill prst="dkUpDiag">
              <a:fgClr>
                <a:schemeClr val="accent5"/>
              </a:fgClr>
              <a:bgClr>
                <a:schemeClr val="bg1"/>
              </a:bgClr>
            </a:pattFill>
            <a:ln>
              <a:noFill/>
            </a:ln>
            <a:effectLst/>
          </c:spPr>
          <c:invertIfNegative val="0"/>
          <c:dLbls>
            <c:spPr>
              <a:noFill/>
              <a:ln>
                <a:noFill/>
              </a:ln>
              <a:effectLst/>
            </c:spPr>
            <c:txPr>
              <a:bodyPr rot="-5400000" spcFirstLastPara="1" vertOverflow="clip" horzOverflow="clip" vert="horz" wrap="square" lIns="38100" tIns="19050" rIns="38100" bIns="19050" anchor="ctr" anchorCtr="0">
                <a:spAutoFit/>
              </a:bodyPr>
              <a:lstStyle/>
              <a:p>
                <a:pPr algn="ctr">
                  <a:defRPr lang="en-US" sz="10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'timeout queries'!$A$68:$A$71</c:f>
              <c:strCache>
                <c:ptCount val="4"/>
                <c:pt idx="0">
                  <c:v>SWDF BGP-only</c:v>
                </c:pt>
                <c:pt idx="1">
                  <c:v>SWDF fully-featured</c:v>
                </c:pt>
                <c:pt idx="2">
                  <c:v>DBpedia BGP-only</c:v>
                </c:pt>
                <c:pt idx="3">
                  <c:v>DBpedia fully-featured</c:v>
                </c:pt>
              </c:strCache>
            </c:strRef>
          </c:cat>
          <c:val>
            <c:numRef>
              <c:f>'timeout queries'!$F$68:$F$71</c:f>
              <c:numCache>
                <c:formatCode>General</c:formatCode>
                <c:ptCount val="4"/>
                <c:pt idx="0">
                  <c:v>0</c:v>
                </c:pt>
                <c:pt idx="1">
                  <c:v>44</c:v>
                </c:pt>
                <c:pt idx="2">
                  <c:v>256</c:v>
                </c:pt>
                <c:pt idx="3">
                  <c:v>155</c:v>
                </c:pt>
              </c:numCache>
            </c:numRef>
          </c:val>
        </c:ser>
        <c:ser>
          <c:idx val="5"/>
          <c:order val="5"/>
          <c:tx>
            <c:strRef>
              <c:f>'timeout queries'!$G$67</c:f>
              <c:strCache>
                <c:ptCount val="1"/>
                <c:pt idx="0">
                  <c:v>ME</c:v>
                </c:pt>
              </c:strCache>
            </c:strRef>
          </c:tx>
          <c:spPr>
            <a:pattFill prst="trellis">
              <a:fgClr>
                <a:schemeClr val="accent6"/>
              </a:fgClr>
              <a:bgClr>
                <a:schemeClr val="bg1"/>
              </a:bgClr>
            </a:pattFill>
            <a:ln>
              <a:noFill/>
            </a:ln>
            <a:effectLst/>
          </c:spPr>
          <c:invertIfNegative val="0"/>
          <c:dLbls>
            <c:spPr>
              <a:noFill/>
              <a:ln>
                <a:noFill/>
              </a:ln>
              <a:effectLst/>
            </c:spPr>
            <c:txPr>
              <a:bodyPr rot="-5400000" spcFirstLastPara="1" vertOverflow="clip" horzOverflow="clip" vert="horz" wrap="square" lIns="38100" tIns="19050" rIns="38100" bIns="19050" anchor="ctr" anchorCtr="0">
                <a:spAutoFit/>
              </a:bodyPr>
              <a:lstStyle/>
              <a:p>
                <a:pPr algn="ctr">
                  <a:defRPr lang="en-US" sz="10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'timeout queries'!$A$68:$A$71</c:f>
              <c:strCache>
                <c:ptCount val="4"/>
                <c:pt idx="0">
                  <c:v>SWDF BGP-only</c:v>
                </c:pt>
                <c:pt idx="1">
                  <c:v>SWDF fully-featured</c:v>
                </c:pt>
                <c:pt idx="2">
                  <c:v>DBpedia BGP-only</c:v>
                </c:pt>
                <c:pt idx="3">
                  <c:v>DBpedia fully-featured</c:v>
                </c:pt>
              </c:strCache>
            </c:strRef>
          </c:cat>
          <c:val>
            <c:numRef>
              <c:f>'timeout queries'!$G$68:$G$71</c:f>
              <c:numCache>
                <c:formatCode>General</c:formatCode>
                <c:ptCount val="4"/>
                <c:pt idx="0">
                  <c:v>0</c:v>
                </c:pt>
                <c:pt idx="1">
                  <c:v>52</c:v>
                </c:pt>
                <c:pt idx="2">
                  <c:v>134</c:v>
                </c:pt>
                <c:pt idx="3">
                  <c:v>158</c:v>
                </c:pt>
              </c:numCache>
            </c:numRef>
          </c:val>
        </c:ser>
        <c:ser>
          <c:idx val="6"/>
          <c:order val="6"/>
          <c:tx>
            <c:strRef>
              <c:f>'timeout queries'!$H$67</c:f>
              <c:strCache>
                <c:ptCount val="1"/>
                <c:pt idx="0">
                  <c:v>RB</c:v>
                </c:pt>
              </c:strCache>
            </c:strRef>
          </c:tx>
          <c:spPr>
            <a:pattFill prst="pct50">
              <a:fgClr>
                <a:schemeClr val="accent5">
                  <a:lumMod val="75000"/>
                </a:schemeClr>
              </a:fgClr>
              <a:bgClr>
                <a:schemeClr val="bg1"/>
              </a:bgClr>
            </a:pattFill>
            <a:ln>
              <a:noFill/>
            </a:ln>
            <a:effectLst/>
          </c:spPr>
          <c:invertIfNegative val="0"/>
          <c:dLbls>
            <c:spPr>
              <a:noFill/>
              <a:ln>
                <a:noFill/>
              </a:ln>
              <a:effectLst/>
            </c:spPr>
            <c:txPr>
              <a:bodyPr rot="-5400000" spcFirstLastPara="1" vertOverflow="clip" horzOverflow="clip" vert="horz" wrap="square" lIns="38100" tIns="19050" rIns="38100" bIns="19050" anchor="ctr" anchorCtr="0">
                <a:spAutoFit/>
              </a:bodyPr>
              <a:lstStyle/>
              <a:p>
                <a:pPr algn="ctr">
                  <a:defRPr lang="en-US" sz="10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'timeout queries'!$A$68:$A$71</c:f>
              <c:strCache>
                <c:ptCount val="4"/>
                <c:pt idx="0">
                  <c:v>SWDF BGP-only</c:v>
                </c:pt>
                <c:pt idx="1">
                  <c:v>SWDF fully-featured</c:v>
                </c:pt>
                <c:pt idx="2">
                  <c:v>DBpedia BGP-only</c:v>
                </c:pt>
                <c:pt idx="3">
                  <c:v>DBpedia fully-featured</c:v>
                </c:pt>
              </c:strCache>
            </c:strRef>
          </c:cat>
          <c:val>
            <c:numRef>
              <c:f>'timeout queries'!$H$68:$H$71</c:f>
              <c:numCache>
                <c:formatCode>General</c:formatCode>
                <c:ptCount val="4"/>
                <c:pt idx="0">
                  <c:v>0</c:v>
                </c:pt>
                <c:pt idx="1">
                  <c:v>40</c:v>
                </c:pt>
                <c:pt idx="2">
                  <c:v>365</c:v>
                </c:pt>
                <c:pt idx="3">
                  <c:v>151</c:v>
                </c:pt>
              </c:numCache>
            </c:numRef>
          </c:val>
        </c:ser>
        <c:ser>
          <c:idx val="7"/>
          <c:order val="7"/>
          <c:tx>
            <c:strRef>
              <c:f>'timeout queries'!$I$67</c:f>
              <c:strCache>
                <c:ptCount val="1"/>
                <c:pt idx="0">
                  <c:v>MCL</c:v>
                </c:pt>
              </c:strCache>
            </c:strRef>
          </c:tx>
          <c:spPr>
            <a:pattFill prst="pct70">
              <a:fgClr>
                <a:schemeClr val="accent2">
                  <a:lumMod val="50000"/>
                </a:schemeClr>
              </a:fgClr>
              <a:bgClr>
                <a:schemeClr val="bg1"/>
              </a:bgClr>
            </a:pattFill>
            <a:ln>
              <a:noFill/>
            </a:ln>
            <a:effectLst/>
          </c:spPr>
          <c:invertIfNegative val="0"/>
          <c:dLbls>
            <c:spPr>
              <a:noFill/>
              <a:ln>
                <a:noFill/>
              </a:ln>
              <a:effectLst/>
            </c:spPr>
            <c:txPr>
              <a:bodyPr rot="-5400000" spcFirstLastPara="1" vertOverflow="clip" horzOverflow="clip" vert="horz" wrap="square" lIns="38100" tIns="19050" rIns="38100" bIns="19050" anchor="ctr" anchorCtr="0">
                <a:spAutoFit/>
              </a:bodyPr>
              <a:lstStyle/>
              <a:p>
                <a:pPr algn="ctr">
                  <a:defRPr lang="en-US" sz="10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'timeout queries'!$A$68:$A$71</c:f>
              <c:strCache>
                <c:ptCount val="4"/>
                <c:pt idx="0">
                  <c:v>SWDF BGP-only</c:v>
                </c:pt>
                <c:pt idx="1">
                  <c:v>SWDF fully-featured</c:v>
                </c:pt>
                <c:pt idx="2">
                  <c:v>DBpedia BGP-only</c:v>
                </c:pt>
                <c:pt idx="3">
                  <c:v>DBpedia fully-featured</c:v>
                </c:pt>
              </c:strCache>
            </c:strRef>
          </c:cat>
          <c:val>
            <c:numRef>
              <c:f>'timeout queries'!$I$68:$I$71</c:f>
              <c:numCache>
                <c:formatCode>General</c:formatCode>
                <c:ptCount val="4"/>
                <c:pt idx="0">
                  <c:v>0</c:v>
                </c:pt>
                <c:pt idx="1">
                  <c:v>31</c:v>
                </c:pt>
                <c:pt idx="2">
                  <c:v>247</c:v>
                </c:pt>
                <c:pt idx="3">
                  <c:v>119</c:v>
                </c:pt>
              </c:numCache>
            </c:numRef>
          </c:val>
        </c:ser>
        <c:ser>
          <c:idx val="8"/>
          <c:order val="8"/>
          <c:tx>
            <c:strRef>
              <c:f>'timeout queries'!$J$67</c:f>
              <c:strCache>
                <c:ptCount val="1"/>
                <c:pt idx="0">
                  <c:v>PCo</c:v>
                </c:pt>
              </c:strCache>
            </c:strRef>
          </c:tx>
          <c:spPr>
            <a:solidFill>
              <a:schemeClr val="accent3">
                <a:lumMod val="60000"/>
              </a:schemeClr>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'timeout queries'!$A$68:$A$71</c:f>
              <c:strCache>
                <c:ptCount val="4"/>
                <c:pt idx="0">
                  <c:v>SWDF BGP-only</c:v>
                </c:pt>
                <c:pt idx="1">
                  <c:v>SWDF fully-featured</c:v>
                </c:pt>
                <c:pt idx="2">
                  <c:v>DBpedia BGP-only</c:v>
                </c:pt>
                <c:pt idx="3">
                  <c:v>DBpedia fully-featured</c:v>
                </c:pt>
              </c:strCache>
            </c:strRef>
          </c:cat>
          <c:val>
            <c:numRef>
              <c:f>'timeout queries'!$J$68:$J$71</c:f>
              <c:numCache>
                <c:formatCode>General</c:formatCode>
                <c:ptCount val="4"/>
                <c:pt idx="0">
                  <c:v>0</c:v>
                </c:pt>
                <c:pt idx="1">
                  <c:v>2</c:v>
                </c:pt>
                <c:pt idx="2">
                  <c:v>127</c:v>
                </c:pt>
                <c:pt idx="3">
                  <c:v>102</c:v>
                </c:pt>
              </c:numCache>
            </c:numRef>
          </c:val>
        </c:ser>
        <c:dLbls>
          <c:dLblPos val="outEnd"/>
          <c:showLegendKey val="0"/>
          <c:showVal val="1"/>
          <c:showCatName val="0"/>
          <c:showSerName val="0"/>
          <c:showPercent val="0"/>
          <c:showBubbleSize val="0"/>
        </c:dLbls>
        <c:gapWidth val="50"/>
        <c:overlap val="-90"/>
        <c:axId val="1166613488"/>
        <c:axId val="1166604240"/>
      </c:barChart>
      <c:catAx>
        <c:axId val="116661348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cap="all" spc="120" normalizeH="0" baseline="0">
                <a:solidFill>
                  <a:sysClr val="windowText" lastClr="000000"/>
                </a:solidFill>
                <a:latin typeface="+mn-lt"/>
                <a:ea typeface="+mn-ea"/>
                <a:cs typeface="+mn-cs"/>
              </a:defRPr>
            </a:pPr>
            <a:endParaRPr lang="en-US"/>
          </a:p>
        </c:txPr>
        <c:crossAx val="1166604240"/>
        <c:crosses val="autoZero"/>
        <c:auto val="1"/>
        <c:lblAlgn val="ctr"/>
        <c:lblOffset val="100"/>
        <c:noMultiLvlLbl val="0"/>
      </c:catAx>
      <c:valAx>
        <c:axId val="1166604240"/>
        <c:scaling>
          <c:orientation val="minMax"/>
        </c:scaling>
        <c:delete val="1"/>
        <c:axPos val="l"/>
        <c:numFmt formatCode="General" sourceLinked="1"/>
        <c:majorTickMark val="none"/>
        <c:minorTickMark val="none"/>
        <c:tickLblPos val="nextTo"/>
        <c:crossAx val="1166613488"/>
        <c:crosses val="autoZero"/>
        <c:crossBetween val="between"/>
      </c:valAx>
      <c:spPr>
        <a:noFill/>
        <a:ln>
          <a:noFill/>
        </a:ln>
        <a:effectLst/>
      </c:spPr>
    </c:plotArea>
    <c:legend>
      <c:legendPos val="t"/>
      <c:layout>
        <c:manualLayout>
          <c:xMode val="edge"/>
          <c:yMode val="edge"/>
          <c:x val="2.7207249038012495E-2"/>
          <c:y val="0.77779937179951997"/>
          <c:w val="0.94175427058665817"/>
          <c:h val="0.1275926466656227"/>
        </c:manualLayout>
      </c:layout>
      <c:overlay val="0"/>
      <c:spPr>
        <a:noFill/>
        <a:ln>
          <a:noFill/>
        </a:ln>
        <a:effectLst/>
      </c:spPr>
      <c:txPr>
        <a:bodyPr rot="0" spcFirstLastPara="1" vertOverflow="ellipsis" vert="horz" wrap="square" anchor="ctr" anchorCtr="1"/>
        <a:lstStyle/>
        <a:p>
          <a:pPr>
            <a:defRPr sz="1400" b="1"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'partition time'!$C$2:$C$3</c:f>
              <c:strCache>
                <c:ptCount val="2"/>
                <c:pt idx="0">
                  <c:v>SWDF</c:v>
                </c:pt>
                <c:pt idx="1">
                  <c:v>BGP-Only</c:v>
                </c:pt>
              </c:strCache>
            </c:strRef>
          </c:tx>
          <c:spPr>
            <a:solidFill>
              <a:schemeClr val="accent1"/>
            </a:solidFill>
            <a:ln>
              <a:noFill/>
            </a:ln>
            <a:effectLst/>
          </c:spPr>
          <c:invertIfNegative val="0"/>
          <c:cat>
            <c:strRef>
              <c:f>'partition time'!$B$4:$B$10</c:f>
              <c:strCache>
                <c:ptCount val="7"/>
                <c:pt idx="0">
                  <c:v>Predicate-Based</c:v>
                </c:pt>
                <c:pt idx="1">
                  <c:v>Subject-Based</c:v>
                </c:pt>
                <c:pt idx="2">
                  <c:v>Hierarchical</c:v>
                </c:pt>
                <c:pt idx="3">
                  <c:v>Horizontal </c:v>
                </c:pt>
                <c:pt idx="4">
                  <c:v>TCV-Min</c:v>
                </c:pt>
                <c:pt idx="5">
                  <c:v>Min-Edgecut</c:v>
                </c:pt>
                <c:pt idx="6">
                  <c:v>Recursive-Bisection</c:v>
                </c:pt>
              </c:strCache>
            </c:strRef>
          </c:cat>
          <c:val>
            <c:numRef>
              <c:f>'partition time'!$C$4:$C$10</c:f>
              <c:numCache>
                <c:formatCode>General</c:formatCode>
                <c:ptCount val="7"/>
                <c:pt idx="0">
                  <c:v>1541</c:v>
                </c:pt>
                <c:pt idx="1">
                  <c:v>354</c:v>
                </c:pt>
                <c:pt idx="2">
                  <c:v>354</c:v>
                </c:pt>
                <c:pt idx="3">
                  <c:v>1752</c:v>
                </c:pt>
                <c:pt idx="4">
                  <c:v>354</c:v>
                </c:pt>
                <c:pt idx="5">
                  <c:v>354</c:v>
                </c:pt>
                <c:pt idx="6">
                  <c:v>354</c:v>
                </c:pt>
              </c:numCache>
            </c:numRef>
          </c:val>
        </c:ser>
        <c:ser>
          <c:idx val="1"/>
          <c:order val="1"/>
          <c:tx>
            <c:strRef>
              <c:f>'partition time'!$D$2:$D$3</c:f>
              <c:strCache>
                <c:ptCount val="2"/>
                <c:pt idx="0">
                  <c:v>SWDF</c:v>
                </c:pt>
                <c:pt idx="1">
                  <c:v>Fully Featured</c:v>
                </c:pt>
              </c:strCache>
            </c:strRef>
          </c:tx>
          <c:spPr>
            <a:solidFill>
              <a:schemeClr val="accent2"/>
            </a:solidFill>
            <a:ln>
              <a:noFill/>
            </a:ln>
            <a:effectLst/>
          </c:spPr>
          <c:invertIfNegative val="0"/>
          <c:cat>
            <c:strRef>
              <c:f>'partition time'!$B$4:$B$10</c:f>
              <c:strCache>
                <c:ptCount val="7"/>
                <c:pt idx="0">
                  <c:v>Predicate-Based</c:v>
                </c:pt>
                <c:pt idx="1">
                  <c:v>Subject-Based</c:v>
                </c:pt>
                <c:pt idx="2">
                  <c:v>Hierarchical</c:v>
                </c:pt>
                <c:pt idx="3">
                  <c:v>Horizontal </c:v>
                </c:pt>
                <c:pt idx="4">
                  <c:v>TCV-Min</c:v>
                </c:pt>
                <c:pt idx="5">
                  <c:v>Min-Edgecut</c:v>
                </c:pt>
                <c:pt idx="6">
                  <c:v>Recursive-Bisection</c:v>
                </c:pt>
              </c:strCache>
            </c:strRef>
          </c:cat>
          <c:val>
            <c:numRef>
              <c:f>'partition time'!$D$4:$D$10</c:f>
              <c:numCache>
                <c:formatCode>General</c:formatCode>
                <c:ptCount val="7"/>
                <c:pt idx="0">
                  <c:v>2436</c:v>
                </c:pt>
                <c:pt idx="1">
                  <c:v>2578</c:v>
                </c:pt>
                <c:pt idx="2">
                  <c:v>2577</c:v>
                </c:pt>
                <c:pt idx="3">
                  <c:v>2685</c:v>
                </c:pt>
                <c:pt idx="4">
                  <c:v>2576</c:v>
                </c:pt>
                <c:pt idx="5">
                  <c:v>2574</c:v>
                </c:pt>
                <c:pt idx="6">
                  <c:v>2577</c:v>
                </c:pt>
              </c:numCache>
            </c:numRef>
          </c:val>
        </c:ser>
        <c:ser>
          <c:idx val="2"/>
          <c:order val="2"/>
          <c:tx>
            <c:strRef>
              <c:f>'partition time'!$E$2:$E$3</c:f>
              <c:strCache>
                <c:ptCount val="2"/>
                <c:pt idx="0">
                  <c:v>DBpedia</c:v>
                </c:pt>
                <c:pt idx="1">
                  <c:v>BGP-Only</c:v>
                </c:pt>
              </c:strCache>
            </c:strRef>
          </c:tx>
          <c:spPr>
            <a:solidFill>
              <a:schemeClr val="accent3"/>
            </a:solidFill>
            <a:ln>
              <a:noFill/>
            </a:ln>
            <a:effectLst/>
          </c:spPr>
          <c:invertIfNegative val="0"/>
          <c:cat>
            <c:strRef>
              <c:f>'partition time'!$B$4:$B$10</c:f>
              <c:strCache>
                <c:ptCount val="7"/>
                <c:pt idx="0">
                  <c:v>Predicate-Based</c:v>
                </c:pt>
                <c:pt idx="1">
                  <c:v>Subject-Based</c:v>
                </c:pt>
                <c:pt idx="2">
                  <c:v>Hierarchical</c:v>
                </c:pt>
                <c:pt idx="3">
                  <c:v>Horizontal </c:v>
                </c:pt>
                <c:pt idx="4">
                  <c:v>TCV-Min</c:v>
                </c:pt>
                <c:pt idx="5">
                  <c:v>Min-Edgecut</c:v>
                </c:pt>
                <c:pt idx="6">
                  <c:v>Recursive-Bisection</c:v>
                </c:pt>
              </c:strCache>
            </c:strRef>
          </c:cat>
          <c:val>
            <c:numRef>
              <c:f>'partition time'!$E$4:$E$10</c:f>
              <c:numCache>
                <c:formatCode>General</c:formatCode>
                <c:ptCount val="7"/>
                <c:pt idx="0">
                  <c:v>964</c:v>
                </c:pt>
                <c:pt idx="1">
                  <c:v>2234</c:v>
                </c:pt>
                <c:pt idx="2">
                  <c:v>2235</c:v>
                </c:pt>
                <c:pt idx="3">
                  <c:v>2352</c:v>
                </c:pt>
                <c:pt idx="4">
                  <c:v>2230</c:v>
                </c:pt>
                <c:pt idx="5">
                  <c:v>2230</c:v>
                </c:pt>
                <c:pt idx="6">
                  <c:v>2230</c:v>
                </c:pt>
              </c:numCache>
            </c:numRef>
          </c:val>
        </c:ser>
        <c:ser>
          <c:idx val="3"/>
          <c:order val="3"/>
          <c:tx>
            <c:strRef>
              <c:f>'partition time'!$F$2:$F$3</c:f>
              <c:strCache>
                <c:ptCount val="2"/>
                <c:pt idx="0">
                  <c:v>DBpedia</c:v>
                </c:pt>
                <c:pt idx="1">
                  <c:v>Fully Featured</c:v>
                </c:pt>
              </c:strCache>
            </c:strRef>
          </c:tx>
          <c:spPr>
            <a:solidFill>
              <a:schemeClr val="accent4"/>
            </a:solidFill>
            <a:ln>
              <a:noFill/>
            </a:ln>
            <a:effectLst/>
          </c:spPr>
          <c:invertIfNegative val="0"/>
          <c:cat>
            <c:strRef>
              <c:f>'partition time'!$B$4:$B$10</c:f>
              <c:strCache>
                <c:ptCount val="7"/>
                <c:pt idx="0">
                  <c:v>Predicate-Based</c:v>
                </c:pt>
                <c:pt idx="1">
                  <c:v>Subject-Based</c:v>
                </c:pt>
                <c:pt idx="2">
                  <c:v>Hierarchical</c:v>
                </c:pt>
                <c:pt idx="3">
                  <c:v>Horizontal </c:v>
                </c:pt>
                <c:pt idx="4">
                  <c:v>TCV-Min</c:v>
                </c:pt>
                <c:pt idx="5">
                  <c:v>Min-Edgecut</c:v>
                </c:pt>
                <c:pt idx="6">
                  <c:v>Recursive-Bisection</c:v>
                </c:pt>
              </c:strCache>
            </c:strRef>
          </c:cat>
          <c:val>
            <c:numRef>
              <c:f>'partition time'!$F$4:$F$10</c:f>
              <c:numCache>
                <c:formatCode>General</c:formatCode>
                <c:ptCount val="7"/>
                <c:pt idx="0">
                  <c:v>1815</c:v>
                </c:pt>
                <c:pt idx="1">
                  <c:v>2830</c:v>
                </c:pt>
                <c:pt idx="2">
                  <c:v>2832</c:v>
                </c:pt>
                <c:pt idx="3">
                  <c:v>2873</c:v>
                </c:pt>
                <c:pt idx="4">
                  <c:v>2825</c:v>
                </c:pt>
                <c:pt idx="5">
                  <c:v>2824</c:v>
                </c:pt>
                <c:pt idx="6">
                  <c:v>2827</c:v>
                </c:pt>
              </c:numCache>
            </c:numRef>
          </c:val>
        </c:ser>
        <c:ser>
          <c:idx val="4"/>
          <c:order val="4"/>
          <c:tx>
            <c:strRef>
              <c:f>'partition time'!$G$2:$G$3</c:f>
              <c:strCache>
                <c:ptCount val="2"/>
                <c:pt idx="0">
                  <c:v>1200 Queries</c:v>
                </c:pt>
                <c:pt idx="1">
                  <c:v>Overall Result</c:v>
                </c:pt>
              </c:strCache>
            </c:strRef>
          </c:tx>
          <c:spPr>
            <a:solidFill>
              <a:schemeClr val="accent5"/>
            </a:solidFill>
            <a:ln>
              <a:noFill/>
            </a:ln>
            <a:effectLst/>
          </c:spPr>
          <c:invertIfNegative val="0"/>
          <c:cat>
            <c:strRef>
              <c:f>'partition time'!$B$4:$B$10</c:f>
              <c:strCache>
                <c:ptCount val="7"/>
                <c:pt idx="0">
                  <c:v>Predicate-Based</c:v>
                </c:pt>
                <c:pt idx="1">
                  <c:v>Subject-Based</c:v>
                </c:pt>
                <c:pt idx="2">
                  <c:v>Hierarchical</c:v>
                </c:pt>
                <c:pt idx="3">
                  <c:v>Horizontal </c:v>
                </c:pt>
                <c:pt idx="4">
                  <c:v>TCV-Min</c:v>
                </c:pt>
                <c:pt idx="5">
                  <c:v>Min-Edgecut</c:v>
                </c:pt>
                <c:pt idx="6">
                  <c:v>Recursive-Bisection</c:v>
                </c:pt>
              </c:strCache>
            </c:strRef>
          </c:cat>
          <c:val>
            <c:numRef>
              <c:f>'partition time'!$G$4:$G$10</c:f>
              <c:numCache>
                <c:formatCode>General</c:formatCode>
                <c:ptCount val="7"/>
                <c:pt idx="0">
                  <c:v>6756</c:v>
                </c:pt>
                <c:pt idx="1">
                  <c:v>7996</c:v>
                </c:pt>
                <c:pt idx="2">
                  <c:v>7998</c:v>
                </c:pt>
                <c:pt idx="3">
                  <c:v>9662</c:v>
                </c:pt>
                <c:pt idx="4">
                  <c:v>7985</c:v>
                </c:pt>
                <c:pt idx="5">
                  <c:v>7982</c:v>
                </c:pt>
                <c:pt idx="6">
                  <c:v>7988</c:v>
                </c:pt>
              </c:numCache>
            </c:numRef>
          </c:val>
        </c:ser>
        <c:ser>
          <c:idx val="5"/>
          <c:order val="5"/>
          <c:tx>
            <c:strRef>
              <c:f>'partition time'!$H$2:$H$3</c:f>
              <c:strCache>
                <c:ptCount val="2"/>
                <c:pt idx="0">
                  <c:v>1200 Queries</c:v>
                </c:pt>
                <c:pt idx="1">
                  <c:v>Overall Result</c:v>
                </c:pt>
              </c:strCache>
            </c:strRef>
          </c:tx>
          <c:spPr>
            <a:solidFill>
              <a:schemeClr val="accent6"/>
            </a:solidFill>
            <a:ln>
              <a:noFill/>
            </a:ln>
            <a:effectLst/>
          </c:spPr>
          <c:invertIfNegative val="0"/>
          <c:cat>
            <c:strRef>
              <c:f>'partition time'!$B$4:$B$10</c:f>
              <c:strCache>
                <c:ptCount val="7"/>
                <c:pt idx="0">
                  <c:v>Predicate-Based</c:v>
                </c:pt>
                <c:pt idx="1">
                  <c:v>Subject-Based</c:v>
                </c:pt>
                <c:pt idx="2">
                  <c:v>Hierarchical</c:v>
                </c:pt>
                <c:pt idx="3">
                  <c:v>Horizontal </c:v>
                </c:pt>
                <c:pt idx="4">
                  <c:v>TCV-Min</c:v>
                </c:pt>
                <c:pt idx="5">
                  <c:v>Min-Edgecut</c:v>
                </c:pt>
                <c:pt idx="6">
                  <c:v>Recursive-Bisection</c:v>
                </c:pt>
              </c:strCache>
            </c:strRef>
          </c:cat>
          <c:val>
            <c:numRef>
              <c:f>'partition time'!$H$4:$H$10</c:f>
              <c:numCache>
                <c:formatCode>General</c:formatCode>
                <c:ptCount val="7"/>
              </c:numCache>
            </c:numRef>
          </c:val>
        </c:ser>
        <c:ser>
          <c:idx val="6"/>
          <c:order val="6"/>
          <c:tx>
            <c:strRef>
              <c:f>'partition time'!$I$2:$I$2</c:f>
              <c:strCache>
                <c:ptCount val="1"/>
                <c:pt idx="0">
                  <c:v>Total</c:v>
                </c:pt>
              </c:strCache>
            </c:strRef>
          </c:tx>
          <c:spPr>
            <a:solidFill>
              <a:schemeClr val="accent1">
                <a:lumMod val="60000"/>
              </a:schemeClr>
            </a:solidFill>
            <a:ln>
              <a:noFill/>
            </a:ln>
            <a:effectLst/>
          </c:spPr>
          <c:invertIfNegative val="0"/>
          <c:cat>
            <c:strRef>
              <c:f>'partition time'!$B$4:$B$10</c:f>
              <c:strCache>
                <c:ptCount val="7"/>
                <c:pt idx="0">
                  <c:v>Predicate-Based</c:v>
                </c:pt>
                <c:pt idx="1">
                  <c:v>Subject-Based</c:v>
                </c:pt>
                <c:pt idx="2">
                  <c:v>Hierarchical</c:v>
                </c:pt>
                <c:pt idx="3">
                  <c:v>Horizontal </c:v>
                </c:pt>
                <c:pt idx="4">
                  <c:v>TCV-Min</c:v>
                </c:pt>
                <c:pt idx="5">
                  <c:v>Min-Edgecut</c:v>
                </c:pt>
                <c:pt idx="6">
                  <c:v>Recursive-Bisection</c:v>
                </c:pt>
              </c:strCache>
            </c:strRef>
          </c:cat>
          <c:val>
            <c:numRef>
              <c:f>'partition time'!$I$4:$I$10</c:f>
              <c:numCache>
                <c:formatCode>General</c:formatCode>
                <c:ptCount val="7"/>
                <c:pt idx="0">
                  <c:v>6756</c:v>
                </c:pt>
                <c:pt idx="1">
                  <c:v>7996</c:v>
                </c:pt>
                <c:pt idx="2">
                  <c:v>7998</c:v>
                </c:pt>
                <c:pt idx="3">
                  <c:v>9662</c:v>
                </c:pt>
                <c:pt idx="4">
                  <c:v>7985</c:v>
                </c:pt>
                <c:pt idx="5">
                  <c:v>7982</c:v>
                </c:pt>
                <c:pt idx="6">
                  <c:v>7988</c:v>
                </c:pt>
              </c:numCache>
            </c:numRef>
          </c:val>
        </c:ser>
        <c:dLbls>
          <c:showLegendKey val="0"/>
          <c:showVal val="0"/>
          <c:showCatName val="0"/>
          <c:showSerName val="0"/>
          <c:showPercent val="0"/>
          <c:showBubbleSize val="0"/>
        </c:dLbls>
        <c:gapWidth val="219"/>
        <c:overlap val="-27"/>
        <c:axId val="1166598800"/>
        <c:axId val="1166608048"/>
      </c:barChart>
      <c:catAx>
        <c:axId val="11665988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166608048"/>
        <c:crosses val="autoZero"/>
        <c:auto val="1"/>
        <c:lblAlgn val="ctr"/>
        <c:lblOffset val="100"/>
        <c:noMultiLvlLbl val="0"/>
      </c:catAx>
      <c:valAx>
        <c:axId val="1166608048"/>
        <c:scaling>
          <c:orientation val="minMax"/>
          <c:max val="10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b="1">
                  <a:solidFill>
                    <a:sysClr val="windowText" lastClr="000000"/>
                  </a:solidFill>
                </a:endParaRPr>
              </a:p>
              <a:p>
                <a:pPr>
                  <a:defRPr b="1">
                    <a:solidFill>
                      <a:sysClr val="windowText" lastClr="000000"/>
                    </a:solidFill>
                  </a:defRPr>
                </a:pPr>
                <a:r>
                  <a:rPr lang="en-US" b="1">
                    <a:solidFill>
                      <a:sysClr val="windowText" lastClr="000000"/>
                    </a:solidFill>
                  </a:rPr>
                  <a:t>Total</a:t>
                </a:r>
                <a:r>
                  <a:rPr lang="en-US" b="1" baseline="0">
                    <a:solidFill>
                      <a:sysClr val="windowText" lastClr="000000"/>
                    </a:solidFill>
                  </a:rPr>
                  <a:t> n</a:t>
                </a:r>
                <a:r>
                  <a:rPr lang="en-US" b="1">
                    <a:solidFill>
                      <a:sysClr val="windowText" lastClr="000000"/>
                    </a:solidFill>
                  </a:rPr>
                  <a:t>umber of sources selected</a:t>
                </a:r>
              </a:p>
            </c:rich>
          </c:tx>
          <c:layout>
            <c:manualLayout>
              <c:xMode val="edge"/>
              <c:yMode val="edge"/>
              <c:x val="3.1689702418722775E-3"/>
              <c:y val="4.4208762828689935E-2"/>
            </c:manualLayout>
          </c:layout>
          <c:overlay val="0"/>
          <c:spPr>
            <a:noFill/>
            <a:ln>
              <a:noFill/>
            </a:ln>
            <a:effectLst/>
          </c:spPr>
          <c:txPr>
            <a:bodyPr rot="-54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166598800"/>
        <c:crosses val="autoZero"/>
        <c:crossBetween val="between"/>
      </c:valAx>
      <c:spPr>
        <a:noFill/>
        <a:ln>
          <a:noFill/>
        </a:ln>
        <a:effectLst/>
      </c:spPr>
    </c:plotArea>
    <c:legend>
      <c:legendPos val="b"/>
      <c:layout>
        <c:manualLayout>
          <c:xMode val="edge"/>
          <c:yMode val="edge"/>
          <c:x val="1.9261974278441694E-2"/>
          <c:y val="0.8041336617292304"/>
          <c:w val="0.97890204677101356"/>
          <c:h val="0.11967631717271511"/>
        </c:manualLayout>
      </c:layout>
      <c:overlay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5039763569983969E-3"/>
          <c:y val="0.13105494390738751"/>
          <c:w val="0.96433987089603801"/>
          <c:h val="0.60860588188882236"/>
        </c:manualLayout>
      </c:layout>
      <c:barChart>
        <c:barDir val="col"/>
        <c:grouping val="clustered"/>
        <c:varyColors val="0"/>
        <c:ser>
          <c:idx val="0"/>
          <c:order val="0"/>
          <c:tx>
            <c:strRef>
              <c:f>'partition time'!$B$22</c:f>
              <c:strCache>
                <c:ptCount val="1"/>
                <c:pt idx="0">
                  <c:v>PB</c:v>
                </c:pt>
              </c:strCache>
            </c:strRef>
          </c:tx>
          <c:spPr>
            <a:pattFill prst="pct75">
              <a:fgClr>
                <a:schemeClr val="accent6">
                  <a:lumMod val="50000"/>
                </a:schemeClr>
              </a:fgClr>
              <a:bgClr>
                <a:schemeClr val="bg1"/>
              </a:bgClr>
            </a:pattFill>
            <a:ln>
              <a:noFill/>
            </a:ln>
            <a:effectLst/>
          </c:spPr>
          <c:invertIfNegative val="0"/>
          <c:dLbls>
            <c:spPr>
              <a:noFill/>
              <a:ln>
                <a:noFill/>
              </a:ln>
              <a:effectLst/>
            </c:spPr>
            <c:txPr>
              <a:bodyPr rot="-5400000" spcFirstLastPara="1" vertOverflow="clip" horzOverflow="clip" vert="horz" wrap="square" lIns="38100" tIns="19050" rIns="38100" bIns="19050" anchor="ctr" anchorCtr="0">
                <a:spAutoFit/>
              </a:bodyPr>
              <a:lstStyle/>
              <a:p>
                <a:pPr algn="ctr">
                  <a:defRPr lang="en-US" sz="24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'partition time'!$C$21:$D$21</c:f>
              <c:strCache>
                <c:ptCount val="2"/>
                <c:pt idx="0">
                  <c:v>SWDF</c:v>
                </c:pt>
                <c:pt idx="1">
                  <c:v>DBpedia</c:v>
                </c:pt>
              </c:strCache>
            </c:strRef>
          </c:cat>
          <c:val>
            <c:numRef>
              <c:f>'partition time'!$C$22:$D$22</c:f>
              <c:numCache>
                <c:formatCode>0</c:formatCode>
                <c:ptCount val="2"/>
                <c:pt idx="0">
                  <c:v>40</c:v>
                </c:pt>
                <c:pt idx="1">
                  <c:v>35112</c:v>
                </c:pt>
              </c:numCache>
            </c:numRef>
          </c:val>
        </c:ser>
        <c:ser>
          <c:idx val="1"/>
          <c:order val="1"/>
          <c:tx>
            <c:strRef>
              <c:f>'partition time'!$B$23</c:f>
              <c:strCache>
                <c:ptCount val="1"/>
                <c:pt idx="0">
                  <c:v>SB</c:v>
                </c:pt>
              </c:strCache>
            </c:strRef>
          </c:tx>
          <c:spPr>
            <a:pattFill prst="pct80">
              <a:fgClr>
                <a:schemeClr val="accent2"/>
              </a:fgClr>
              <a:bgClr>
                <a:schemeClr val="bg1"/>
              </a:bgClr>
            </a:pattFill>
            <a:ln>
              <a:noFill/>
            </a:ln>
            <a:effectLst/>
          </c:spPr>
          <c:invertIfNegative val="0"/>
          <c:dLbls>
            <c:spPr>
              <a:noFill/>
              <a:ln>
                <a:noFill/>
              </a:ln>
              <a:effectLst/>
            </c:spPr>
            <c:txPr>
              <a:bodyPr rot="-5400000" spcFirstLastPara="1" vertOverflow="clip" horzOverflow="clip" vert="horz" wrap="square" lIns="38100" tIns="19050" rIns="38100" bIns="19050" anchor="ctr" anchorCtr="0">
                <a:spAutoFit/>
              </a:bodyPr>
              <a:lstStyle/>
              <a:p>
                <a:pPr algn="ctr">
                  <a:defRPr lang="en-US" sz="24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'partition time'!$C$21:$D$21</c:f>
              <c:strCache>
                <c:ptCount val="2"/>
                <c:pt idx="0">
                  <c:v>SWDF</c:v>
                </c:pt>
                <c:pt idx="1">
                  <c:v>DBpedia</c:v>
                </c:pt>
              </c:strCache>
            </c:strRef>
          </c:cat>
          <c:val>
            <c:numRef>
              <c:f>'partition time'!$C$23:$D$23</c:f>
              <c:numCache>
                <c:formatCode>0</c:formatCode>
                <c:ptCount val="2"/>
                <c:pt idx="0">
                  <c:v>40</c:v>
                </c:pt>
                <c:pt idx="1">
                  <c:v>34994</c:v>
                </c:pt>
              </c:numCache>
            </c:numRef>
          </c:val>
        </c:ser>
        <c:ser>
          <c:idx val="2"/>
          <c:order val="2"/>
          <c:tx>
            <c:strRef>
              <c:f>'partition time'!$B$24</c:f>
              <c:strCache>
                <c:ptCount val="1"/>
                <c:pt idx="0">
                  <c:v>Hi</c:v>
                </c:pt>
              </c:strCache>
            </c:strRef>
          </c:tx>
          <c:spPr>
            <a:pattFill prst="pct90">
              <a:fgClr>
                <a:schemeClr val="accent3"/>
              </a:fgClr>
              <a:bgClr>
                <a:schemeClr val="bg1"/>
              </a:bgClr>
            </a:pattFill>
            <a:ln>
              <a:noFill/>
            </a:ln>
            <a:effectLst/>
          </c:spPr>
          <c:invertIfNegative val="0"/>
          <c:dLbls>
            <c:spPr>
              <a:noFill/>
              <a:ln>
                <a:noFill/>
              </a:ln>
              <a:effectLst/>
            </c:spPr>
            <c:txPr>
              <a:bodyPr rot="-5400000" spcFirstLastPara="1" vertOverflow="clip" horzOverflow="clip" vert="horz" wrap="square" lIns="38100" tIns="19050" rIns="38100" bIns="19050" anchor="ctr" anchorCtr="0">
                <a:spAutoFit/>
              </a:bodyPr>
              <a:lstStyle/>
              <a:p>
                <a:pPr algn="ctr">
                  <a:defRPr lang="en-US" sz="24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'partition time'!$C$21:$D$21</c:f>
              <c:strCache>
                <c:ptCount val="2"/>
                <c:pt idx="0">
                  <c:v>SWDF</c:v>
                </c:pt>
                <c:pt idx="1">
                  <c:v>DBpedia</c:v>
                </c:pt>
              </c:strCache>
            </c:strRef>
          </c:cat>
          <c:val>
            <c:numRef>
              <c:f>'partition time'!$C$24:$D$24</c:f>
              <c:numCache>
                <c:formatCode>0</c:formatCode>
                <c:ptCount val="2"/>
                <c:pt idx="0">
                  <c:v>40</c:v>
                </c:pt>
                <c:pt idx="1">
                  <c:v>36118</c:v>
                </c:pt>
              </c:numCache>
            </c:numRef>
          </c:val>
        </c:ser>
        <c:ser>
          <c:idx val="3"/>
          <c:order val="3"/>
          <c:tx>
            <c:strRef>
              <c:f>'partition time'!$B$25</c:f>
              <c:strCache>
                <c:ptCount val="1"/>
                <c:pt idx="0">
                  <c:v>Ho</c:v>
                </c:pt>
              </c:strCache>
            </c:strRef>
          </c:tx>
          <c:spPr>
            <a:pattFill prst="dkDnDiag">
              <a:fgClr>
                <a:schemeClr val="accent4"/>
              </a:fgClr>
              <a:bgClr>
                <a:schemeClr val="bg1"/>
              </a:bgClr>
            </a:pattFill>
            <a:ln>
              <a:noFill/>
            </a:ln>
            <a:effectLst/>
          </c:spPr>
          <c:invertIfNegative val="0"/>
          <c:dLbls>
            <c:spPr>
              <a:noFill/>
              <a:ln>
                <a:noFill/>
              </a:ln>
              <a:effectLst/>
            </c:spPr>
            <c:txPr>
              <a:bodyPr rot="-5400000" spcFirstLastPara="1" vertOverflow="clip" horzOverflow="clip" vert="horz" wrap="square" lIns="38100" tIns="19050" rIns="38100" bIns="19050" anchor="ctr" anchorCtr="0">
                <a:spAutoFit/>
              </a:bodyPr>
              <a:lstStyle/>
              <a:p>
                <a:pPr algn="ctr">
                  <a:defRPr lang="en-US" sz="24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'partition time'!$C$21:$D$21</c:f>
              <c:strCache>
                <c:ptCount val="2"/>
                <c:pt idx="0">
                  <c:v>SWDF</c:v>
                </c:pt>
                <c:pt idx="1">
                  <c:v>DBpedia</c:v>
                </c:pt>
              </c:strCache>
            </c:strRef>
          </c:cat>
          <c:val>
            <c:numRef>
              <c:f>'partition time'!$C$25:$D$25</c:f>
              <c:numCache>
                <c:formatCode>0</c:formatCode>
                <c:ptCount val="2"/>
                <c:pt idx="0">
                  <c:v>45</c:v>
                </c:pt>
                <c:pt idx="1">
                  <c:v>21183</c:v>
                </c:pt>
              </c:numCache>
            </c:numRef>
          </c:val>
        </c:ser>
        <c:ser>
          <c:idx val="4"/>
          <c:order val="4"/>
          <c:tx>
            <c:strRef>
              <c:f>'partition time'!$B$26</c:f>
              <c:strCache>
                <c:ptCount val="1"/>
                <c:pt idx="0">
                  <c:v>TC</c:v>
                </c:pt>
              </c:strCache>
            </c:strRef>
          </c:tx>
          <c:spPr>
            <a:pattFill prst="dkUpDiag">
              <a:fgClr>
                <a:schemeClr val="accent5"/>
              </a:fgClr>
              <a:bgClr>
                <a:schemeClr val="bg1"/>
              </a:bgClr>
            </a:pattFill>
            <a:ln>
              <a:noFill/>
            </a:ln>
            <a:effectLst/>
          </c:spPr>
          <c:invertIfNegative val="0"/>
          <c:dLbls>
            <c:spPr>
              <a:noFill/>
              <a:ln>
                <a:noFill/>
              </a:ln>
              <a:effectLst/>
            </c:spPr>
            <c:txPr>
              <a:bodyPr rot="-5400000" spcFirstLastPara="1" vertOverflow="clip" horzOverflow="clip" vert="horz" wrap="square" lIns="38100" tIns="19050" rIns="38100" bIns="19050" anchor="ctr" anchorCtr="0">
                <a:spAutoFit/>
              </a:bodyPr>
              <a:lstStyle/>
              <a:p>
                <a:pPr algn="ctr">
                  <a:defRPr lang="en-US" sz="24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'partition time'!$C$21:$D$21</c:f>
              <c:strCache>
                <c:ptCount val="2"/>
                <c:pt idx="0">
                  <c:v>SWDF</c:v>
                </c:pt>
                <c:pt idx="1">
                  <c:v>DBpedia</c:v>
                </c:pt>
              </c:strCache>
            </c:strRef>
          </c:cat>
          <c:val>
            <c:numRef>
              <c:f>'partition time'!$C$26:$D$26</c:f>
              <c:numCache>
                <c:formatCode>0</c:formatCode>
                <c:ptCount val="2"/>
                <c:pt idx="0">
                  <c:v>50</c:v>
                </c:pt>
                <c:pt idx="1">
                  <c:v>70210</c:v>
                </c:pt>
              </c:numCache>
            </c:numRef>
          </c:val>
        </c:ser>
        <c:ser>
          <c:idx val="5"/>
          <c:order val="5"/>
          <c:tx>
            <c:strRef>
              <c:f>'partition time'!$B$27</c:f>
              <c:strCache>
                <c:ptCount val="1"/>
                <c:pt idx="0">
                  <c:v>ME</c:v>
                </c:pt>
              </c:strCache>
            </c:strRef>
          </c:tx>
          <c:spPr>
            <a:pattFill prst="trellis">
              <a:fgClr>
                <a:schemeClr val="accent6"/>
              </a:fgClr>
              <a:bgClr>
                <a:schemeClr val="bg1"/>
              </a:bgClr>
            </a:pattFill>
            <a:ln>
              <a:noFill/>
            </a:ln>
            <a:effectLst/>
          </c:spPr>
          <c:invertIfNegative val="0"/>
          <c:dLbls>
            <c:spPr>
              <a:noFill/>
              <a:ln>
                <a:noFill/>
              </a:ln>
              <a:effectLst/>
            </c:spPr>
            <c:txPr>
              <a:bodyPr rot="-5400000" spcFirstLastPara="1" vertOverflow="clip" horzOverflow="clip" vert="horz" wrap="square" lIns="38100" tIns="19050" rIns="38100" bIns="19050" anchor="ctr" anchorCtr="0">
                <a:spAutoFit/>
              </a:bodyPr>
              <a:lstStyle/>
              <a:p>
                <a:pPr algn="ctr">
                  <a:defRPr lang="en-US" sz="24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'partition time'!$C$21:$D$21</c:f>
              <c:strCache>
                <c:ptCount val="2"/>
                <c:pt idx="0">
                  <c:v>SWDF</c:v>
                </c:pt>
                <c:pt idx="1">
                  <c:v>DBpedia</c:v>
                </c:pt>
              </c:strCache>
            </c:strRef>
          </c:cat>
          <c:val>
            <c:numRef>
              <c:f>'partition time'!$C$27:$D$27</c:f>
              <c:numCache>
                <c:formatCode>0</c:formatCode>
                <c:ptCount val="2"/>
                <c:pt idx="0">
                  <c:v>55</c:v>
                </c:pt>
                <c:pt idx="1">
                  <c:v>70289</c:v>
                </c:pt>
              </c:numCache>
            </c:numRef>
          </c:val>
        </c:ser>
        <c:ser>
          <c:idx val="6"/>
          <c:order val="6"/>
          <c:tx>
            <c:strRef>
              <c:f>'partition time'!$B$28</c:f>
              <c:strCache>
                <c:ptCount val="1"/>
                <c:pt idx="0">
                  <c:v>RB</c:v>
                </c:pt>
              </c:strCache>
            </c:strRef>
          </c:tx>
          <c:spPr>
            <a:pattFill prst="pct50">
              <a:fgClr>
                <a:schemeClr val="accent5">
                  <a:lumMod val="75000"/>
                </a:schemeClr>
              </a:fgClr>
              <a:bgClr>
                <a:schemeClr val="bg1"/>
              </a:bgClr>
            </a:pattFill>
            <a:ln>
              <a:noFill/>
            </a:ln>
            <a:effectLst/>
          </c:spPr>
          <c:invertIfNegative val="0"/>
          <c:dLbls>
            <c:spPr>
              <a:noFill/>
              <a:ln>
                <a:noFill/>
              </a:ln>
              <a:effectLst/>
            </c:spPr>
            <c:txPr>
              <a:bodyPr rot="-5400000" spcFirstLastPara="1" vertOverflow="clip" horzOverflow="clip" vert="horz" wrap="square" lIns="38100" tIns="19050" rIns="38100" bIns="19050" anchor="ctr" anchorCtr="0">
                <a:spAutoFit/>
              </a:bodyPr>
              <a:lstStyle/>
              <a:p>
                <a:pPr algn="ctr">
                  <a:defRPr lang="en-US" sz="24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'partition time'!$C$21:$D$21</c:f>
              <c:strCache>
                <c:ptCount val="2"/>
                <c:pt idx="0">
                  <c:v>SWDF</c:v>
                </c:pt>
                <c:pt idx="1">
                  <c:v>DBpedia</c:v>
                </c:pt>
              </c:strCache>
            </c:strRef>
          </c:cat>
          <c:val>
            <c:numRef>
              <c:f>'partition time'!$C$28:$D$28</c:f>
              <c:numCache>
                <c:formatCode>0</c:formatCode>
                <c:ptCount val="2"/>
                <c:pt idx="0">
                  <c:v>50</c:v>
                </c:pt>
                <c:pt idx="1">
                  <c:v>70266</c:v>
                </c:pt>
              </c:numCache>
            </c:numRef>
          </c:val>
        </c:ser>
        <c:ser>
          <c:idx val="7"/>
          <c:order val="7"/>
          <c:tx>
            <c:strRef>
              <c:f>'partition time'!$B$29</c:f>
              <c:strCache>
                <c:ptCount val="1"/>
                <c:pt idx="0">
                  <c:v>PCM</c:v>
                </c:pt>
              </c:strCache>
            </c:strRef>
          </c:tx>
          <c:spPr>
            <a:pattFill prst="pct70">
              <a:fgClr>
                <a:schemeClr val="accent2">
                  <a:lumMod val="50000"/>
                </a:schemeClr>
              </a:fgClr>
              <a:bgClr>
                <a:schemeClr val="bg1"/>
              </a:bgClr>
            </a:pattFill>
            <a:ln>
              <a:noFill/>
            </a:ln>
            <a:effectLst/>
          </c:spPr>
          <c:invertIfNegative val="0"/>
          <c:dLbls>
            <c:spPr>
              <a:noFill/>
              <a:ln>
                <a:noFill/>
              </a:ln>
              <a:effectLst/>
            </c:spPr>
            <c:txPr>
              <a:bodyPr rot="-5400000" spcFirstLastPara="1" vertOverflow="clip" horzOverflow="clip" vert="horz" wrap="square" lIns="38100" tIns="19050" rIns="38100" bIns="19050" anchor="ctr" anchorCtr="0">
                <a:spAutoFit/>
              </a:bodyPr>
              <a:lstStyle/>
              <a:p>
                <a:pPr algn="ctr">
                  <a:defRPr lang="en-US" sz="24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'partition time'!$C$21:$D$21</c:f>
              <c:strCache>
                <c:ptCount val="2"/>
                <c:pt idx="0">
                  <c:v>SWDF</c:v>
                </c:pt>
                <c:pt idx="1">
                  <c:v>DBpedia</c:v>
                </c:pt>
              </c:strCache>
            </c:strRef>
          </c:cat>
          <c:val>
            <c:numRef>
              <c:f>'partition time'!$C$29:$D$29</c:f>
              <c:numCache>
                <c:formatCode>0</c:formatCode>
                <c:ptCount val="2"/>
                <c:pt idx="0">
                  <c:v>50</c:v>
                </c:pt>
                <c:pt idx="1">
                  <c:v>46961</c:v>
                </c:pt>
              </c:numCache>
            </c:numRef>
          </c:val>
        </c:ser>
        <c:ser>
          <c:idx val="8"/>
          <c:order val="8"/>
          <c:tx>
            <c:strRef>
              <c:f>'partition time'!$B$30</c:f>
              <c:strCache>
                <c:ptCount val="1"/>
                <c:pt idx="0">
                  <c:v>PCG</c:v>
                </c:pt>
              </c:strCache>
            </c:strRef>
          </c:tx>
          <c:spPr>
            <a:pattFill prst="lgCheck">
              <a:fgClr>
                <a:schemeClr val="accent4">
                  <a:lumMod val="50000"/>
                </a:schemeClr>
              </a:fgClr>
              <a:bgClr>
                <a:schemeClr val="bg1"/>
              </a:bgClr>
            </a:pattFill>
            <a:ln>
              <a:noFill/>
            </a:ln>
            <a:effectLst/>
          </c:spPr>
          <c:invertIfNegative val="0"/>
          <c:dLbls>
            <c:spPr>
              <a:noFill/>
              <a:ln>
                <a:noFill/>
              </a:ln>
              <a:effectLst/>
            </c:spPr>
            <c:txPr>
              <a:bodyPr rot="-5400000" spcFirstLastPara="1" vertOverflow="clip" horzOverflow="clip" vert="horz" wrap="square" lIns="38100" tIns="19050" rIns="38100" bIns="19050" anchor="ctr" anchorCtr="0">
                <a:spAutoFit/>
              </a:bodyPr>
              <a:lstStyle/>
              <a:p>
                <a:pPr algn="ctr">
                  <a:defRPr lang="en-US" sz="24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'partition time'!$C$21:$D$21</c:f>
              <c:strCache>
                <c:ptCount val="2"/>
                <c:pt idx="0">
                  <c:v>SWDF</c:v>
                </c:pt>
                <c:pt idx="1">
                  <c:v>DBpedia</c:v>
                </c:pt>
              </c:strCache>
            </c:strRef>
          </c:cat>
          <c:val>
            <c:numRef>
              <c:f>'partition time'!$C$30:$D$30</c:f>
              <c:numCache>
                <c:formatCode>General</c:formatCode>
                <c:ptCount val="2"/>
                <c:pt idx="0">
                  <c:v>55</c:v>
                </c:pt>
                <c:pt idx="1">
                  <c:v>71586</c:v>
                </c:pt>
              </c:numCache>
            </c:numRef>
          </c:val>
        </c:ser>
        <c:dLbls>
          <c:dLblPos val="outEnd"/>
          <c:showLegendKey val="0"/>
          <c:showVal val="1"/>
          <c:showCatName val="0"/>
          <c:showSerName val="0"/>
          <c:showPercent val="0"/>
          <c:showBubbleSize val="0"/>
        </c:dLbls>
        <c:gapWidth val="20"/>
        <c:overlap val="-20"/>
        <c:axId val="1166608592"/>
        <c:axId val="1166599344"/>
      </c:barChart>
      <c:catAx>
        <c:axId val="116660859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3200" b="1" i="0" u="none" strike="noStrike" kern="1200" cap="all" spc="120" normalizeH="0" baseline="0">
                <a:solidFill>
                  <a:sysClr val="windowText" lastClr="000000"/>
                </a:solidFill>
                <a:latin typeface="+mn-lt"/>
                <a:ea typeface="+mn-ea"/>
                <a:cs typeface="+mn-cs"/>
              </a:defRPr>
            </a:pPr>
            <a:endParaRPr lang="en-US"/>
          </a:p>
        </c:txPr>
        <c:crossAx val="1166599344"/>
        <c:crosses val="autoZero"/>
        <c:auto val="1"/>
        <c:lblAlgn val="ctr"/>
        <c:lblOffset val="100"/>
        <c:noMultiLvlLbl val="0"/>
      </c:catAx>
      <c:valAx>
        <c:axId val="1166599344"/>
        <c:scaling>
          <c:orientation val="minMax"/>
        </c:scaling>
        <c:delete val="1"/>
        <c:axPos val="l"/>
        <c:numFmt formatCode="0" sourceLinked="1"/>
        <c:majorTickMark val="none"/>
        <c:minorTickMark val="none"/>
        <c:tickLblPos val="nextTo"/>
        <c:crossAx val="1166608592"/>
        <c:crosses val="autoZero"/>
        <c:crossBetween val="between"/>
      </c:valAx>
      <c:spPr>
        <a:noFill/>
        <a:ln>
          <a:noFill/>
        </a:ln>
        <a:effectLst/>
      </c:spPr>
    </c:plotArea>
    <c:legend>
      <c:legendPos val="t"/>
      <c:layout>
        <c:manualLayout>
          <c:xMode val="edge"/>
          <c:yMode val="edge"/>
          <c:x val="2.8542852371251974E-2"/>
          <c:y val="0.90390681791057725"/>
          <c:w val="0.94742980414744482"/>
          <c:h val="9.4668997981967901E-2"/>
        </c:manualLayout>
      </c:layout>
      <c:overlay val="0"/>
      <c:spPr>
        <a:noFill/>
        <a:ln>
          <a:noFill/>
        </a:ln>
        <a:effectLst/>
      </c:spPr>
      <c:txPr>
        <a:bodyPr rot="0" spcFirstLastPara="1" vertOverflow="ellipsis" vert="horz" wrap="square" anchor="ctr" anchorCtr="1"/>
        <a:lstStyle/>
        <a:p>
          <a:pPr>
            <a:defRPr sz="4000" b="1"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2.1227035861797554E-4"/>
          <c:y val="1.4253426655001374E-3"/>
          <c:w val="0.99975656165982307"/>
          <c:h val="0.44564289880431607"/>
        </c:manualLayout>
      </c:layout>
      <c:barChart>
        <c:barDir val="col"/>
        <c:grouping val="clustered"/>
        <c:varyColors val="0"/>
        <c:ser>
          <c:idx val="0"/>
          <c:order val="0"/>
          <c:tx>
            <c:strRef>
              <c:f>'partition time'!$B$4</c:f>
              <c:strCache>
                <c:ptCount val="1"/>
                <c:pt idx="0">
                  <c:v>Predicate-Based</c:v>
                </c:pt>
              </c:strCache>
            </c:strRef>
          </c:tx>
          <c:spPr>
            <a:pattFill prst="pct75">
              <a:fgClr>
                <a:schemeClr val="accent6">
                  <a:lumMod val="50000"/>
                </a:schemeClr>
              </a:fgClr>
              <a:bgClr>
                <a:schemeClr val="bg1"/>
              </a:bgClr>
            </a:patt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16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multiLvlStrRef>
              <c:f>'partition time'!$C$2:$G$3</c:f>
              <c:multiLvlStrCache>
                <c:ptCount val="5"/>
                <c:lvl>
                  <c:pt idx="0">
                    <c:v>BGP-Only</c:v>
                  </c:pt>
                  <c:pt idx="1">
                    <c:v>Fully Featured</c:v>
                  </c:pt>
                  <c:pt idx="2">
                    <c:v>BGP-Only</c:v>
                  </c:pt>
                  <c:pt idx="3">
                    <c:v>Fully Featured</c:v>
                  </c:pt>
                  <c:pt idx="4">
                    <c:v>Overall Result</c:v>
                  </c:pt>
                </c:lvl>
                <c:lvl>
                  <c:pt idx="0">
                    <c:v>SWDF</c:v>
                  </c:pt>
                  <c:pt idx="2">
                    <c:v>DBpedia</c:v>
                  </c:pt>
                  <c:pt idx="4">
                    <c:v>1200 Queries</c:v>
                  </c:pt>
                </c:lvl>
              </c:multiLvlStrCache>
            </c:multiLvlStrRef>
          </c:cat>
          <c:val>
            <c:numRef>
              <c:f>'partition time'!$C$4:$G$4</c:f>
              <c:numCache>
                <c:formatCode>General</c:formatCode>
                <c:ptCount val="5"/>
                <c:pt idx="0">
                  <c:v>1541</c:v>
                </c:pt>
                <c:pt idx="1">
                  <c:v>2436</c:v>
                </c:pt>
                <c:pt idx="2">
                  <c:v>964</c:v>
                </c:pt>
                <c:pt idx="3">
                  <c:v>1815</c:v>
                </c:pt>
                <c:pt idx="4">
                  <c:v>6756</c:v>
                </c:pt>
              </c:numCache>
            </c:numRef>
          </c:val>
        </c:ser>
        <c:ser>
          <c:idx val="1"/>
          <c:order val="1"/>
          <c:tx>
            <c:strRef>
              <c:f>'partition time'!$B$5</c:f>
              <c:strCache>
                <c:ptCount val="1"/>
                <c:pt idx="0">
                  <c:v>Subject-Based</c:v>
                </c:pt>
              </c:strCache>
            </c:strRef>
          </c:tx>
          <c:spPr>
            <a:pattFill prst="pct80">
              <a:fgClr>
                <a:schemeClr val="accent2"/>
              </a:fgClr>
              <a:bgClr>
                <a:schemeClr val="bg1"/>
              </a:bgClr>
            </a:pattFill>
            <a:ln>
              <a:noFill/>
            </a:ln>
            <a:effectLst/>
          </c:spPr>
          <c:invertIfNegative val="0"/>
          <c:dLbls>
            <c:spPr>
              <a:noFill/>
              <a:ln>
                <a:noFill/>
              </a:ln>
              <a:effectLst/>
            </c:spPr>
            <c:txPr>
              <a:bodyPr rot="-5400000" spcFirstLastPara="1" vertOverflow="clip" horzOverflow="clip" vert="horz" wrap="square" lIns="38100" tIns="19050" rIns="38100" bIns="19050" anchor="ctr" anchorCtr="0">
                <a:spAutoFit/>
              </a:bodyPr>
              <a:lstStyle/>
              <a:p>
                <a:pPr algn="ctr">
                  <a:defRPr lang="en-US" sz="16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multiLvlStrRef>
              <c:f>'partition time'!$C$2:$G$3</c:f>
              <c:multiLvlStrCache>
                <c:ptCount val="5"/>
                <c:lvl>
                  <c:pt idx="0">
                    <c:v>BGP-Only</c:v>
                  </c:pt>
                  <c:pt idx="1">
                    <c:v>Fully Featured</c:v>
                  </c:pt>
                  <c:pt idx="2">
                    <c:v>BGP-Only</c:v>
                  </c:pt>
                  <c:pt idx="3">
                    <c:v>Fully Featured</c:v>
                  </c:pt>
                  <c:pt idx="4">
                    <c:v>Overall Result</c:v>
                  </c:pt>
                </c:lvl>
                <c:lvl>
                  <c:pt idx="0">
                    <c:v>SWDF</c:v>
                  </c:pt>
                  <c:pt idx="2">
                    <c:v>DBpedia</c:v>
                  </c:pt>
                  <c:pt idx="4">
                    <c:v>1200 Queries</c:v>
                  </c:pt>
                </c:lvl>
              </c:multiLvlStrCache>
            </c:multiLvlStrRef>
          </c:cat>
          <c:val>
            <c:numRef>
              <c:f>'partition time'!$C$5:$G$5</c:f>
              <c:numCache>
                <c:formatCode>General</c:formatCode>
                <c:ptCount val="5"/>
                <c:pt idx="0">
                  <c:v>354</c:v>
                </c:pt>
                <c:pt idx="1">
                  <c:v>2578</c:v>
                </c:pt>
                <c:pt idx="2">
                  <c:v>2234</c:v>
                </c:pt>
                <c:pt idx="3">
                  <c:v>2830</c:v>
                </c:pt>
                <c:pt idx="4">
                  <c:v>7996</c:v>
                </c:pt>
              </c:numCache>
            </c:numRef>
          </c:val>
        </c:ser>
        <c:ser>
          <c:idx val="2"/>
          <c:order val="2"/>
          <c:tx>
            <c:strRef>
              <c:f>'partition time'!$B$6</c:f>
              <c:strCache>
                <c:ptCount val="1"/>
                <c:pt idx="0">
                  <c:v>Hierarchical</c:v>
                </c:pt>
              </c:strCache>
            </c:strRef>
          </c:tx>
          <c:spPr>
            <a:pattFill prst="pct90">
              <a:fgClr>
                <a:schemeClr val="accent3"/>
              </a:fgClr>
              <a:bgClr>
                <a:schemeClr val="bg1"/>
              </a:bgClr>
            </a:pattFill>
            <a:ln>
              <a:noFill/>
            </a:ln>
            <a:effectLst/>
          </c:spPr>
          <c:invertIfNegative val="0"/>
          <c:dLbls>
            <c:spPr>
              <a:noFill/>
              <a:ln>
                <a:noFill/>
              </a:ln>
              <a:effectLst/>
            </c:spPr>
            <c:txPr>
              <a:bodyPr rot="-5400000" spcFirstLastPara="1" vertOverflow="clip" horzOverflow="clip" vert="horz" wrap="square" lIns="38100" tIns="19050" rIns="38100" bIns="19050" anchor="ctr" anchorCtr="0">
                <a:spAutoFit/>
              </a:bodyPr>
              <a:lstStyle/>
              <a:p>
                <a:pPr algn="ctr">
                  <a:defRPr lang="en-US" sz="16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multiLvlStrRef>
              <c:f>'partition time'!$C$2:$G$3</c:f>
              <c:multiLvlStrCache>
                <c:ptCount val="5"/>
                <c:lvl>
                  <c:pt idx="0">
                    <c:v>BGP-Only</c:v>
                  </c:pt>
                  <c:pt idx="1">
                    <c:v>Fully Featured</c:v>
                  </c:pt>
                  <c:pt idx="2">
                    <c:v>BGP-Only</c:v>
                  </c:pt>
                  <c:pt idx="3">
                    <c:v>Fully Featured</c:v>
                  </c:pt>
                  <c:pt idx="4">
                    <c:v>Overall Result</c:v>
                  </c:pt>
                </c:lvl>
                <c:lvl>
                  <c:pt idx="0">
                    <c:v>SWDF</c:v>
                  </c:pt>
                  <c:pt idx="2">
                    <c:v>DBpedia</c:v>
                  </c:pt>
                  <c:pt idx="4">
                    <c:v>1200 Queries</c:v>
                  </c:pt>
                </c:lvl>
              </c:multiLvlStrCache>
            </c:multiLvlStrRef>
          </c:cat>
          <c:val>
            <c:numRef>
              <c:f>'partition time'!$C$6:$G$6</c:f>
              <c:numCache>
                <c:formatCode>General</c:formatCode>
                <c:ptCount val="5"/>
                <c:pt idx="0">
                  <c:v>354</c:v>
                </c:pt>
                <c:pt idx="1">
                  <c:v>2577</c:v>
                </c:pt>
                <c:pt idx="2">
                  <c:v>2235</c:v>
                </c:pt>
                <c:pt idx="3">
                  <c:v>2832</c:v>
                </c:pt>
                <c:pt idx="4">
                  <c:v>7998</c:v>
                </c:pt>
              </c:numCache>
            </c:numRef>
          </c:val>
        </c:ser>
        <c:ser>
          <c:idx val="3"/>
          <c:order val="3"/>
          <c:tx>
            <c:strRef>
              <c:f>'partition time'!$B$7</c:f>
              <c:strCache>
                <c:ptCount val="1"/>
                <c:pt idx="0">
                  <c:v>Horizontal </c:v>
                </c:pt>
              </c:strCache>
            </c:strRef>
          </c:tx>
          <c:spPr>
            <a:pattFill prst="dkDnDiag">
              <a:fgClr>
                <a:schemeClr val="accent4"/>
              </a:fgClr>
              <a:bgClr>
                <a:schemeClr val="bg1"/>
              </a:bgClr>
            </a:pattFill>
            <a:ln>
              <a:noFill/>
            </a:ln>
            <a:effectLst/>
          </c:spPr>
          <c:invertIfNegative val="0"/>
          <c:dLbls>
            <c:spPr>
              <a:noFill/>
              <a:ln>
                <a:noFill/>
              </a:ln>
              <a:effectLst/>
            </c:spPr>
            <c:txPr>
              <a:bodyPr rot="-5400000" spcFirstLastPara="1" vertOverflow="clip" horzOverflow="clip" vert="horz" wrap="square" lIns="38100" tIns="19050" rIns="38100" bIns="19050" anchor="ctr" anchorCtr="0">
                <a:spAutoFit/>
              </a:bodyPr>
              <a:lstStyle/>
              <a:p>
                <a:pPr algn="ctr">
                  <a:defRPr lang="en-US" sz="16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multiLvlStrRef>
              <c:f>'partition time'!$C$2:$G$3</c:f>
              <c:multiLvlStrCache>
                <c:ptCount val="5"/>
                <c:lvl>
                  <c:pt idx="0">
                    <c:v>BGP-Only</c:v>
                  </c:pt>
                  <c:pt idx="1">
                    <c:v>Fully Featured</c:v>
                  </c:pt>
                  <c:pt idx="2">
                    <c:v>BGP-Only</c:v>
                  </c:pt>
                  <c:pt idx="3">
                    <c:v>Fully Featured</c:v>
                  </c:pt>
                  <c:pt idx="4">
                    <c:v>Overall Result</c:v>
                  </c:pt>
                </c:lvl>
                <c:lvl>
                  <c:pt idx="0">
                    <c:v>SWDF</c:v>
                  </c:pt>
                  <c:pt idx="2">
                    <c:v>DBpedia</c:v>
                  </c:pt>
                  <c:pt idx="4">
                    <c:v>1200 Queries</c:v>
                  </c:pt>
                </c:lvl>
              </c:multiLvlStrCache>
            </c:multiLvlStrRef>
          </c:cat>
          <c:val>
            <c:numRef>
              <c:f>'partition time'!$C$7:$G$7</c:f>
              <c:numCache>
                <c:formatCode>General</c:formatCode>
                <c:ptCount val="5"/>
                <c:pt idx="0">
                  <c:v>1752</c:v>
                </c:pt>
                <c:pt idx="1">
                  <c:v>2685</c:v>
                </c:pt>
                <c:pt idx="2">
                  <c:v>2352</c:v>
                </c:pt>
                <c:pt idx="3">
                  <c:v>2873</c:v>
                </c:pt>
                <c:pt idx="4">
                  <c:v>9662</c:v>
                </c:pt>
              </c:numCache>
            </c:numRef>
          </c:val>
        </c:ser>
        <c:ser>
          <c:idx val="4"/>
          <c:order val="4"/>
          <c:tx>
            <c:strRef>
              <c:f>'partition time'!$B$8</c:f>
              <c:strCache>
                <c:ptCount val="1"/>
                <c:pt idx="0">
                  <c:v>TCV-Min</c:v>
                </c:pt>
              </c:strCache>
            </c:strRef>
          </c:tx>
          <c:spPr>
            <a:pattFill prst="dkUpDiag">
              <a:fgClr>
                <a:schemeClr val="accent5"/>
              </a:fgClr>
              <a:bgClr>
                <a:schemeClr val="bg1"/>
              </a:bgClr>
            </a:pattFill>
            <a:ln>
              <a:noFill/>
            </a:ln>
            <a:effectLst/>
          </c:spPr>
          <c:invertIfNegative val="0"/>
          <c:dLbls>
            <c:spPr>
              <a:noFill/>
              <a:ln>
                <a:noFill/>
              </a:ln>
              <a:effectLst/>
            </c:spPr>
            <c:txPr>
              <a:bodyPr rot="-5400000" spcFirstLastPara="1" vertOverflow="clip" horzOverflow="clip" vert="horz" wrap="square" lIns="38100" tIns="19050" rIns="38100" bIns="19050" anchor="ctr" anchorCtr="0">
                <a:spAutoFit/>
              </a:bodyPr>
              <a:lstStyle/>
              <a:p>
                <a:pPr algn="ctr">
                  <a:defRPr lang="en-US" sz="16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multiLvlStrRef>
              <c:f>'partition time'!$C$2:$G$3</c:f>
              <c:multiLvlStrCache>
                <c:ptCount val="5"/>
                <c:lvl>
                  <c:pt idx="0">
                    <c:v>BGP-Only</c:v>
                  </c:pt>
                  <c:pt idx="1">
                    <c:v>Fully Featured</c:v>
                  </c:pt>
                  <c:pt idx="2">
                    <c:v>BGP-Only</c:v>
                  </c:pt>
                  <c:pt idx="3">
                    <c:v>Fully Featured</c:v>
                  </c:pt>
                  <c:pt idx="4">
                    <c:v>Overall Result</c:v>
                  </c:pt>
                </c:lvl>
                <c:lvl>
                  <c:pt idx="0">
                    <c:v>SWDF</c:v>
                  </c:pt>
                  <c:pt idx="2">
                    <c:v>DBpedia</c:v>
                  </c:pt>
                  <c:pt idx="4">
                    <c:v>1200 Queries</c:v>
                  </c:pt>
                </c:lvl>
              </c:multiLvlStrCache>
            </c:multiLvlStrRef>
          </c:cat>
          <c:val>
            <c:numRef>
              <c:f>'partition time'!$C$8:$G$8</c:f>
              <c:numCache>
                <c:formatCode>General</c:formatCode>
                <c:ptCount val="5"/>
                <c:pt idx="0">
                  <c:v>354</c:v>
                </c:pt>
                <c:pt idx="1">
                  <c:v>2576</c:v>
                </c:pt>
                <c:pt idx="2">
                  <c:v>2230</c:v>
                </c:pt>
                <c:pt idx="3">
                  <c:v>2825</c:v>
                </c:pt>
                <c:pt idx="4">
                  <c:v>7985</c:v>
                </c:pt>
              </c:numCache>
            </c:numRef>
          </c:val>
        </c:ser>
        <c:ser>
          <c:idx val="5"/>
          <c:order val="5"/>
          <c:tx>
            <c:strRef>
              <c:f>'partition time'!$B$9</c:f>
              <c:strCache>
                <c:ptCount val="1"/>
                <c:pt idx="0">
                  <c:v>Min-Edgecut</c:v>
                </c:pt>
              </c:strCache>
            </c:strRef>
          </c:tx>
          <c:spPr>
            <a:pattFill prst="trellis">
              <a:fgClr>
                <a:schemeClr val="accent6"/>
              </a:fgClr>
              <a:bgClr>
                <a:schemeClr val="bg1"/>
              </a:bgClr>
            </a:pattFill>
            <a:ln>
              <a:noFill/>
            </a:ln>
            <a:effectLst/>
          </c:spPr>
          <c:invertIfNegative val="0"/>
          <c:dLbls>
            <c:spPr>
              <a:noFill/>
              <a:ln>
                <a:noFill/>
              </a:ln>
              <a:effectLst/>
            </c:spPr>
            <c:txPr>
              <a:bodyPr rot="-5400000" spcFirstLastPara="1" vertOverflow="clip" horzOverflow="clip" vert="horz" wrap="square" lIns="38100" tIns="19050" rIns="38100" bIns="19050" anchor="ctr" anchorCtr="0">
                <a:spAutoFit/>
              </a:bodyPr>
              <a:lstStyle/>
              <a:p>
                <a:pPr algn="ctr">
                  <a:defRPr lang="en-US" sz="16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multiLvlStrRef>
              <c:f>'partition time'!$C$2:$G$3</c:f>
              <c:multiLvlStrCache>
                <c:ptCount val="5"/>
                <c:lvl>
                  <c:pt idx="0">
                    <c:v>BGP-Only</c:v>
                  </c:pt>
                  <c:pt idx="1">
                    <c:v>Fully Featured</c:v>
                  </c:pt>
                  <c:pt idx="2">
                    <c:v>BGP-Only</c:v>
                  </c:pt>
                  <c:pt idx="3">
                    <c:v>Fully Featured</c:v>
                  </c:pt>
                  <c:pt idx="4">
                    <c:v>Overall Result</c:v>
                  </c:pt>
                </c:lvl>
                <c:lvl>
                  <c:pt idx="0">
                    <c:v>SWDF</c:v>
                  </c:pt>
                  <c:pt idx="2">
                    <c:v>DBpedia</c:v>
                  </c:pt>
                  <c:pt idx="4">
                    <c:v>1200 Queries</c:v>
                  </c:pt>
                </c:lvl>
              </c:multiLvlStrCache>
            </c:multiLvlStrRef>
          </c:cat>
          <c:val>
            <c:numRef>
              <c:f>'partition time'!$C$9:$G$9</c:f>
              <c:numCache>
                <c:formatCode>General</c:formatCode>
                <c:ptCount val="5"/>
                <c:pt idx="0">
                  <c:v>354</c:v>
                </c:pt>
                <c:pt idx="1">
                  <c:v>2574</c:v>
                </c:pt>
                <c:pt idx="2">
                  <c:v>2230</c:v>
                </c:pt>
                <c:pt idx="3">
                  <c:v>2824</c:v>
                </c:pt>
                <c:pt idx="4">
                  <c:v>7982</c:v>
                </c:pt>
              </c:numCache>
            </c:numRef>
          </c:val>
        </c:ser>
        <c:ser>
          <c:idx val="6"/>
          <c:order val="6"/>
          <c:tx>
            <c:strRef>
              <c:f>'partition time'!$B$10</c:f>
              <c:strCache>
                <c:ptCount val="1"/>
                <c:pt idx="0">
                  <c:v>Recursive-Bisection</c:v>
                </c:pt>
              </c:strCache>
            </c:strRef>
          </c:tx>
          <c:spPr>
            <a:pattFill prst="pct50">
              <a:fgClr>
                <a:schemeClr val="accent5">
                  <a:lumMod val="75000"/>
                </a:schemeClr>
              </a:fgClr>
              <a:bgClr>
                <a:schemeClr val="bg1"/>
              </a:bgClr>
            </a:pattFill>
            <a:ln>
              <a:noFill/>
            </a:ln>
            <a:effectLst/>
          </c:spPr>
          <c:invertIfNegative val="0"/>
          <c:dLbls>
            <c:spPr>
              <a:noFill/>
              <a:ln>
                <a:noFill/>
              </a:ln>
              <a:effectLst/>
            </c:spPr>
            <c:txPr>
              <a:bodyPr rot="-5400000" spcFirstLastPara="1" vertOverflow="clip" horzOverflow="clip" vert="horz" wrap="square" lIns="38100" tIns="19050" rIns="38100" bIns="19050" anchor="ctr" anchorCtr="0">
                <a:spAutoFit/>
              </a:bodyPr>
              <a:lstStyle/>
              <a:p>
                <a:pPr algn="ctr">
                  <a:defRPr lang="en-US" sz="16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multiLvlStrRef>
              <c:f>'partition time'!$C$2:$G$3</c:f>
              <c:multiLvlStrCache>
                <c:ptCount val="5"/>
                <c:lvl>
                  <c:pt idx="0">
                    <c:v>BGP-Only</c:v>
                  </c:pt>
                  <c:pt idx="1">
                    <c:v>Fully Featured</c:v>
                  </c:pt>
                  <c:pt idx="2">
                    <c:v>BGP-Only</c:v>
                  </c:pt>
                  <c:pt idx="3">
                    <c:v>Fully Featured</c:v>
                  </c:pt>
                  <c:pt idx="4">
                    <c:v>Overall Result</c:v>
                  </c:pt>
                </c:lvl>
                <c:lvl>
                  <c:pt idx="0">
                    <c:v>SWDF</c:v>
                  </c:pt>
                  <c:pt idx="2">
                    <c:v>DBpedia</c:v>
                  </c:pt>
                  <c:pt idx="4">
                    <c:v>1200 Queries</c:v>
                  </c:pt>
                </c:lvl>
              </c:multiLvlStrCache>
            </c:multiLvlStrRef>
          </c:cat>
          <c:val>
            <c:numRef>
              <c:f>'partition time'!$C$10:$G$10</c:f>
              <c:numCache>
                <c:formatCode>General</c:formatCode>
                <c:ptCount val="5"/>
                <c:pt idx="0">
                  <c:v>354</c:v>
                </c:pt>
                <c:pt idx="1">
                  <c:v>2577</c:v>
                </c:pt>
                <c:pt idx="2">
                  <c:v>2230</c:v>
                </c:pt>
                <c:pt idx="3">
                  <c:v>2827</c:v>
                </c:pt>
                <c:pt idx="4">
                  <c:v>7988</c:v>
                </c:pt>
              </c:numCache>
            </c:numRef>
          </c:val>
        </c:ser>
        <c:ser>
          <c:idx val="7"/>
          <c:order val="7"/>
          <c:tx>
            <c:strRef>
              <c:f>'partition time'!$B$11</c:f>
              <c:strCache>
                <c:ptCount val="1"/>
                <c:pt idx="0">
                  <c:v>PCM</c:v>
                </c:pt>
              </c:strCache>
            </c:strRef>
          </c:tx>
          <c:spPr>
            <a:pattFill prst="pct70">
              <a:fgClr>
                <a:schemeClr val="accent2">
                  <a:lumMod val="50000"/>
                </a:schemeClr>
              </a:fgClr>
              <a:bgClr>
                <a:schemeClr val="bg1"/>
              </a:bgClr>
            </a:pattFill>
            <a:ln>
              <a:noFill/>
            </a:ln>
            <a:effectLst/>
          </c:spPr>
          <c:invertIfNegative val="0"/>
          <c:dLbls>
            <c:spPr>
              <a:noFill/>
              <a:ln>
                <a:noFill/>
              </a:ln>
              <a:effectLst/>
            </c:spPr>
            <c:txPr>
              <a:bodyPr rot="-5400000" spcFirstLastPara="1" vertOverflow="clip" horzOverflow="clip" vert="horz" wrap="square" lIns="38100" tIns="19050" rIns="38100" bIns="19050" anchor="ctr" anchorCtr="0">
                <a:spAutoFit/>
              </a:bodyPr>
              <a:lstStyle/>
              <a:p>
                <a:pPr algn="ctr">
                  <a:defRPr lang="en-US" sz="16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multiLvlStrRef>
              <c:f>'partition time'!$C$2:$G$3</c:f>
              <c:multiLvlStrCache>
                <c:ptCount val="5"/>
                <c:lvl>
                  <c:pt idx="0">
                    <c:v>BGP-Only</c:v>
                  </c:pt>
                  <c:pt idx="1">
                    <c:v>Fully Featured</c:v>
                  </c:pt>
                  <c:pt idx="2">
                    <c:v>BGP-Only</c:v>
                  </c:pt>
                  <c:pt idx="3">
                    <c:v>Fully Featured</c:v>
                  </c:pt>
                  <c:pt idx="4">
                    <c:v>Overall Result</c:v>
                  </c:pt>
                </c:lvl>
                <c:lvl>
                  <c:pt idx="0">
                    <c:v>SWDF</c:v>
                  </c:pt>
                  <c:pt idx="2">
                    <c:v>DBpedia</c:v>
                  </c:pt>
                  <c:pt idx="4">
                    <c:v>1200 Queries</c:v>
                  </c:pt>
                </c:lvl>
              </c:multiLvlStrCache>
            </c:multiLvlStrRef>
          </c:cat>
          <c:val>
            <c:numRef>
              <c:f>'partition time'!$C$11:$G$11</c:f>
              <c:numCache>
                <c:formatCode>General</c:formatCode>
                <c:ptCount val="5"/>
                <c:pt idx="0">
                  <c:v>1604</c:v>
                </c:pt>
                <c:pt idx="1">
                  <c:v>2453</c:v>
                </c:pt>
                <c:pt idx="2">
                  <c:v>925</c:v>
                </c:pt>
                <c:pt idx="3">
                  <c:v>1768</c:v>
                </c:pt>
                <c:pt idx="4">
                  <c:v>6750</c:v>
                </c:pt>
              </c:numCache>
            </c:numRef>
          </c:val>
        </c:ser>
        <c:ser>
          <c:idx val="8"/>
          <c:order val="8"/>
          <c:tx>
            <c:strRef>
              <c:f>'partition time'!$B$12</c:f>
              <c:strCache>
                <c:ptCount val="1"/>
                <c:pt idx="0">
                  <c:v>PCG</c:v>
                </c:pt>
              </c:strCache>
            </c:strRef>
          </c:tx>
          <c:spPr>
            <a:pattFill prst="lgCheck">
              <a:fgClr>
                <a:schemeClr val="accent4">
                  <a:lumMod val="50000"/>
                </a:schemeClr>
              </a:fgClr>
              <a:bgClr>
                <a:schemeClr val="bg1"/>
              </a:bgClr>
            </a:pattFill>
            <a:ln>
              <a:noFill/>
            </a:ln>
            <a:effectLst/>
          </c:spPr>
          <c:invertIfNegative val="0"/>
          <c:dLbls>
            <c:spPr>
              <a:noFill/>
              <a:ln>
                <a:noFill/>
              </a:ln>
              <a:effectLst/>
            </c:spPr>
            <c:txPr>
              <a:bodyPr rot="-5400000" spcFirstLastPara="1" vertOverflow="clip" horzOverflow="clip" vert="horz" wrap="square" lIns="38100" tIns="19050" rIns="38100" bIns="19050" anchor="ctr" anchorCtr="0">
                <a:spAutoFit/>
              </a:bodyPr>
              <a:lstStyle/>
              <a:p>
                <a:pPr algn="ctr">
                  <a:defRPr lang="en-US" sz="16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multiLvlStrRef>
              <c:f>'partition time'!$C$2:$G$3</c:f>
              <c:multiLvlStrCache>
                <c:ptCount val="5"/>
                <c:lvl>
                  <c:pt idx="0">
                    <c:v>BGP-Only</c:v>
                  </c:pt>
                  <c:pt idx="1">
                    <c:v>Fully Featured</c:v>
                  </c:pt>
                  <c:pt idx="2">
                    <c:v>BGP-Only</c:v>
                  </c:pt>
                  <c:pt idx="3">
                    <c:v>Fully Featured</c:v>
                  </c:pt>
                  <c:pt idx="4">
                    <c:v>Overall Result</c:v>
                  </c:pt>
                </c:lvl>
                <c:lvl>
                  <c:pt idx="0">
                    <c:v>SWDF</c:v>
                  </c:pt>
                  <c:pt idx="2">
                    <c:v>DBpedia</c:v>
                  </c:pt>
                  <c:pt idx="4">
                    <c:v>1200 Queries</c:v>
                  </c:pt>
                </c:lvl>
              </c:multiLvlStrCache>
            </c:multiLvlStrRef>
          </c:cat>
          <c:val>
            <c:numRef>
              <c:f>'partition time'!$C$12:$G$12</c:f>
              <c:numCache>
                <c:formatCode>General</c:formatCode>
                <c:ptCount val="5"/>
                <c:pt idx="0">
                  <c:v>1053</c:v>
                </c:pt>
                <c:pt idx="1">
                  <c:v>2374</c:v>
                </c:pt>
                <c:pt idx="2">
                  <c:v>941</c:v>
                </c:pt>
                <c:pt idx="3">
                  <c:v>1767</c:v>
                </c:pt>
                <c:pt idx="4">
                  <c:v>6135</c:v>
                </c:pt>
              </c:numCache>
            </c:numRef>
          </c:val>
        </c:ser>
        <c:ser>
          <c:idx val="9"/>
          <c:order val="9"/>
          <c:tx>
            <c:strRef>
              <c:f>'partition time'!$B$13</c:f>
              <c:strCache>
                <c:ptCount val="1"/>
                <c:pt idx="0">
                  <c:v>Partout</c:v>
                </c:pt>
              </c:strCache>
            </c:strRef>
          </c:tx>
          <c:spPr>
            <a:solidFill>
              <a:schemeClr val="accent4">
                <a:lumMod val="60000"/>
              </a:schemeClr>
            </a:solidFill>
            <a:ln>
              <a:noFill/>
            </a:ln>
            <a:effectLst/>
          </c:spPr>
          <c:invertIfNegative val="0"/>
          <c:dLbls>
            <c:spPr>
              <a:noFill/>
              <a:ln>
                <a:noFill/>
              </a:ln>
              <a:effectLst/>
            </c:spPr>
            <c:txPr>
              <a:bodyPr rot="-5400000" spcFirstLastPara="1" vertOverflow="clip" horzOverflow="clip" vert="horz" wrap="square" lIns="38100" tIns="19050" rIns="38100" bIns="19050" anchor="ctr" anchorCtr="0">
                <a:spAutoFit/>
              </a:bodyPr>
              <a:lstStyle/>
              <a:p>
                <a:pPr algn="ctr">
                  <a:defRPr lang="en-US" sz="16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multiLvlStrRef>
              <c:f>'partition time'!$C$2:$G$3</c:f>
              <c:multiLvlStrCache>
                <c:ptCount val="5"/>
                <c:lvl>
                  <c:pt idx="0">
                    <c:v>BGP-Only</c:v>
                  </c:pt>
                  <c:pt idx="1">
                    <c:v>Fully Featured</c:v>
                  </c:pt>
                  <c:pt idx="2">
                    <c:v>BGP-Only</c:v>
                  </c:pt>
                  <c:pt idx="3">
                    <c:v>Fully Featured</c:v>
                  </c:pt>
                  <c:pt idx="4">
                    <c:v>Overall Result</c:v>
                  </c:pt>
                </c:lvl>
                <c:lvl>
                  <c:pt idx="0">
                    <c:v>SWDF</c:v>
                  </c:pt>
                  <c:pt idx="2">
                    <c:v>DBpedia</c:v>
                  </c:pt>
                  <c:pt idx="4">
                    <c:v>1200 Queries</c:v>
                  </c:pt>
                </c:lvl>
              </c:multiLvlStrCache>
            </c:multiLvlStrRef>
          </c:cat>
          <c:val>
            <c:numRef>
              <c:f>'partition time'!$C$13:$G$13</c:f>
              <c:numCache>
                <c:formatCode>General</c:formatCode>
                <c:ptCount val="5"/>
                <c:pt idx="0">
                  <c:v>228</c:v>
                </c:pt>
                <c:pt idx="1">
                  <c:v>2334</c:v>
                </c:pt>
              </c:numCache>
            </c:numRef>
          </c:val>
        </c:ser>
        <c:dLbls>
          <c:dLblPos val="outEnd"/>
          <c:showLegendKey val="0"/>
          <c:showVal val="1"/>
          <c:showCatName val="0"/>
          <c:showSerName val="0"/>
          <c:showPercent val="0"/>
          <c:showBubbleSize val="0"/>
        </c:dLbls>
        <c:gapWidth val="20"/>
        <c:overlap val="-20"/>
        <c:axId val="1166601520"/>
        <c:axId val="1166611312"/>
      </c:barChart>
      <c:catAx>
        <c:axId val="1166601520"/>
        <c:scaling>
          <c:orientation val="minMax"/>
        </c:scaling>
        <c:delete val="0"/>
        <c:axPos val="b"/>
        <c:majorGridlines>
          <c:spPr>
            <a:ln w="9525" cap="flat" cmpd="sng" algn="ctr">
              <a:solidFill>
                <a:schemeClr val="tx1"/>
              </a:solidFill>
              <a:round/>
            </a:ln>
            <a:effectLst/>
          </c:spPr>
        </c:majorGridlines>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2000" b="1" i="0" u="none" strike="noStrike" kern="1200" cap="all" spc="120" normalizeH="0" baseline="0">
                <a:solidFill>
                  <a:sysClr val="windowText" lastClr="000000"/>
                </a:solidFill>
                <a:latin typeface="+mn-lt"/>
                <a:ea typeface="+mn-ea"/>
                <a:cs typeface="+mn-cs"/>
              </a:defRPr>
            </a:pPr>
            <a:endParaRPr lang="en-US"/>
          </a:p>
        </c:txPr>
        <c:crossAx val="1166611312"/>
        <c:crosses val="autoZero"/>
        <c:auto val="1"/>
        <c:lblAlgn val="ctr"/>
        <c:lblOffset val="100"/>
        <c:noMultiLvlLbl val="0"/>
      </c:catAx>
      <c:valAx>
        <c:axId val="1166611312"/>
        <c:scaling>
          <c:orientation val="minMax"/>
        </c:scaling>
        <c:delete val="1"/>
        <c:axPos val="l"/>
        <c:numFmt formatCode="General" sourceLinked="1"/>
        <c:majorTickMark val="none"/>
        <c:minorTickMark val="none"/>
        <c:tickLblPos val="nextTo"/>
        <c:crossAx val="1166601520"/>
        <c:crosses val="autoZero"/>
        <c:crossBetween val="between"/>
      </c:valAx>
      <c:spPr>
        <a:noFill/>
        <a:ln>
          <a:noFill/>
        </a:ln>
        <a:effectLst/>
      </c:spPr>
    </c:plotArea>
    <c:legend>
      <c:legendPos val="t"/>
      <c:layout>
        <c:manualLayout>
          <c:xMode val="edge"/>
          <c:yMode val="edge"/>
          <c:x val="0"/>
          <c:y val="0.67057349081364825"/>
          <c:w val="0.66632096547596453"/>
          <c:h val="0.32942656323523234"/>
        </c:manualLayout>
      </c:layout>
      <c:overlay val="0"/>
      <c:spPr>
        <a:noFill/>
        <a:ln>
          <a:noFill/>
        </a:ln>
        <a:effectLst/>
      </c:spPr>
      <c:txPr>
        <a:bodyPr rot="0" spcFirstLastPara="1" vertOverflow="ellipsis" vert="horz" wrap="square" anchor="ctr" anchorCtr="1"/>
        <a:lstStyle/>
        <a:p>
          <a:pPr>
            <a:defRPr sz="2600" b="1"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barChart>
        <c:barDir val="col"/>
        <c:grouping val="clustered"/>
        <c:varyColors val="0"/>
        <c:ser>
          <c:idx val="0"/>
          <c:order val="0"/>
          <c:spPr>
            <a:solidFill>
              <a:schemeClr val="accent2"/>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14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'partition time'!$B$22:$B$30</c:f>
              <c:strCache>
                <c:ptCount val="9"/>
                <c:pt idx="0">
                  <c:v>PB</c:v>
                </c:pt>
                <c:pt idx="1">
                  <c:v>SB</c:v>
                </c:pt>
                <c:pt idx="2">
                  <c:v>Hi</c:v>
                </c:pt>
                <c:pt idx="3">
                  <c:v>Ho</c:v>
                </c:pt>
                <c:pt idx="4">
                  <c:v>TC</c:v>
                </c:pt>
                <c:pt idx="5">
                  <c:v>ME</c:v>
                </c:pt>
                <c:pt idx="6">
                  <c:v>RB</c:v>
                </c:pt>
                <c:pt idx="7">
                  <c:v>PCM</c:v>
                </c:pt>
                <c:pt idx="8">
                  <c:v>PCG</c:v>
                </c:pt>
              </c:strCache>
            </c:strRef>
          </c:cat>
          <c:val>
            <c:numRef>
              <c:f>'partition time'!$C$22:$C$30</c:f>
              <c:numCache>
                <c:formatCode>0</c:formatCode>
                <c:ptCount val="9"/>
                <c:pt idx="0">
                  <c:v>40</c:v>
                </c:pt>
                <c:pt idx="1">
                  <c:v>40</c:v>
                </c:pt>
                <c:pt idx="2">
                  <c:v>40</c:v>
                </c:pt>
                <c:pt idx="3">
                  <c:v>45</c:v>
                </c:pt>
                <c:pt idx="4">
                  <c:v>50</c:v>
                </c:pt>
                <c:pt idx="5">
                  <c:v>55</c:v>
                </c:pt>
                <c:pt idx="6">
                  <c:v>50</c:v>
                </c:pt>
                <c:pt idx="7">
                  <c:v>50</c:v>
                </c:pt>
                <c:pt idx="8" formatCode="General">
                  <c:v>55</c:v>
                </c:pt>
              </c:numCache>
            </c:numRef>
          </c:val>
        </c:ser>
        <c:dLbls>
          <c:dLblPos val="outEnd"/>
          <c:showLegendKey val="0"/>
          <c:showVal val="1"/>
          <c:showCatName val="0"/>
          <c:showSerName val="0"/>
          <c:showPercent val="0"/>
          <c:showBubbleSize val="0"/>
        </c:dLbls>
        <c:gapWidth val="47"/>
        <c:overlap val="-6"/>
        <c:axId val="1166602608"/>
        <c:axId val="1166610224"/>
      </c:barChart>
      <c:catAx>
        <c:axId val="116660260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1600" b="1" i="0" u="none" strike="noStrike" kern="1200" cap="all" spc="120" normalizeH="0" baseline="0">
                <a:solidFill>
                  <a:schemeClr val="tx1"/>
                </a:solidFill>
                <a:latin typeface="+mn-lt"/>
                <a:ea typeface="+mn-ea"/>
                <a:cs typeface="+mn-cs"/>
              </a:defRPr>
            </a:pPr>
            <a:endParaRPr lang="en-US"/>
          </a:p>
        </c:txPr>
        <c:crossAx val="1166610224"/>
        <c:crosses val="autoZero"/>
        <c:auto val="1"/>
        <c:lblAlgn val="ctr"/>
        <c:lblOffset val="100"/>
        <c:noMultiLvlLbl val="0"/>
      </c:catAx>
      <c:valAx>
        <c:axId val="1166610224"/>
        <c:scaling>
          <c:orientation val="minMax"/>
        </c:scaling>
        <c:delete val="1"/>
        <c:axPos val="l"/>
        <c:numFmt formatCode="0" sourceLinked="1"/>
        <c:majorTickMark val="none"/>
        <c:minorTickMark val="none"/>
        <c:tickLblPos val="nextTo"/>
        <c:crossAx val="1166602608"/>
        <c:crosses val="autoZero"/>
        <c:crossBetween val="between"/>
      </c:valAx>
      <c:spPr>
        <a:noFill/>
        <a:ln>
          <a:noFill/>
        </a:ln>
        <a:effectLst/>
      </c:spPr>
    </c:plotArea>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barChart>
        <c:barDir val="col"/>
        <c:grouping val="clustered"/>
        <c:varyColors val="0"/>
        <c:ser>
          <c:idx val="0"/>
          <c:order val="0"/>
          <c:spPr>
            <a:solidFill>
              <a:srgbClr val="5B9BD5"/>
            </a:solidFill>
            <a:ln>
              <a:solidFill>
                <a:srgbClr val="5B9BD5"/>
              </a:solid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14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'partition time'!$B$22:$B$30</c:f>
              <c:strCache>
                <c:ptCount val="9"/>
                <c:pt idx="0">
                  <c:v>PB</c:v>
                </c:pt>
                <c:pt idx="1">
                  <c:v>SB</c:v>
                </c:pt>
                <c:pt idx="2">
                  <c:v>Hi</c:v>
                </c:pt>
                <c:pt idx="3">
                  <c:v>Ho</c:v>
                </c:pt>
                <c:pt idx="4">
                  <c:v>TC</c:v>
                </c:pt>
                <c:pt idx="5">
                  <c:v>ME</c:v>
                </c:pt>
                <c:pt idx="6">
                  <c:v>RB</c:v>
                </c:pt>
                <c:pt idx="7">
                  <c:v>PCM</c:v>
                </c:pt>
                <c:pt idx="8">
                  <c:v>PCG</c:v>
                </c:pt>
              </c:strCache>
            </c:strRef>
          </c:cat>
          <c:val>
            <c:numRef>
              <c:f>'partition time'!$D$22:$D$30</c:f>
              <c:numCache>
                <c:formatCode>0</c:formatCode>
                <c:ptCount val="9"/>
                <c:pt idx="0">
                  <c:v>35112</c:v>
                </c:pt>
                <c:pt idx="1">
                  <c:v>34994</c:v>
                </c:pt>
                <c:pt idx="2">
                  <c:v>36118</c:v>
                </c:pt>
                <c:pt idx="3">
                  <c:v>21183</c:v>
                </c:pt>
                <c:pt idx="4">
                  <c:v>70210</c:v>
                </c:pt>
                <c:pt idx="5">
                  <c:v>70289</c:v>
                </c:pt>
                <c:pt idx="6">
                  <c:v>70266</c:v>
                </c:pt>
                <c:pt idx="7">
                  <c:v>46961</c:v>
                </c:pt>
                <c:pt idx="8" formatCode="General">
                  <c:v>71586</c:v>
                </c:pt>
              </c:numCache>
            </c:numRef>
          </c:val>
        </c:ser>
        <c:dLbls>
          <c:dLblPos val="outEnd"/>
          <c:showLegendKey val="0"/>
          <c:showVal val="1"/>
          <c:showCatName val="0"/>
          <c:showSerName val="0"/>
          <c:showPercent val="0"/>
          <c:showBubbleSize val="0"/>
        </c:dLbls>
        <c:gapWidth val="47"/>
        <c:overlap val="-6"/>
        <c:axId val="1166605328"/>
        <c:axId val="1166605872"/>
      </c:barChart>
      <c:catAx>
        <c:axId val="116660532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1600" b="1" i="0" u="none" strike="noStrike" kern="1200" cap="all" spc="120" normalizeH="0" baseline="0">
                <a:solidFill>
                  <a:schemeClr val="tx1"/>
                </a:solidFill>
                <a:latin typeface="+mn-lt"/>
                <a:ea typeface="+mn-ea"/>
                <a:cs typeface="+mn-cs"/>
              </a:defRPr>
            </a:pPr>
            <a:endParaRPr lang="en-US"/>
          </a:p>
        </c:txPr>
        <c:crossAx val="1166605872"/>
        <c:crosses val="autoZero"/>
        <c:auto val="1"/>
        <c:lblAlgn val="ctr"/>
        <c:lblOffset val="100"/>
        <c:noMultiLvlLbl val="0"/>
      </c:catAx>
      <c:valAx>
        <c:axId val="1166605872"/>
        <c:scaling>
          <c:orientation val="minMax"/>
        </c:scaling>
        <c:delete val="1"/>
        <c:axPos val="l"/>
        <c:numFmt formatCode="0" sourceLinked="1"/>
        <c:majorTickMark val="none"/>
        <c:minorTickMark val="none"/>
        <c:tickLblPos val="nextTo"/>
        <c:crossAx val="1166605328"/>
        <c:crosses val="autoZero"/>
        <c:crossBetween val="between"/>
      </c:valAx>
      <c:spPr>
        <a:noFill/>
        <a:ln>
          <a:noFill/>
        </a:ln>
        <a:effectLst/>
      </c:spPr>
    </c:plotArea>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barChart>
        <c:barDir val="col"/>
        <c:grouping val="clustered"/>
        <c:varyColors val="0"/>
        <c:ser>
          <c:idx val="0"/>
          <c:order val="0"/>
          <c:spPr>
            <a:solidFill>
              <a:schemeClr val="accent1"/>
            </a:solidFill>
            <a:ln>
              <a:noFill/>
            </a:ln>
            <a:effectLst/>
          </c:spPr>
          <c:invertIfNegative val="0"/>
          <c:dPt>
            <c:idx val="0"/>
            <c:invertIfNegative val="0"/>
            <c:bubble3D val="0"/>
            <c:spPr>
              <a:solidFill>
                <a:srgbClr val="FF0000"/>
              </a:solidFill>
              <a:ln>
                <a:noFill/>
              </a:ln>
              <a:effectLst/>
            </c:spPr>
          </c:dPt>
          <c:dPt>
            <c:idx val="1"/>
            <c:invertIfNegative val="0"/>
            <c:bubble3D val="0"/>
            <c:spPr>
              <a:solidFill>
                <a:srgbClr val="FF0000"/>
              </a:solidFill>
              <a:ln>
                <a:noFill/>
              </a:ln>
              <a:effectLst/>
            </c:spPr>
          </c:dPt>
          <c:dPt>
            <c:idx val="2"/>
            <c:invertIfNegative val="0"/>
            <c:bubble3D val="0"/>
            <c:spPr>
              <a:solidFill>
                <a:srgbClr val="FF0000"/>
              </a:solidFill>
              <a:ln>
                <a:noFill/>
              </a:ln>
              <a:effectLst/>
            </c:spPr>
          </c:dPt>
          <c:dPt>
            <c:idx val="3"/>
            <c:invertIfNegative val="0"/>
            <c:bubble3D val="0"/>
            <c:spPr>
              <a:solidFill>
                <a:srgbClr val="FF0000"/>
              </a:solidFill>
              <a:ln>
                <a:noFill/>
              </a:ln>
              <a:effectLst/>
            </c:spPr>
          </c:dPt>
          <c:dPt>
            <c:idx val="4"/>
            <c:invertIfNegative val="0"/>
            <c:bubble3D val="0"/>
            <c:spPr>
              <a:solidFill>
                <a:srgbClr val="FF0000"/>
              </a:solidFill>
              <a:ln>
                <a:noFill/>
              </a:ln>
              <a:effectLst/>
            </c:spPr>
          </c:dPt>
          <c:dPt>
            <c:idx val="5"/>
            <c:invertIfNegative val="0"/>
            <c:bubble3D val="0"/>
            <c:spPr>
              <a:solidFill>
                <a:srgbClr val="FF0000"/>
              </a:solidFill>
              <a:ln>
                <a:noFill/>
              </a:ln>
              <a:effectLst/>
            </c:spPr>
          </c:dPt>
          <c:dPt>
            <c:idx val="6"/>
            <c:invertIfNegative val="0"/>
            <c:bubble3D val="0"/>
            <c:spPr>
              <a:solidFill>
                <a:srgbClr val="FF0000"/>
              </a:solidFill>
              <a:ln>
                <a:noFill/>
              </a:ln>
              <a:effectLst/>
            </c:spPr>
          </c:dPt>
          <c:dPt>
            <c:idx val="7"/>
            <c:invertIfNegative val="0"/>
            <c:bubble3D val="0"/>
            <c:spPr>
              <a:solidFill>
                <a:srgbClr val="FF0000"/>
              </a:solidFill>
              <a:ln>
                <a:noFill/>
              </a:ln>
              <a:effectLst/>
            </c:spPr>
          </c:dPt>
          <c:dPt>
            <c:idx val="8"/>
            <c:invertIfNegative val="0"/>
            <c:bubble3D val="0"/>
            <c:spPr>
              <a:solidFill>
                <a:srgbClr val="FF0000"/>
              </a:solidFill>
              <a:ln>
                <a:noFill/>
              </a:ln>
              <a:effectLst/>
            </c:spPr>
          </c:dPt>
          <c:dPt>
            <c:idx val="9"/>
            <c:invertIfNegative val="0"/>
            <c:bubble3D val="0"/>
            <c:spPr>
              <a:solidFill>
                <a:srgbClr val="FF0000"/>
              </a:solidFill>
              <a:ln>
                <a:noFill/>
              </a:ln>
              <a:effectLst/>
            </c:spPr>
          </c:dPt>
          <c:dPt>
            <c:idx val="10"/>
            <c:invertIfNegative val="0"/>
            <c:bubble3D val="0"/>
            <c:spPr>
              <a:solidFill>
                <a:srgbClr val="00B050"/>
              </a:solidFill>
              <a:ln>
                <a:noFill/>
              </a:ln>
              <a:effectLst/>
            </c:spPr>
          </c:dPt>
          <c:dPt>
            <c:idx val="11"/>
            <c:invertIfNegative val="0"/>
            <c:bubble3D val="0"/>
            <c:spPr>
              <a:solidFill>
                <a:srgbClr val="00B050"/>
              </a:solidFill>
              <a:ln>
                <a:noFill/>
              </a:ln>
              <a:effectLst/>
            </c:spPr>
          </c:dPt>
          <c:dPt>
            <c:idx val="12"/>
            <c:invertIfNegative val="0"/>
            <c:bubble3D val="0"/>
            <c:spPr>
              <a:solidFill>
                <a:srgbClr val="00B050"/>
              </a:solidFill>
              <a:ln>
                <a:noFill/>
              </a:ln>
              <a:effectLst/>
            </c:spPr>
          </c:dPt>
          <c:dPt>
            <c:idx val="13"/>
            <c:invertIfNegative val="0"/>
            <c:bubble3D val="0"/>
            <c:spPr>
              <a:solidFill>
                <a:srgbClr val="00B050"/>
              </a:solidFill>
              <a:ln>
                <a:noFill/>
              </a:ln>
              <a:effectLst/>
            </c:spPr>
          </c:dPt>
          <c:dPt>
            <c:idx val="14"/>
            <c:invertIfNegative val="0"/>
            <c:bubble3D val="0"/>
            <c:spPr>
              <a:solidFill>
                <a:srgbClr val="00B050"/>
              </a:solidFill>
              <a:ln>
                <a:noFill/>
              </a:ln>
              <a:effectLst/>
            </c:spPr>
          </c:dPt>
          <c:dPt>
            <c:idx val="15"/>
            <c:invertIfNegative val="0"/>
            <c:bubble3D val="0"/>
            <c:spPr>
              <a:solidFill>
                <a:srgbClr val="00B050"/>
              </a:solidFill>
              <a:ln>
                <a:noFill/>
              </a:ln>
              <a:effectLst/>
            </c:spPr>
          </c:dPt>
          <c:dPt>
            <c:idx val="16"/>
            <c:invertIfNegative val="0"/>
            <c:bubble3D val="0"/>
            <c:spPr>
              <a:solidFill>
                <a:srgbClr val="00B050"/>
              </a:solidFill>
              <a:ln>
                <a:noFill/>
              </a:ln>
              <a:effectLst/>
            </c:spPr>
          </c:dPt>
          <c:dPt>
            <c:idx val="17"/>
            <c:invertIfNegative val="0"/>
            <c:bubble3D val="0"/>
            <c:spPr>
              <a:solidFill>
                <a:srgbClr val="00B050"/>
              </a:solidFill>
              <a:ln>
                <a:noFill/>
              </a:ln>
              <a:effectLst/>
            </c:spPr>
          </c:dPt>
          <c:dPt>
            <c:idx val="18"/>
            <c:invertIfNegative val="0"/>
            <c:bubble3D val="0"/>
            <c:spPr>
              <a:solidFill>
                <a:srgbClr val="00B050"/>
              </a:solidFill>
              <a:ln>
                <a:noFill/>
              </a:ln>
              <a:effectLst/>
            </c:spPr>
          </c:dPt>
          <c:cat>
            <c:multiLvlStrRef>
              <c:f>'Gini-coefficient'!$B$3:$T$5</c:f>
              <c:multiLvlStrCache>
                <c:ptCount val="19"/>
                <c:lvl>
                  <c:pt idx="0">
                    <c:v>PB</c:v>
                  </c:pt>
                  <c:pt idx="1">
                    <c:v>SB</c:v>
                  </c:pt>
                  <c:pt idx="2">
                    <c:v>Hi</c:v>
                  </c:pt>
                  <c:pt idx="3">
                    <c:v>Ho</c:v>
                  </c:pt>
                  <c:pt idx="4">
                    <c:v>TC</c:v>
                  </c:pt>
                  <c:pt idx="5">
                    <c:v>ME</c:v>
                  </c:pt>
                  <c:pt idx="6">
                    <c:v>RB</c:v>
                  </c:pt>
                  <c:pt idx="7">
                    <c:v>PCM</c:v>
                  </c:pt>
                  <c:pt idx="8">
                    <c:v>PCG</c:v>
                  </c:pt>
                  <c:pt idx="9">
                    <c:v>PT</c:v>
                  </c:pt>
                  <c:pt idx="10">
                    <c:v>PB</c:v>
                  </c:pt>
                  <c:pt idx="11">
                    <c:v>SB</c:v>
                  </c:pt>
                  <c:pt idx="12">
                    <c:v>Hi</c:v>
                  </c:pt>
                  <c:pt idx="13">
                    <c:v>Ho</c:v>
                  </c:pt>
                  <c:pt idx="14">
                    <c:v>TC</c:v>
                  </c:pt>
                  <c:pt idx="15">
                    <c:v>ME</c:v>
                  </c:pt>
                  <c:pt idx="16">
                    <c:v>RB</c:v>
                  </c:pt>
                  <c:pt idx="17">
                    <c:v>PCM</c:v>
                  </c:pt>
                  <c:pt idx="18">
                    <c:v>PCG</c:v>
                  </c:pt>
                </c:lvl>
                <c:lvl>
                  <c:pt idx="0">
                    <c:v>SWDF</c:v>
                  </c:pt>
                  <c:pt idx="10">
                    <c:v>DBpedia</c:v>
                  </c:pt>
                </c:lvl>
              </c:multiLvlStrCache>
            </c:multiLvlStrRef>
          </c:cat>
          <c:val>
            <c:numRef>
              <c:f>'Gini-coefficient'!$B$6:$T$6</c:f>
              <c:numCache>
                <c:formatCode>General</c:formatCode>
                <c:ptCount val="19"/>
                <c:pt idx="0">
                  <c:v>0.17708491717358665</c:v>
                </c:pt>
                <c:pt idx="1">
                  <c:v>1.7862308650041347E-2</c:v>
                </c:pt>
                <c:pt idx="2">
                  <c:v>1.5239414762697301E-2</c:v>
                </c:pt>
                <c:pt idx="3">
                  <c:v>4.5212176368325502E-5</c:v>
                </c:pt>
                <c:pt idx="4">
                  <c:v>5.172645879776594E-2</c:v>
                </c:pt>
                <c:pt idx="5">
                  <c:v>5.0859699983255791E-2</c:v>
                </c:pt>
                <c:pt idx="6">
                  <c:v>4.9462525631582821E-2</c:v>
                </c:pt>
                <c:pt idx="7">
                  <c:v>0.11224247130481205</c:v>
                </c:pt>
                <c:pt idx="8">
                  <c:v>0.10132231634102547</c:v>
                </c:pt>
                <c:pt idx="9">
                  <c:v>0.13567366150225532</c:v>
                </c:pt>
                <c:pt idx="10">
                  <c:v>0.45723839353499951</c:v>
                </c:pt>
                <c:pt idx="11">
                  <c:v>8.363517305225443E-4</c:v>
                </c:pt>
                <c:pt idx="12">
                  <c:v>6.84690887904571E-4</c:v>
                </c:pt>
                <c:pt idx="13" formatCode="0.00E+00">
                  <c:v>2.5467339082041462E-7</c:v>
                </c:pt>
                <c:pt idx="14">
                  <c:v>0.10515354447123881</c:v>
                </c:pt>
                <c:pt idx="15">
                  <c:v>9.4753832706731655E-2</c:v>
                </c:pt>
                <c:pt idx="16">
                  <c:v>0.10017666920907375</c:v>
                </c:pt>
                <c:pt idx="17">
                  <c:v>0.48818114911053784</c:v>
                </c:pt>
                <c:pt idx="18">
                  <c:v>0.49302896742833041</c:v>
                </c:pt>
              </c:numCache>
            </c:numRef>
          </c:val>
        </c:ser>
        <c:dLbls>
          <c:showLegendKey val="0"/>
          <c:showVal val="0"/>
          <c:showCatName val="0"/>
          <c:showSerName val="0"/>
          <c:showPercent val="0"/>
          <c:showBubbleSize val="0"/>
        </c:dLbls>
        <c:gapWidth val="47"/>
        <c:overlap val="-6"/>
        <c:axId val="1249254688"/>
        <c:axId val="1249263392"/>
      </c:barChart>
      <c:catAx>
        <c:axId val="1249254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crossAx val="1249263392"/>
        <c:crossesAt val="1.0000000000000005E-7"/>
        <c:auto val="1"/>
        <c:lblAlgn val="ctr"/>
        <c:lblOffset val="100"/>
        <c:noMultiLvlLbl val="0"/>
      </c:catAx>
      <c:valAx>
        <c:axId val="1249263392"/>
        <c:scaling>
          <c:logBase val="10"/>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ysClr val="windowText" lastClr="000000"/>
                    </a:solidFill>
                    <a:latin typeface="+mn-lt"/>
                    <a:ea typeface="+mn-ea"/>
                    <a:cs typeface="+mn-cs"/>
                  </a:defRPr>
                </a:pPr>
                <a:r>
                  <a:rPr lang="en-US" sz="1400" b="1" i="0" u="none" strike="noStrike" baseline="0">
                    <a:solidFill>
                      <a:sysClr val="windowText" lastClr="000000"/>
                    </a:solidFill>
                    <a:effectLst/>
                  </a:rPr>
                  <a:t>Imbalance in </a:t>
                </a:r>
                <a:r>
                  <a:rPr lang="en-US" sz="1400" b="1" i="0" baseline="0">
                    <a:solidFill>
                      <a:sysClr val="windowText" lastClr="000000"/>
                    </a:solidFill>
                    <a:effectLst/>
                  </a:rPr>
                  <a:t>partition sizes </a:t>
                </a:r>
              </a:p>
              <a:p>
                <a:pPr>
                  <a:defRPr sz="1400" b="1">
                    <a:solidFill>
                      <a:sysClr val="windowText" lastClr="000000"/>
                    </a:solidFill>
                  </a:defRPr>
                </a:pPr>
                <a:r>
                  <a:rPr lang="en-US" sz="1400" b="1" i="0" baseline="0">
                    <a:solidFill>
                      <a:sysClr val="windowText" lastClr="000000"/>
                    </a:solidFill>
                    <a:effectLst/>
                  </a:rPr>
                  <a:t>(log scale)</a:t>
                </a:r>
                <a:endParaRPr lang="en-US" sz="1400" b="1">
                  <a:solidFill>
                    <a:sysClr val="windowText" lastClr="000000"/>
                  </a:solidFill>
                  <a:effectLst/>
                </a:endParaRPr>
              </a:p>
            </c:rich>
          </c:tx>
          <c:layout>
            <c:manualLayout>
              <c:xMode val="edge"/>
              <c:yMode val="edge"/>
              <c:x val="1.4814812027429791E-2"/>
              <c:y val="9.7799079462893221E-2"/>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ysClr val="windowText" lastClr="000000"/>
                  </a:solidFill>
                  <a:latin typeface="+mn-lt"/>
                  <a:ea typeface="+mn-ea"/>
                  <a:cs typeface="+mn-cs"/>
                </a:defRPr>
              </a:pPr>
              <a:endParaRPr lang="en-US"/>
            </a:p>
          </c:txPr>
        </c:title>
        <c:numFmt formatCode="0.0E+00" sourceLinked="0"/>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crossAx val="124925468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5039763569983969E-3"/>
          <c:y val="0.13105494390738751"/>
          <c:w val="0.96433987089603801"/>
          <c:h val="0.60860588188882236"/>
        </c:manualLayout>
      </c:layout>
      <c:barChart>
        <c:barDir val="col"/>
        <c:grouping val="clustered"/>
        <c:varyColors val="0"/>
        <c:ser>
          <c:idx val="0"/>
          <c:order val="0"/>
          <c:tx>
            <c:strRef>
              <c:f>'Standard-deviation'!$C$23:$C$24</c:f>
              <c:strCache>
                <c:ptCount val="2"/>
                <c:pt idx="0">
                  <c:v>SWDF</c:v>
                </c:pt>
                <c:pt idx="1">
                  <c:v>PB</c:v>
                </c:pt>
              </c:strCache>
            </c:strRef>
          </c:tx>
          <c:spPr>
            <a:pattFill prst="pct75">
              <a:fgClr>
                <a:schemeClr val="accent6">
                  <a:lumMod val="50000"/>
                </a:schemeClr>
              </a:fgClr>
              <a:bgClr>
                <a:schemeClr val="bg1"/>
              </a:bgClr>
            </a:pattFill>
            <a:ln>
              <a:noFill/>
            </a:ln>
            <a:effectLst/>
          </c:spPr>
          <c:invertIfNegative val="0"/>
          <c:val>
            <c:numRef>
              <c:f>'Standard-deviation'!$C$25</c:f>
              <c:numCache>
                <c:formatCode>General</c:formatCode>
                <c:ptCount val="1"/>
                <c:pt idx="0">
                  <c:v>9686.3044902469301</c:v>
                </c:pt>
              </c:numCache>
            </c:numRef>
          </c:val>
        </c:ser>
        <c:ser>
          <c:idx val="1"/>
          <c:order val="1"/>
          <c:tx>
            <c:strRef>
              <c:f>'Standard-deviation'!$D$23:$D$24</c:f>
              <c:strCache>
                <c:ptCount val="2"/>
                <c:pt idx="0">
                  <c:v>SWDF</c:v>
                </c:pt>
                <c:pt idx="1">
                  <c:v>SB</c:v>
                </c:pt>
              </c:strCache>
            </c:strRef>
          </c:tx>
          <c:spPr>
            <a:pattFill prst="pct80">
              <a:fgClr>
                <a:schemeClr val="accent2"/>
              </a:fgClr>
              <a:bgClr>
                <a:schemeClr val="bg1"/>
              </a:bgClr>
            </a:pattFill>
            <a:ln>
              <a:noFill/>
            </a:ln>
            <a:effectLst/>
          </c:spPr>
          <c:invertIfNegative val="0"/>
          <c:val>
            <c:numRef>
              <c:f>'Standard-deviation'!$D$25</c:f>
              <c:numCache>
                <c:formatCode>General</c:formatCode>
                <c:ptCount val="1"/>
                <c:pt idx="0">
                  <c:v>941.43106787249985</c:v>
                </c:pt>
              </c:numCache>
            </c:numRef>
          </c:val>
        </c:ser>
        <c:ser>
          <c:idx val="2"/>
          <c:order val="2"/>
          <c:tx>
            <c:strRef>
              <c:f>'Standard-deviation'!$E$23:$E$24</c:f>
              <c:strCache>
                <c:ptCount val="2"/>
                <c:pt idx="0">
                  <c:v>SWDF</c:v>
                </c:pt>
                <c:pt idx="1">
                  <c:v>Hi</c:v>
                </c:pt>
              </c:strCache>
            </c:strRef>
          </c:tx>
          <c:spPr>
            <a:pattFill prst="pct90">
              <a:fgClr>
                <a:schemeClr val="accent3"/>
              </a:fgClr>
              <a:bgClr>
                <a:schemeClr val="bg1"/>
              </a:bgClr>
            </a:pattFill>
            <a:ln>
              <a:noFill/>
            </a:ln>
            <a:effectLst/>
          </c:spPr>
          <c:invertIfNegative val="0"/>
          <c:val>
            <c:numRef>
              <c:f>'Standard-deviation'!$E$25</c:f>
              <c:numCache>
                <c:formatCode>General</c:formatCode>
                <c:ptCount val="1"/>
                <c:pt idx="0">
                  <c:v>871.99822247525242</c:v>
                </c:pt>
              </c:numCache>
            </c:numRef>
          </c:val>
        </c:ser>
        <c:ser>
          <c:idx val="3"/>
          <c:order val="3"/>
          <c:tx>
            <c:strRef>
              <c:f>'Standard-deviation'!$F$23:$F$24</c:f>
              <c:strCache>
                <c:ptCount val="2"/>
                <c:pt idx="0">
                  <c:v>SWDF</c:v>
                </c:pt>
                <c:pt idx="1">
                  <c:v>Ho</c:v>
                </c:pt>
              </c:strCache>
            </c:strRef>
          </c:tx>
          <c:spPr>
            <a:pattFill prst="dkDnDiag">
              <a:fgClr>
                <a:schemeClr val="accent4"/>
              </a:fgClr>
              <a:bgClr>
                <a:schemeClr val="bg1"/>
              </a:bgClr>
            </a:pattFill>
            <a:ln>
              <a:noFill/>
            </a:ln>
            <a:effectLst/>
          </c:spPr>
          <c:invertIfNegative val="0"/>
          <c:val>
            <c:numRef>
              <c:f>'Standard-deviation'!$F$25</c:f>
              <c:numCache>
                <c:formatCode>General</c:formatCode>
                <c:ptCount val="1"/>
                <c:pt idx="0">
                  <c:v>4.0879225911349044</c:v>
                </c:pt>
              </c:numCache>
            </c:numRef>
          </c:val>
        </c:ser>
        <c:ser>
          <c:idx val="4"/>
          <c:order val="4"/>
          <c:tx>
            <c:strRef>
              <c:f>'Standard-deviation'!$G$23:$G$24</c:f>
              <c:strCache>
                <c:ptCount val="2"/>
                <c:pt idx="0">
                  <c:v>SWDF</c:v>
                </c:pt>
                <c:pt idx="1">
                  <c:v>TC</c:v>
                </c:pt>
              </c:strCache>
            </c:strRef>
          </c:tx>
          <c:spPr>
            <a:pattFill prst="dkUpDiag">
              <a:fgClr>
                <a:schemeClr val="accent5"/>
              </a:fgClr>
              <a:bgClr>
                <a:schemeClr val="bg1"/>
              </a:bgClr>
            </a:pattFill>
            <a:ln>
              <a:noFill/>
            </a:ln>
            <a:effectLst/>
          </c:spPr>
          <c:invertIfNegative val="0"/>
          <c:val>
            <c:numRef>
              <c:f>'Standard-deviation'!$G$25</c:f>
              <c:numCache>
                <c:formatCode>General</c:formatCode>
                <c:ptCount val="1"/>
                <c:pt idx="0">
                  <c:v>2903.8648212339358</c:v>
                </c:pt>
              </c:numCache>
            </c:numRef>
          </c:val>
        </c:ser>
        <c:ser>
          <c:idx val="5"/>
          <c:order val="5"/>
          <c:tx>
            <c:strRef>
              <c:f>'Standard-deviation'!$H$23:$H$24</c:f>
              <c:strCache>
                <c:ptCount val="2"/>
                <c:pt idx="0">
                  <c:v>SWDF</c:v>
                </c:pt>
                <c:pt idx="1">
                  <c:v>ME</c:v>
                </c:pt>
              </c:strCache>
            </c:strRef>
          </c:tx>
          <c:spPr>
            <a:pattFill prst="trellis">
              <a:fgClr>
                <a:schemeClr val="accent6"/>
              </a:fgClr>
              <a:bgClr>
                <a:schemeClr val="bg1"/>
              </a:bgClr>
            </a:pattFill>
            <a:ln>
              <a:noFill/>
            </a:ln>
            <a:effectLst/>
          </c:spPr>
          <c:invertIfNegative val="0"/>
          <c:val>
            <c:numRef>
              <c:f>'Standard-deviation'!$H$25</c:f>
              <c:numCache>
                <c:formatCode>General</c:formatCode>
                <c:ptCount val="1"/>
                <c:pt idx="0">
                  <c:v>2994.0102445456737</c:v>
                </c:pt>
              </c:numCache>
            </c:numRef>
          </c:val>
        </c:ser>
        <c:ser>
          <c:idx val="6"/>
          <c:order val="6"/>
          <c:tx>
            <c:strRef>
              <c:f>'Standard-deviation'!$I$23:$I$24</c:f>
              <c:strCache>
                <c:ptCount val="2"/>
                <c:pt idx="0">
                  <c:v>SWDF</c:v>
                </c:pt>
                <c:pt idx="1">
                  <c:v>RB</c:v>
                </c:pt>
              </c:strCache>
            </c:strRef>
          </c:tx>
          <c:spPr>
            <a:pattFill prst="pct50">
              <a:fgClr>
                <a:schemeClr val="accent5">
                  <a:lumMod val="75000"/>
                </a:schemeClr>
              </a:fgClr>
              <a:bgClr>
                <a:schemeClr val="bg1"/>
              </a:bgClr>
            </a:pattFill>
            <a:ln>
              <a:noFill/>
            </a:ln>
            <a:effectLst/>
          </c:spPr>
          <c:invertIfNegative val="0"/>
          <c:val>
            <c:numRef>
              <c:f>'Standard-deviation'!$I$25</c:f>
              <c:numCache>
                <c:formatCode>General</c:formatCode>
                <c:ptCount val="1"/>
                <c:pt idx="0">
                  <c:v>3160.9733750504406</c:v>
                </c:pt>
              </c:numCache>
            </c:numRef>
          </c:val>
        </c:ser>
        <c:ser>
          <c:idx val="7"/>
          <c:order val="7"/>
          <c:tx>
            <c:strRef>
              <c:f>'Standard-deviation'!$J$23:$J$24</c:f>
              <c:strCache>
                <c:ptCount val="2"/>
                <c:pt idx="0">
                  <c:v>SWDF</c:v>
                </c:pt>
                <c:pt idx="1">
                  <c:v>PCM</c:v>
                </c:pt>
              </c:strCache>
            </c:strRef>
          </c:tx>
          <c:spPr>
            <a:pattFill prst="pct70">
              <a:fgClr>
                <a:schemeClr val="accent2">
                  <a:lumMod val="50000"/>
                </a:schemeClr>
              </a:fgClr>
              <a:bgClr>
                <a:schemeClr val="bg1"/>
              </a:bgClr>
            </a:pattFill>
            <a:ln>
              <a:noFill/>
            </a:ln>
            <a:effectLst/>
          </c:spPr>
          <c:invertIfNegative val="0"/>
          <c:val>
            <c:numRef>
              <c:f>'Standard-deviation'!$J$25</c:f>
              <c:numCache>
                <c:formatCode>#.##</c:formatCode>
                <c:ptCount val="1"/>
                <c:pt idx="0">
                  <c:v>17210.094189167008</c:v>
                </c:pt>
              </c:numCache>
            </c:numRef>
          </c:val>
        </c:ser>
        <c:ser>
          <c:idx val="8"/>
          <c:order val="8"/>
          <c:tx>
            <c:strRef>
              <c:f>'Standard-deviation'!$K$23:$K$24</c:f>
              <c:strCache>
                <c:ptCount val="2"/>
                <c:pt idx="0">
                  <c:v>SWDF</c:v>
                </c:pt>
                <c:pt idx="1">
                  <c:v>PCG</c:v>
                </c:pt>
              </c:strCache>
            </c:strRef>
          </c:tx>
          <c:spPr>
            <a:pattFill prst="lgCheck">
              <a:fgClr>
                <a:schemeClr val="accent4">
                  <a:lumMod val="50000"/>
                </a:schemeClr>
              </a:fgClr>
              <a:bgClr>
                <a:schemeClr val="bg1"/>
              </a:bgClr>
            </a:pattFill>
            <a:ln>
              <a:noFill/>
            </a:ln>
            <a:effectLst/>
          </c:spPr>
          <c:invertIfNegative val="0"/>
          <c:val>
            <c:numRef>
              <c:f>'Standard-deviation'!$K$25</c:f>
              <c:numCache>
                <c:formatCode>General</c:formatCode>
                <c:ptCount val="1"/>
                <c:pt idx="0">
                  <c:v>15193.428748054932</c:v>
                </c:pt>
              </c:numCache>
            </c:numRef>
          </c:val>
        </c:ser>
        <c:ser>
          <c:idx val="9"/>
          <c:order val="9"/>
          <c:tx>
            <c:strRef>
              <c:f>'Standard-deviation'!$L$23:$L$24</c:f>
              <c:strCache>
                <c:ptCount val="2"/>
                <c:pt idx="0">
                  <c:v>DBpedia</c:v>
                </c:pt>
                <c:pt idx="1">
                  <c:v>PB</c:v>
                </c:pt>
              </c:strCache>
            </c:strRef>
          </c:tx>
          <c:spPr>
            <a:solidFill>
              <a:schemeClr val="accent4">
                <a:lumMod val="60000"/>
              </a:schemeClr>
            </a:solidFill>
            <a:ln>
              <a:noFill/>
            </a:ln>
            <a:effectLst/>
          </c:spPr>
          <c:invertIfNegative val="0"/>
          <c:val>
            <c:numRef>
              <c:f>'Standard-deviation'!$L$25</c:f>
              <c:numCache>
                <c:formatCode>General</c:formatCode>
                <c:ptCount val="1"/>
                <c:pt idx="0">
                  <c:v>29775623.015014127</c:v>
                </c:pt>
              </c:numCache>
            </c:numRef>
          </c:val>
        </c:ser>
        <c:ser>
          <c:idx val="10"/>
          <c:order val="10"/>
          <c:tx>
            <c:strRef>
              <c:f>'Standard-deviation'!$M$23:$M$24</c:f>
              <c:strCache>
                <c:ptCount val="2"/>
                <c:pt idx="0">
                  <c:v>DBpedia</c:v>
                </c:pt>
                <c:pt idx="1">
                  <c:v>SB</c:v>
                </c:pt>
              </c:strCache>
            </c:strRef>
          </c:tx>
          <c:spPr>
            <a:solidFill>
              <a:schemeClr val="accent5">
                <a:lumMod val="60000"/>
              </a:schemeClr>
            </a:solidFill>
            <a:ln>
              <a:noFill/>
            </a:ln>
            <a:effectLst/>
          </c:spPr>
          <c:invertIfNegative val="0"/>
          <c:val>
            <c:numRef>
              <c:f>'Standard-deviation'!$M$25</c:f>
              <c:numCache>
                <c:formatCode>General</c:formatCode>
                <c:ptCount val="1"/>
                <c:pt idx="0">
                  <c:v>34248.517336277982</c:v>
                </c:pt>
              </c:numCache>
            </c:numRef>
          </c:val>
        </c:ser>
        <c:ser>
          <c:idx val="11"/>
          <c:order val="11"/>
          <c:tx>
            <c:strRef>
              <c:f>'Standard-deviation'!$N$23:$N$24</c:f>
              <c:strCache>
                <c:ptCount val="2"/>
                <c:pt idx="0">
                  <c:v>DBpedia</c:v>
                </c:pt>
                <c:pt idx="1">
                  <c:v>Hi</c:v>
                </c:pt>
              </c:strCache>
            </c:strRef>
          </c:tx>
          <c:spPr>
            <a:solidFill>
              <a:schemeClr val="accent6">
                <a:lumMod val="60000"/>
              </a:schemeClr>
            </a:solidFill>
            <a:ln>
              <a:noFill/>
            </a:ln>
            <a:effectLst/>
          </c:spPr>
          <c:invertIfNegative val="0"/>
          <c:val>
            <c:numRef>
              <c:f>'Standard-deviation'!$N$25</c:f>
              <c:numCache>
                <c:formatCode>General</c:formatCode>
                <c:ptCount val="1"/>
                <c:pt idx="0">
                  <c:v>27525.861935439712</c:v>
                </c:pt>
              </c:numCache>
            </c:numRef>
          </c:val>
        </c:ser>
        <c:ser>
          <c:idx val="12"/>
          <c:order val="12"/>
          <c:tx>
            <c:strRef>
              <c:f>'Standard-deviation'!$O$23:$O$24</c:f>
              <c:strCache>
                <c:ptCount val="2"/>
                <c:pt idx="0">
                  <c:v>DBpedia</c:v>
                </c:pt>
                <c:pt idx="1">
                  <c:v>Ho</c:v>
                </c:pt>
              </c:strCache>
            </c:strRef>
          </c:tx>
          <c:spPr>
            <a:solidFill>
              <a:schemeClr val="accent1">
                <a:lumMod val="80000"/>
                <a:lumOff val="20000"/>
              </a:schemeClr>
            </a:solidFill>
            <a:ln>
              <a:noFill/>
            </a:ln>
            <a:effectLst/>
          </c:spPr>
          <c:invertIfNegative val="0"/>
          <c:val>
            <c:numRef>
              <c:f>'Standard-deviation'!$O$25</c:f>
              <c:numCache>
                <c:formatCode>General</c:formatCode>
                <c:ptCount val="1"/>
                <c:pt idx="0">
                  <c:v>10.100055005350768</c:v>
                </c:pt>
              </c:numCache>
            </c:numRef>
          </c:val>
        </c:ser>
        <c:ser>
          <c:idx val="13"/>
          <c:order val="13"/>
          <c:tx>
            <c:strRef>
              <c:f>'Standard-deviation'!$P$23:$P$24</c:f>
              <c:strCache>
                <c:ptCount val="2"/>
                <c:pt idx="0">
                  <c:v>DBpedia</c:v>
                </c:pt>
                <c:pt idx="1">
                  <c:v>TC</c:v>
                </c:pt>
              </c:strCache>
            </c:strRef>
          </c:tx>
          <c:spPr>
            <a:solidFill>
              <a:schemeClr val="accent2">
                <a:lumMod val="80000"/>
                <a:lumOff val="20000"/>
              </a:schemeClr>
            </a:solidFill>
            <a:ln>
              <a:noFill/>
            </a:ln>
            <a:effectLst/>
          </c:spPr>
          <c:invertIfNegative val="0"/>
          <c:val>
            <c:numRef>
              <c:f>'Standard-deviation'!$P$25</c:f>
              <c:numCache>
                <c:formatCode>General</c:formatCode>
                <c:ptCount val="1"/>
                <c:pt idx="0">
                  <c:v>5115548.2143887356</c:v>
                </c:pt>
              </c:numCache>
            </c:numRef>
          </c:val>
        </c:ser>
        <c:ser>
          <c:idx val="14"/>
          <c:order val="14"/>
          <c:tx>
            <c:strRef>
              <c:f>'Standard-deviation'!$Q$23:$Q$24</c:f>
              <c:strCache>
                <c:ptCount val="2"/>
                <c:pt idx="0">
                  <c:v>DBpedia</c:v>
                </c:pt>
                <c:pt idx="1">
                  <c:v>ME</c:v>
                </c:pt>
              </c:strCache>
            </c:strRef>
          </c:tx>
          <c:spPr>
            <a:solidFill>
              <a:schemeClr val="accent3">
                <a:lumMod val="80000"/>
                <a:lumOff val="20000"/>
              </a:schemeClr>
            </a:solidFill>
            <a:ln>
              <a:noFill/>
            </a:ln>
            <a:effectLst/>
          </c:spPr>
          <c:invertIfNegative val="0"/>
          <c:val>
            <c:numRef>
              <c:f>'Standard-deviation'!$Q$25</c:f>
              <c:numCache>
                <c:formatCode>General</c:formatCode>
                <c:ptCount val="1"/>
                <c:pt idx="0">
                  <c:v>5041641.7519574361</c:v>
                </c:pt>
              </c:numCache>
            </c:numRef>
          </c:val>
        </c:ser>
        <c:ser>
          <c:idx val="15"/>
          <c:order val="15"/>
          <c:tx>
            <c:strRef>
              <c:f>'Standard-deviation'!$R$23:$R$24</c:f>
              <c:strCache>
                <c:ptCount val="2"/>
                <c:pt idx="0">
                  <c:v>DBpedia</c:v>
                </c:pt>
                <c:pt idx="1">
                  <c:v>RB</c:v>
                </c:pt>
              </c:strCache>
            </c:strRef>
          </c:tx>
          <c:spPr>
            <a:solidFill>
              <a:schemeClr val="accent4">
                <a:lumMod val="80000"/>
                <a:lumOff val="20000"/>
              </a:schemeClr>
            </a:solidFill>
            <a:ln>
              <a:noFill/>
            </a:ln>
            <a:effectLst/>
          </c:spPr>
          <c:invertIfNegative val="0"/>
          <c:val>
            <c:numRef>
              <c:f>'Standard-deviation'!$R$25</c:f>
              <c:numCache>
                <c:formatCode>General</c:formatCode>
                <c:ptCount val="1"/>
                <c:pt idx="0">
                  <c:v>4801423.8122410225</c:v>
                </c:pt>
              </c:numCache>
            </c:numRef>
          </c:val>
        </c:ser>
        <c:ser>
          <c:idx val="16"/>
          <c:order val="16"/>
          <c:tx>
            <c:strRef>
              <c:f>'Standard-deviation'!$S$23:$S$24</c:f>
              <c:strCache>
                <c:ptCount val="2"/>
                <c:pt idx="0">
                  <c:v>DBpedia</c:v>
                </c:pt>
                <c:pt idx="1">
                  <c:v>PCM</c:v>
                </c:pt>
              </c:strCache>
            </c:strRef>
          </c:tx>
          <c:spPr>
            <a:solidFill>
              <a:schemeClr val="accent5">
                <a:lumMod val="80000"/>
                <a:lumOff val="20000"/>
              </a:schemeClr>
            </a:solidFill>
            <a:ln>
              <a:noFill/>
            </a:ln>
            <a:effectLst/>
          </c:spPr>
          <c:invertIfNegative val="0"/>
          <c:val>
            <c:numRef>
              <c:f>'Standard-deviation'!$S$25</c:f>
              <c:numCache>
                <c:formatCode>General</c:formatCode>
                <c:ptCount val="1"/>
                <c:pt idx="0">
                  <c:v>2674659.1249858779</c:v>
                </c:pt>
              </c:numCache>
            </c:numRef>
          </c:val>
        </c:ser>
        <c:ser>
          <c:idx val="17"/>
          <c:order val="17"/>
          <c:tx>
            <c:strRef>
              <c:f>'Standard-deviation'!$T$23:$T$24</c:f>
              <c:strCache>
                <c:ptCount val="2"/>
                <c:pt idx="0">
                  <c:v>DBpedia</c:v>
                </c:pt>
                <c:pt idx="1">
                  <c:v>PCG</c:v>
                </c:pt>
              </c:strCache>
            </c:strRef>
          </c:tx>
          <c:spPr>
            <a:solidFill>
              <a:schemeClr val="accent6">
                <a:lumMod val="80000"/>
                <a:lumOff val="20000"/>
              </a:schemeClr>
            </a:solidFill>
            <a:ln>
              <a:noFill/>
            </a:ln>
            <a:effectLst/>
          </c:spPr>
          <c:invertIfNegative val="0"/>
          <c:val>
            <c:numRef>
              <c:f>'Standard-deviation'!$T$25</c:f>
              <c:numCache>
                <c:formatCode>General</c:formatCode>
                <c:ptCount val="1"/>
                <c:pt idx="0">
                  <c:v>2944383.4316671859</c:v>
                </c:pt>
              </c:numCache>
            </c:numRef>
          </c:val>
        </c:ser>
        <c:dLbls>
          <c:showLegendKey val="0"/>
          <c:showVal val="0"/>
          <c:showCatName val="0"/>
          <c:showSerName val="0"/>
          <c:showPercent val="0"/>
          <c:showBubbleSize val="0"/>
        </c:dLbls>
        <c:gapWidth val="20"/>
        <c:overlap val="-20"/>
        <c:axId val="1249248704"/>
        <c:axId val="1249261760"/>
      </c:barChart>
      <c:catAx>
        <c:axId val="124924870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3200" b="1" i="0" u="none" strike="noStrike" kern="1200" cap="all" spc="120" normalizeH="0" baseline="0">
                <a:solidFill>
                  <a:sysClr val="windowText" lastClr="000000"/>
                </a:solidFill>
                <a:latin typeface="+mn-lt"/>
                <a:ea typeface="+mn-ea"/>
                <a:cs typeface="+mn-cs"/>
              </a:defRPr>
            </a:pPr>
            <a:endParaRPr lang="en-US"/>
          </a:p>
        </c:txPr>
        <c:crossAx val="1249261760"/>
        <c:crosses val="autoZero"/>
        <c:auto val="1"/>
        <c:lblAlgn val="ctr"/>
        <c:lblOffset val="100"/>
        <c:noMultiLvlLbl val="0"/>
      </c:catAx>
      <c:valAx>
        <c:axId val="1249261760"/>
        <c:scaling>
          <c:orientation val="minMax"/>
        </c:scaling>
        <c:delete val="1"/>
        <c:axPos val="l"/>
        <c:numFmt formatCode="General" sourceLinked="1"/>
        <c:majorTickMark val="none"/>
        <c:minorTickMark val="none"/>
        <c:tickLblPos val="nextTo"/>
        <c:crossAx val="1249248704"/>
        <c:crosses val="autoZero"/>
        <c:crossBetween val="between"/>
      </c:valAx>
      <c:spPr>
        <a:noFill/>
        <a:ln>
          <a:noFill/>
        </a:ln>
        <a:effectLst/>
      </c:spPr>
    </c:plotArea>
    <c:legend>
      <c:legendPos val="t"/>
      <c:layout>
        <c:manualLayout>
          <c:xMode val="edge"/>
          <c:yMode val="edge"/>
          <c:x val="2.8542852371251974E-2"/>
          <c:y val="0.90390681791057725"/>
          <c:w val="0.94742980414744482"/>
          <c:h val="9.4668997981967901E-2"/>
        </c:manualLayout>
      </c:layout>
      <c:overlay val="0"/>
      <c:spPr>
        <a:noFill/>
        <a:ln>
          <a:noFill/>
        </a:ln>
        <a:effectLst/>
      </c:spPr>
      <c:txPr>
        <a:bodyPr rot="0" spcFirstLastPara="1" vertOverflow="ellipsis" vert="horz" wrap="square" anchor="ctr" anchorCtr="1"/>
        <a:lstStyle/>
        <a:p>
          <a:pPr>
            <a:defRPr sz="4000" b="1"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1037004474214591"/>
          <c:y val="2.995674324590207E-2"/>
          <c:w val="0.75901587001745896"/>
          <c:h val="0.6138166574408348"/>
        </c:manualLayout>
      </c:layout>
      <c:barChart>
        <c:barDir val="col"/>
        <c:grouping val="stacked"/>
        <c:varyColors val="0"/>
        <c:ser>
          <c:idx val="0"/>
          <c:order val="0"/>
          <c:tx>
            <c:strRef>
              <c:f>'benchmark-execution'!$E$63</c:f>
              <c:strCache>
                <c:ptCount val="1"/>
                <c:pt idx="0">
                  <c:v>SWDF BGP-only</c:v>
                </c:pt>
              </c:strCache>
            </c:strRef>
          </c:tx>
          <c:spPr>
            <a:pattFill prst="pct50">
              <a:fgClr>
                <a:srgbClr val="92D050"/>
              </a:fgClr>
              <a:bgClr>
                <a:schemeClr val="bg1"/>
              </a:bgClr>
            </a:patt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'benchmark-execution'!$D$64:$D$70</c:f>
              <c:strCache>
                <c:ptCount val="7"/>
                <c:pt idx="0">
                  <c:v>PB</c:v>
                </c:pt>
                <c:pt idx="1">
                  <c:v>SB</c:v>
                </c:pt>
                <c:pt idx="2">
                  <c:v>Hi</c:v>
                </c:pt>
                <c:pt idx="3">
                  <c:v>Ho</c:v>
                </c:pt>
                <c:pt idx="4">
                  <c:v>TC</c:v>
                </c:pt>
                <c:pt idx="5">
                  <c:v>ME</c:v>
                </c:pt>
                <c:pt idx="6">
                  <c:v>RB</c:v>
                </c:pt>
              </c:strCache>
            </c:strRef>
          </c:cat>
          <c:val>
            <c:numRef>
              <c:f>'benchmark-execution'!$E$64:$E$70</c:f>
              <c:numCache>
                <c:formatCode>0</c:formatCode>
                <c:ptCount val="7"/>
                <c:pt idx="0">
                  <c:v>11.368</c:v>
                </c:pt>
                <c:pt idx="1">
                  <c:v>20.064999999999998</c:v>
                </c:pt>
                <c:pt idx="2">
                  <c:v>20.823</c:v>
                </c:pt>
                <c:pt idx="3">
                  <c:v>17.128999999999998</c:v>
                </c:pt>
                <c:pt idx="4">
                  <c:v>20.055</c:v>
                </c:pt>
                <c:pt idx="5">
                  <c:v>20.413</c:v>
                </c:pt>
                <c:pt idx="6">
                  <c:v>20.133000000000003</c:v>
                </c:pt>
              </c:numCache>
            </c:numRef>
          </c:val>
        </c:ser>
        <c:ser>
          <c:idx val="1"/>
          <c:order val="1"/>
          <c:tx>
            <c:strRef>
              <c:f>'benchmark-execution'!$F$63</c:f>
              <c:strCache>
                <c:ptCount val="1"/>
                <c:pt idx="0">
                  <c:v>SWDF fully-featured</c:v>
                </c:pt>
              </c:strCache>
            </c:strRef>
          </c:tx>
          <c:spPr>
            <a:pattFill prst="pct90">
              <a:fgClr>
                <a:schemeClr val="accent4">
                  <a:lumMod val="75000"/>
                </a:schemeClr>
              </a:fgClr>
              <a:bgClr>
                <a:schemeClr val="bg1"/>
              </a:bgClr>
            </a:patt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'benchmark-execution'!$D$64:$D$70</c:f>
              <c:strCache>
                <c:ptCount val="7"/>
                <c:pt idx="0">
                  <c:v>PB</c:v>
                </c:pt>
                <c:pt idx="1">
                  <c:v>SB</c:v>
                </c:pt>
                <c:pt idx="2">
                  <c:v>Hi</c:v>
                </c:pt>
                <c:pt idx="3">
                  <c:v>Ho</c:v>
                </c:pt>
                <c:pt idx="4">
                  <c:v>TC</c:v>
                </c:pt>
                <c:pt idx="5">
                  <c:v>ME</c:v>
                </c:pt>
                <c:pt idx="6">
                  <c:v>RB</c:v>
                </c:pt>
              </c:strCache>
            </c:strRef>
          </c:cat>
          <c:val>
            <c:numRef>
              <c:f>'benchmark-execution'!$F$64:$F$70</c:f>
              <c:numCache>
                <c:formatCode>0</c:formatCode>
                <c:ptCount val="7"/>
                <c:pt idx="0">
                  <c:v>7466.875</c:v>
                </c:pt>
                <c:pt idx="1">
                  <c:v>5546.4209999999994</c:v>
                </c:pt>
                <c:pt idx="2">
                  <c:v>6246.0499999999993</c:v>
                </c:pt>
                <c:pt idx="3">
                  <c:v>3367.8010000000004</c:v>
                </c:pt>
                <c:pt idx="4">
                  <c:v>5531.4969999999994</c:v>
                </c:pt>
                <c:pt idx="5">
                  <c:v>6597.5529999999999</c:v>
                </c:pt>
                <c:pt idx="6">
                  <c:v>4782.3249999999998</c:v>
                </c:pt>
              </c:numCache>
            </c:numRef>
          </c:val>
        </c:ser>
        <c:ser>
          <c:idx val="2"/>
          <c:order val="2"/>
          <c:tx>
            <c:strRef>
              <c:f>'benchmark-execution'!$G$63</c:f>
              <c:strCache>
                <c:ptCount val="1"/>
                <c:pt idx="0">
                  <c:v>DBpedia BGP-only</c:v>
                </c:pt>
              </c:strCache>
            </c:strRef>
          </c:tx>
          <c:spPr>
            <a:pattFill prst="pct75">
              <a:fgClr>
                <a:schemeClr val="accent6"/>
              </a:fgClr>
              <a:bgClr>
                <a:schemeClr val="bg1"/>
              </a:bgClr>
            </a:patt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'benchmark-execution'!$D$64:$D$70</c:f>
              <c:strCache>
                <c:ptCount val="7"/>
                <c:pt idx="0">
                  <c:v>PB</c:v>
                </c:pt>
                <c:pt idx="1">
                  <c:v>SB</c:v>
                </c:pt>
                <c:pt idx="2">
                  <c:v>Hi</c:v>
                </c:pt>
                <c:pt idx="3">
                  <c:v>Ho</c:v>
                </c:pt>
                <c:pt idx="4">
                  <c:v>TC</c:v>
                </c:pt>
                <c:pt idx="5">
                  <c:v>ME</c:v>
                </c:pt>
                <c:pt idx="6">
                  <c:v>RB</c:v>
                </c:pt>
              </c:strCache>
            </c:strRef>
          </c:cat>
          <c:val>
            <c:numRef>
              <c:f>'benchmark-execution'!$G$64:$G$70</c:f>
              <c:numCache>
                <c:formatCode>0</c:formatCode>
                <c:ptCount val="7"/>
                <c:pt idx="0">
                  <c:v>11977.991</c:v>
                </c:pt>
                <c:pt idx="1">
                  <c:v>7958.1180000000004</c:v>
                </c:pt>
                <c:pt idx="2">
                  <c:v>7892.8230000000003</c:v>
                </c:pt>
                <c:pt idx="3">
                  <c:v>8287.4560000000001</c:v>
                </c:pt>
                <c:pt idx="4">
                  <c:v>8596.634</c:v>
                </c:pt>
                <c:pt idx="5">
                  <c:v>8686.2750000000015</c:v>
                </c:pt>
                <c:pt idx="6">
                  <c:v>7958.5019999999995</c:v>
                </c:pt>
              </c:numCache>
            </c:numRef>
          </c:val>
        </c:ser>
        <c:ser>
          <c:idx val="3"/>
          <c:order val="3"/>
          <c:tx>
            <c:strRef>
              <c:f>'benchmark-execution'!$H$63</c:f>
              <c:strCache>
                <c:ptCount val="1"/>
                <c:pt idx="0">
                  <c:v>DBpedia fully-featured</c:v>
                </c:pt>
              </c:strCache>
            </c:strRef>
          </c:tx>
          <c:spPr>
            <a:solidFill>
              <a:schemeClr val="accent2">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'benchmark-execution'!$D$64:$D$70</c:f>
              <c:strCache>
                <c:ptCount val="7"/>
                <c:pt idx="0">
                  <c:v>PB</c:v>
                </c:pt>
                <c:pt idx="1">
                  <c:v>SB</c:v>
                </c:pt>
                <c:pt idx="2">
                  <c:v>Hi</c:v>
                </c:pt>
                <c:pt idx="3">
                  <c:v>Ho</c:v>
                </c:pt>
                <c:pt idx="4">
                  <c:v>TC</c:v>
                </c:pt>
                <c:pt idx="5">
                  <c:v>ME</c:v>
                </c:pt>
                <c:pt idx="6">
                  <c:v>RB</c:v>
                </c:pt>
              </c:strCache>
            </c:strRef>
          </c:cat>
          <c:val>
            <c:numRef>
              <c:f>'benchmark-execution'!$H$64:$H$70</c:f>
              <c:numCache>
                <c:formatCode>0</c:formatCode>
                <c:ptCount val="7"/>
                <c:pt idx="0">
                  <c:v>14408.012000000001</c:v>
                </c:pt>
                <c:pt idx="1">
                  <c:v>15104.743</c:v>
                </c:pt>
                <c:pt idx="2">
                  <c:v>14707.791000000001</c:v>
                </c:pt>
                <c:pt idx="3">
                  <c:v>14866.288</c:v>
                </c:pt>
                <c:pt idx="4">
                  <c:v>14591.718999999999</c:v>
                </c:pt>
                <c:pt idx="5">
                  <c:v>15178.582</c:v>
                </c:pt>
                <c:pt idx="6">
                  <c:v>14201.633</c:v>
                </c:pt>
              </c:numCache>
            </c:numRef>
          </c:val>
        </c:ser>
        <c:dLbls>
          <c:dLblPos val="ctr"/>
          <c:showLegendKey val="0"/>
          <c:showVal val="1"/>
          <c:showCatName val="0"/>
          <c:showSerName val="0"/>
          <c:showPercent val="0"/>
          <c:showBubbleSize val="0"/>
        </c:dLbls>
        <c:gapWidth val="40"/>
        <c:overlap val="100"/>
        <c:axId val="1251154768"/>
        <c:axId val="1251166192"/>
      </c:barChart>
      <c:catAx>
        <c:axId val="12511547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endParaRPr lang="en-US"/>
          </a:p>
        </c:txPr>
        <c:crossAx val="1251166192"/>
        <c:crossesAt val="1.0000000000000002E-2"/>
        <c:auto val="1"/>
        <c:lblAlgn val="ctr"/>
        <c:lblOffset val="100"/>
        <c:noMultiLvlLbl val="0"/>
      </c:catAx>
      <c:valAx>
        <c:axId val="1251166192"/>
        <c:scaling>
          <c:logBase val="10"/>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lang="en-US" sz="1400" b="1" i="0" u="none" strike="noStrike" kern="1200" baseline="0">
                    <a:solidFill>
                      <a:sysClr val="windowText" lastClr="000000"/>
                    </a:solidFill>
                    <a:latin typeface="+mn-lt"/>
                    <a:ea typeface="+mn-ea"/>
                    <a:cs typeface="+mn-cs"/>
                  </a:defRPr>
                </a:pPr>
                <a:r>
                  <a:rPr lang="en-US" sz="1400" b="1" i="0" u="none" strike="noStrike" kern="1200" baseline="0" dirty="0">
                    <a:solidFill>
                      <a:sysClr val="windowText" lastClr="000000"/>
                    </a:solidFill>
                    <a:latin typeface="+mn-lt"/>
                    <a:ea typeface="+mn-ea"/>
                    <a:cs typeface="+mn-cs"/>
                  </a:rPr>
                  <a:t> Benchmark execution time in sec </a:t>
                </a:r>
                <a:endParaRPr lang="en-US" sz="1400" b="1" i="0" u="none" strike="noStrike" kern="1200" baseline="0" dirty="0" smtClean="0">
                  <a:solidFill>
                    <a:sysClr val="windowText" lastClr="000000"/>
                  </a:solidFill>
                  <a:latin typeface="+mn-lt"/>
                  <a:ea typeface="+mn-ea"/>
                  <a:cs typeface="+mn-cs"/>
                </a:endParaRPr>
              </a:p>
              <a:p>
                <a:pPr marL="0" marR="0" lvl="0" indent="0" algn="ctr" defTabSz="914400" rtl="0" eaLnBrk="1" fontAlgn="auto" latinLnBrk="0" hangingPunct="1">
                  <a:lnSpc>
                    <a:spcPct val="100000"/>
                  </a:lnSpc>
                  <a:spcBef>
                    <a:spcPts val="0"/>
                  </a:spcBef>
                  <a:spcAft>
                    <a:spcPts val="0"/>
                  </a:spcAft>
                  <a:buClrTx/>
                  <a:buSzTx/>
                  <a:buFontTx/>
                  <a:buNone/>
                  <a:tabLst/>
                  <a:defRPr lang="en-US" sz="1400" b="1">
                    <a:solidFill>
                      <a:sysClr val="windowText" lastClr="000000"/>
                    </a:solidFill>
                  </a:defRPr>
                </a:pPr>
                <a:r>
                  <a:rPr lang="en-US" sz="1400" b="1" i="0" u="none" strike="noStrike" kern="1200" baseline="0" dirty="0" smtClean="0">
                    <a:solidFill>
                      <a:sysClr val="windowText" lastClr="000000"/>
                    </a:solidFill>
                    <a:latin typeface="+mn-lt"/>
                    <a:ea typeface="+mn-ea"/>
                    <a:cs typeface="+mn-cs"/>
                  </a:rPr>
                  <a:t>(</a:t>
                </a:r>
                <a:r>
                  <a:rPr lang="en-US" sz="1400" b="1" i="0" u="none" strike="noStrike" kern="1200" baseline="0" dirty="0">
                    <a:solidFill>
                      <a:sysClr val="windowText" lastClr="000000"/>
                    </a:solidFill>
                    <a:latin typeface="+mn-lt"/>
                    <a:ea typeface="+mn-ea"/>
                    <a:cs typeface="+mn-cs"/>
                  </a:rPr>
                  <a:t>log scale)</a:t>
                </a:r>
              </a:p>
              <a:p>
                <a:pPr marL="0" marR="0" lvl="0" indent="0" algn="ctr" defTabSz="914400" rtl="0" eaLnBrk="1" fontAlgn="auto" latinLnBrk="0" hangingPunct="1">
                  <a:lnSpc>
                    <a:spcPct val="100000"/>
                  </a:lnSpc>
                  <a:spcBef>
                    <a:spcPts val="0"/>
                  </a:spcBef>
                  <a:spcAft>
                    <a:spcPts val="0"/>
                  </a:spcAft>
                  <a:buClrTx/>
                  <a:buSzTx/>
                  <a:buFontTx/>
                  <a:buNone/>
                  <a:tabLst/>
                  <a:defRPr lang="en-US" sz="1400" b="1">
                    <a:solidFill>
                      <a:sysClr val="windowText" lastClr="000000"/>
                    </a:solidFill>
                  </a:defRPr>
                </a:pPr>
                <a:endParaRPr lang="en-US" sz="1400" b="1" i="0" u="none" strike="noStrike" kern="1200" baseline="0" dirty="0">
                  <a:solidFill>
                    <a:sysClr val="windowText" lastClr="000000"/>
                  </a:solidFill>
                  <a:latin typeface="+mn-lt"/>
                  <a:ea typeface="+mn-ea"/>
                  <a:cs typeface="+mn-cs"/>
                </a:endParaRPr>
              </a:p>
            </c:rich>
          </c:tx>
          <c:layout>
            <c:manualLayout>
              <c:xMode val="edge"/>
              <c:yMode val="edge"/>
              <c:x val="9.3185767240301753E-2"/>
              <c:y val="7.864825599420891E-2"/>
            </c:manualLayout>
          </c:layout>
          <c:overlay val="0"/>
          <c:spPr>
            <a:noFill/>
            <a:ln>
              <a:noFill/>
            </a:ln>
            <a:effectLst/>
          </c:spPr>
          <c:txPr>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lang="en-US" sz="1400" b="1" i="0" u="none" strike="noStrike" kern="1200" baseline="0">
                  <a:solidFill>
                    <a:sysClr val="windowText" lastClr="000000"/>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endParaRPr lang="en-US"/>
          </a:p>
        </c:txPr>
        <c:crossAx val="1251154768"/>
        <c:crosses val="autoZero"/>
        <c:crossBetween val="between"/>
      </c:valAx>
      <c:spPr>
        <a:noFill/>
        <a:ln>
          <a:noFill/>
        </a:ln>
        <a:effectLst/>
      </c:spPr>
    </c:plotArea>
    <c:legend>
      <c:legendPos val="b"/>
      <c:layout>
        <c:manualLayout>
          <c:xMode val="edge"/>
          <c:yMode val="edge"/>
          <c:x val="0.17768095882545931"/>
          <c:y val="0.6823411463101996"/>
          <c:w val="0.78879203576115486"/>
          <c:h val="0.11500434902032594"/>
        </c:manualLayout>
      </c:layout>
      <c:overlay val="0"/>
      <c:spPr>
        <a:noFill/>
        <a:ln>
          <a:noFill/>
        </a:ln>
        <a:effectLst/>
      </c:spPr>
      <c:txPr>
        <a:bodyPr rot="0" spcFirstLastPara="1" vertOverflow="ellipsis" vert="horz" wrap="square" anchor="ctr" anchorCtr="1"/>
        <a:lstStyle/>
        <a:p>
          <a:pPr>
            <a:defRPr sz="1400" b="1"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barChart>
        <c:barDir val="col"/>
        <c:grouping val="clustered"/>
        <c:varyColors val="0"/>
        <c:ser>
          <c:idx val="0"/>
          <c:order val="0"/>
          <c:spPr>
            <a:solidFill>
              <a:schemeClr val="accent1"/>
            </a:solidFill>
            <a:ln>
              <a:noFill/>
            </a:ln>
            <a:effectLst/>
          </c:spPr>
          <c:invertIfNegative val="0"/>
          <c:dPt>
            <c:idx val="0"/>
            <c:invertIfNegative val="0"/>
            <c:bubble3D val="0"/>
            <c:spPr>
              <a:solidFill>
                <a:srgbClr val="5B9BD5"/>
              </a:solidFill>
              <a:ln>
                <a:noFill/>
              </a:ln>
              <a:effectLst/>
            </c:spPr>
          </c:dPt>
          <c:dPt>
            <c:idx val="1"/>
            <c:invertIfNegative val="0"/>
            <c:bubble3D val="0"/>
            <c:spPr>
              <a:solidFill>
                <a:srgbClr val="5B9BD5"/>
              </a:solidFill>
              <a:ln>
                <a:noFill/>
              </a:ln>
              <a:effectLst/>
            </c:spPr>
          </c:dPt>
          <c:dPt>
            <c:idx val="2"/>
            <c:invertIfNegative val="0"/>
            <c:bubble3D val="0"/>
            <c:spPr>
              <a:solidFill>
                <a:srgbClr val="5B9BD5"/>
              </a:solidFill>
              <a:ln>
                <a:noFill/>
              </a:ln>
              <a:effectLst/>
            </c:spPr>
          </c:dPt>
          <c:dPt>
            <c:idx val="3"/>
            <c:invertIfNegative val="0"/>
            <c:bubble3D val="0"/>
            <c:spPr>
              <a:solidFill>
                <a:srgbClr val="5B9BD5"/>
              </a:solidFill>
              <a:ln>
                <a:noFill/>
              </a:ln>
              <a:effectLst/>
            </c:spPr>
          </c:dPt>
          <c:dPt>
            <c:idx val="4"/>
            <c:invertIfNegative val="0"/>
            <c:bubble3D val="0"/>
            <c:spPr>
              <a:solidFill>
                <a:srgbClr val="5B9BD5"/>
              </a:solidFill>
              <a:ln>
                <a:noFill/>
              </a:ln>
              <a:effectLst/>
            </c:spPr>
          </c:dPt>
          <c:dPt>
            <c:idx val="5"/>
            <c:invertIfNegative val="0"/>
            <c:bubble3D val="0"/>
            <c:spPr>
              <a:solidFill>
                <a:srgbClr val="5B9BD5"/>
              </a:solidFill>
              <a:ln>
                <a:noFill/>
              </a:ln>
              <a:effectLst/>
            </c:spPr>
          </c:dPt>
          <c:dPt>
            <c:idx val="6"/>
            <c:invertIfNegative val="0"/>
            <c:bubble3D val="0"/>
            <c:spPr>
              <a:solidFill>
                <a:srgbClr val="5B9BD5"/>
              </a:solidFill>
              <a:ln>
                <a:noFill/>
              </a:ln>
              <a:effectLst/>
            </c:spPr>
          </c:dPt>
          <c:dPt>
            <c:idx val="7"/>
            <c:invertIfNegative val="0"/>
            <c:bubble3D val="0"/>
            <c:spPr>
              <a:solidFill>
                <a:srgbClr val="5B9BD5"/>
              </a:solidFill>
              <a:ln>
                <a:noFill/>
              </a:ln>
              <a:effectLst/>
            </c:spPr>
          </c:dPt>
          <c:dPt>
            <c:idx val="8"/>
            <c:invertIfNegative val="0"/>
            <c:bubble3D val="0"/>
            <c:spPr>
              <a:solidFill>
                <a:srgbClr val="5B9BD5"/>
              </a:solidFill>
              <a:ln>
                <a:noFill/>
              </a:ln>
              <a:effectLst/>
            </c:spPr>
          </c:dPt>
          <c:dPt>
            <c:idx val="9"/>
            <c:invertIfNegative val="0"/>
            <c:bubble3D val="0"/>
            <c:spPr>
              <a:solidFill>
                <a:srgbClr val="ED7D31"/>
              </a:solidFill>
              <a:ln>
                <a:noFill/>
              </a:ln>
              <a:effectLst/>
            </c:spPr>
          </c:dPt>
          <c:dPt>
            <c:idx val="10"/>
            <c:invertIfNegative val="0"/>
            <c:bubble3D val="0"/>
            <c:spPr>
              <a:solidFill>
                <a:srgbClr val="ED7D31"/>
              </a:solidFill>
              <a:ln>
                <a:noFill/>
              </a:ln>
              <a:effectLst/>
            </c:spPr>
          </c:dPt>
          <c:dPt>
            <c:idx val="11"/>
            <c:invertIfNegative val="0"/>
            <c:bubble3D val="0"/>
            <c:spPr>
              <a:solidFill>
                <a:srgbClr val="ED7D31"/>
              </a:solidFill>
              <a:ln>
                <a:noFill/>
              </a:ln>
              <a:effectLst/>
            </c:spPr>
          </c:dPt>
          <c:dPt>
            <c:idx val="12"/>
            <c:invertIfNegative val="0"/>
            <c:bubble3D val="0"/>
            <c:spPr>
              <a:solidFill>
                <a:srgbClr val="ED7D31"/>
              </a:solidFill>
              <a:ln>
                <a:noFill/>
              </a:ln>
              <a:effectLst/>
            </c:spPr>
          </c:dPt>
          <c:dPt>
            <c:idx val="13"/>
            <c:invertIfNegative val="0"/>
            <c:bubble3D val="0"/>
            <c:spPr>
              <a:solidFill>
                <a:srgbClr val="ED7D31"/>
              </a:solidFill>
              <a:ln>
                <a:noFill/>
              </a:ln>
              <a:effectLst/>
            </c:spPr>
          </c:dPt>
          <c:dPt>
            <c:idx val="14"/>
            <c:invertIfNegative val="0"/>
            <c:bubble3D val="0"/>
            <c:spPr>
              <a:solidFill>
                <a:srgbClr val="ED7D31"/>
              </a:solidFill>
              <a:ln>
                <a:noFill/>
              </a:ln>
              <a:effectLst/>
            </c:spPr>
          </c:dPt>
          <c:dPt>
            <c:idx val="15"/>
            <c:invertIfNegative val="0"/>
            <c:bubble3D val="0"/>
            <c:spPr>
              <a:solidFill>
                <a:srgbClr val="ED7D31"/>
              </a:solidFill>
              <a:ln>
                <a:noFill/>
              </a:ln>
              <a:effectLst/>
            </c:spPr>
          </c:dPt>
          <c:dPt>
            <c:idx val="16"/>
            <c:invertIfNegative val="0"/>
            <c:bubble3D val="0"/>
            <c:spPr>
              <a:solidFill>
                <a:srgbClr val="ED7D31"/>
              </a:solidFill>
              <a:ln>
                <a:noFill/>
              </a:ln>
              <a:effectLst/>
            </c:spPr>
          </c:dPt>
          <c:dPt>
            <c:idx val="17"/>
            <c:invertIfNegative val="0"/>
            <c:bubble3D val="0"/>
            <c:spPr>
              <a:solidFill>
                <a:srgbClr val="ED7D31"/>
              </a:solidFill>
              <a:ln>
                <a:noFill/>
              </a:ln>
              <a:effectLst/>
            </c:spPr>
          </c:dPt>
          <c:cat>
            <c:multiLvlStrRef>
              <c:f>'Standard-deviation'!$C$23:$T$24</c:f>
              <c:multiLvlStrCache>
                <c:ptCount val="18"/>
                <c:lvl>
                  <c:pt idx="0">
                    <c:v>PB</c:v>
                  </c:pt>
                  <c:pt idx="1">
                    <c:v>SB</c:v>
                  </c:pt>
                  <c:pt idx="2">
                    <c:v>Hi</c:v>
                  </c:pt>
                  <c:pt idx="3">
                    <c:v>Ho</c:v>
                  </c:pt>
                  <c:pt idx="4">
                    <c:v>TC</c:v>
                  </c:pt>
                  <c:pt idx="5">
                    <c:v>ME</c:v>
                  </c:pt>
                  <c:pt idx="6">
                    <c:v>RB</c:v>
                  </c:pt>
                  <c:pt idx="7">
                    <c:v>PCM</c:v>
                  </c:pt>
                  <c:pt idx="8">
                    <c:v>PCG</c:v>
                  </c:pt>
                  <c:pt idx="9">
                    <c:v>PB</c:v>
                  </c:pt>
                  <c:pt idx="10">
                    <c:v>SB</c:v>
                  </c:pt>
                  <c:pt idx="11">
                    <c:v>Hi</c:v>
                  </c:pt>
                  <c:pt idx="12">
                    <c:v>Ho</c:v>
                  </c:pt>
                  <c:pt idx="13">
                    <c:v>TC</c:v>
                  </c:pt>
                  <c:pt idx="14">
                    <c:v>ME</c:v>
                  </c:pt>
                  <c:pt idx="15">
                    <c:v>RB</c:v>
                  </c:pt>
                  <c:pt idx="16">
                    <c:v>PCM</c:v>
                  </c:pt>
                  <c:pt idx="17">
                    <c:v>PCG</c:v>
                  </c:pt>
                </c:lvl>
                <c:lvl>
                  <c:pt idx="0">
                    <c:v>SWDF</c:v>
                  </c:pt>
                  <c:pt idx="9">
                    <c:v>DBpedia</c:v>
                  </c:pt>
                </c:lvl>
              </c:multiLvlStrCache>
            </c:multiLvlStrRef>
          </c:cat>
          <c:val>
            <c:numRef>
              <c:f>'Standard-deviation'!$C$25:$T$25</c:f>
              <c:numCache>
                <c:formatCode>General</c:formatCode>
                <c:ptCount val="18"/>
                <c:pt idx="0">
                  <c:v>9686.3044902469301</c:v>
                </c:pt>
                <c:pt idx="1">
                  <c:v>941.43106787249985</c:v>
                </c:pt>
                <c:pt idx="2">
                  <c:v>871.99822247525242</c:v>
                </c:pt>
                <c:pt idx="3">
                  <c:v>4.0879225911349044</c:v>
                </c:pt>
                <c:pt idx="4">
                  <c:v>2903.8648212339358</c:v>
                </c:pt>
                <c:pt idx="5">
                  <c:v>2994.0102445456737</c:v>
                </c:pt>
                <c:pt idx="6">
                  <c:v>3160.9733750504406</c:v>
                </c:pt>
                <c:pt idx="7" formatCode="#.##">
                  <c:v>17210.094189167008</c:v>
                </c:pt>
                <c:pt idx="8">
                  <c:v>15193.428748054932</c:v>
                </c:pt>
                <c:pt idx="9">
                  <c:v>29775623.015014127</c:v>
                </c:pt>
                <c:pt idx="10">
                  <c:v>34248.517336277982</c:v>
                </c:pt>
                <c:pt idx="11">
                  <c:v>27525.861935439712</c:v>
                </c:pt>
                <c:pt idx="12">
                  <c:v>10.100055005350768</c:v>
                </c:pt>
                <c:pt idx="13">
                  <c:v>5115548.2143887356</c:v>
                </c:pt>
                <c:pt idx="14">
                  <c:v>5041641.7519574361</c:v>
                </c:pt>
                <c:pt idx="15">
                  <c:v>4801423.8122410225</c:v>
                </c:pt>
                <c:pt idx="16">
                  <c:v>2674659.1249858779</c:v>
                </c:pt>
                <c:pt idx="17">
                  <c:v>2944383.4316671859</c:v>
                </c:pt>
              </c:numCache>
            </c:numRef>
          </c:val>
        </c:ser>
        <c:dLbls>
          <c:showLegendKey val="0"/>
          <c:showVal val="0"/>
          <c:showCatName val="0"/>
          <c:showSerName val="0"/>
          <c:showPercent val="0"/>
          <c:showBubbleSize val="0"/>
        </c:dLbls>
        <c:gapWidth val="47"/>
        <c:overlap val="-6"/>
        <c:axId val="1249253600"/>
        <c:axId val="1249257952"/>
      </c:barChart>
      <c:catAx>
        <c:axId val="12492536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249257952"/>
        <c:crosses val="autoZero"/>
        <c:auto val="1"/>
        <c:lblAlgn val="ctr"/>
        <c:lblOffset val="100"/>
        <c:noMultiLvlLbl val="0"/>
      </c:catAx>
      <c:valAx>
        <c:axId val="1249257952"/>
        <c:scaling>
          <c:logBase val="10"/>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r>
                  <a:rPr lang="en-US" sz="1000" b="1" i="0" baseline="0">
                    <a:solidFill>
                      <a:sysClr val="windowText" lastClr="000000"/>
                    </a:solidFill>
                    <a:effectLst/>
                  </a:rPr>
                  <a:t>Standard Deviation in partition sizes (log scale)</a:t>
                </a:r>
                <a:endParaRPr lang="en-US" sz="1000" b="1">
                  <a:solidFill>
                    <a:sysClr val="windowText" lastClr="000000"/>
                  </a:solidFill>
                  <a:effectLst/>
                </a:endParaRPr>
              </a:p>
            </c:rich>
          </c:tx>
          <c:layout>
            <c:manualLayout>
              <c:xMode val="edge"/>
              <c:yMode val="edge"/>
              <c:x val="1.4814814814814815E-2"/>
              <c:y val="5.4320987654320987E-2"/>
            </c:manualLayout>
          </c:layout>
          <c:overlay val="0"/>
          <c:spPr>
            <a:noFill/>
            <a:ln>
              <a:noFill/>
            </a:ln>
            <a:effectLst/>
          </c:spPr>
          <c:txPr>
            <a:bodyPr rot="-54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title>
        <c:numFmt formatCode="0.0E+00" sourceLinked="0"/>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24925360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1037004474214591"/>
          <c:y val="2.995674324590207E-2"/>
          <c:w val="0.75901587001745896"/>
          <c:h val="0.6138166574408348"/>
        </c:manualLayout>
      </c:layout>
      <c:barChart>
        <c:barDir val="col"/>
        <c:grouping val="stacked"/>
        <c:varyColors val="0"/>
        <c:ser>
          <c:idx val="0"/>
          <c:order val="0"/>
          <c:tx>
            <c:strRef>
              <c:f>'benchmark-execution'!$E$63</c:f>
              <c:strCache>
                <c:ptCount val="1"/>
                <c:pt idx="0">
                  <c:v>SWDF BGP-only</c:v>
                </c:pt>
              </c:strCache>
            </c:strRef>
          </c:tx>
          <c:spPr>
            <a:pattFill prst="pct50">
              <a:fgClr>
                <a:srgbClr val="92D050"/>
              </a:fgClr>
              <a:bgClr>
                <a:schemeClr val="bg1"/>
              </a:bgClr>
            </a:patt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'benchmark-execution'!$D$81:$D$87</c:f>
              <c:strCache>
                <c:ptCount val="7"/>
                <c:pt idx="0">
                  <c:v>PB</c:v>
                </c:pt>
                <c:pt idx="1">
                  <c:v>SB</c:v>
                </c:pt>
                <c:pt idx="2">
                  <c:v>Hi</c:v>
                </c:pt>
                <c:pt idx="3">
                  <c:v>Ho</c:v>
                </c:pt>
                <c:pt idx="4">
                  <c:v>TC</c:v>
                </c:pt>
                <c:pt idx="5">
                  <c:v>ME</c:v>
                </c:pt>
                <c:pt idx="6">
                  <c:v>RB</c:v>
                </c:pt>
              </c:strCache>
            </c:strRef>
          </c:cat>
          <c:val>
            <c:numRef>
              <c:f>'benchmark-execution'!$E$81:$E$87</c:f>
              <c:numCache>
                <c:formatCode>0</c:formatCode>
                <c:ptCount val="7"/>
                <c:pt idx="0">
                  <c:v>81.781000000000006</c:v>
                </c:pt>
                <c:pt idx="1">
                  <c:v>50.68</c:v>
                </c:pt>
                <c:pt idx="2">
                  <c:v>50.899000000000001</c:v>
                </c:pt>
                <c:pt idx="3">
                  <c:v>147.71899999999999</c:v>
                </c:pt>
                <c:pt idx="4">
                  <c:v>48.836999999999996</c:v>
                </c:pt>
                <c:pt idx="5">
                  <c:v>49.903999999999996</c:v>
                </c:pt>
                <c:pt idx="6">
                  <c:v>51.536999999999999</c:v>
                </c:pt>
              </c:numCache>
            </c:numRef>
          </c:val>
        </c:ser>
        <c:ser>
          <c:idx val="1"/>
          <c:order val="1"/>
          <c:tx>
            <c:strRef>
              <c:f>'benchmark-execution'!$F$63</c:f>
              <c:strCache>
                <c:ptCount val="1"/>
                <c:pt idx="0">
                  <c:v>SWDF fully-featured</c:v>
                </c:pt>
              </c:strCache>
            </c:strRef>
          </c:tx>
          <c:spPr>
            <a:pattFill prst="pct90">
              <a:fgClr>
                <a:schemeClr val="accent4">
                  <a:lumMod val="75000"/>
                </a:schemeClr>
              </a:fgClr>
              <a:bgClr>
                <a:schemeClr val="bg1"/>
              </a:bgClr>
            </a:patt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'benchmark-execution'!$D$81:$D$87</c:f>
              <c:strCache>
                <c:ptCount val="7"/>
                <c:pt idx="0">
                  <c:v>PB</c:v>
                </c:pt>
                <c:pt idx="1">
                  <c:v>SB</c:v>
                </c:pt>
                <c:pt idx="2">
                  <c:v>Hi</c:v>
                </c:pt>
                <c:pt idx="3">
                  <c:v>Ho</c:v>
                </c:pt>
                <c:pt idx="4">
                  <c:v>TC</c:v>
                </c:pt>
                <c:pt idx="5">
                  <c:v>ME</c:v>
                </c:pt>
                <c:pt idx="6">
                  <c:v>RB</c:v>
                </c:pt>
              </c:strCache>
            </c:strRef>
          </c:cat>
          <c:val>
            <c:numRef>
              <c:f>'benchmark-execution'!$F$81:$F$87</c:f>
              <c:numCache>
                <c:formatCode>0</c:formatCode>
                <c:ptCount val="7"/>
                <c:pt idx="0">
                  <c:v>3814.9360000000001</c:v>
                </c:pt>
                <c:pt idx="1">
                  <c:v>4019.6200000000003</c:v>
                </c:pt>
                <c:pt idx="2">
                  <c:v>4040.8850000000002</c:v>
                </c:pt>
                <c:pt idx="3">
                  <c:v>3683.5330000000004</c:v>
                </c:pt>
                <c:pt idx="4">
                  <c:v>4029.2959999999998</c:v>
                </c:pt>
                <c:pt idx="5">
                  <c:v>4393.6970000000001</c:v>
                </c:pt>
                <c:pt idx="6">
                  <c:v>4235.7449999999999</c:v>
                </c:pt>
              </c:numCache>
            </c:numRef>
          </c:val>
        </c:ser>
        <c:ser>
          <c:idx val="2"/>
          <c:order val="2"/>
          <c:tx>
            <c:strRef>
              <c:f>'benchmark-execution'!$G$63</c:f>
              <c:strCache>
                <c:ptCount val="1"/>
                <c:pt idx="0">
                  <c:v>DBpedia BGP-only</c:v>
                </c:pt>
              </c:strCache>
            </c:strRef>
          </c:tx>
          <c:spPr>
            <a:pattFill prst="pct75">
              <a:fgClr>
                <a:schemeClr val="accent6"/>
              </a:fgClr>
              <a:bgClr>
                <a:schemeClr val="bg1"/>
              </a:bgClr>
            </a:patt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'benchmark-execution'!$D$81:$D$87</c:f>
              <c:strCache>
                <c:ptCount val="7"/>
                <c:pt idx="0">
                  <c:v>PB</c:v>
                </c:pt>
                <c:pt idx="1">
                  <c:v>SB</c:v>
                </c:pt>
                <c:pt idx="2">
                  <c:v>Hi</c:v>
                </c:pt>
                <c:pt idx="3">
                  <c:v>Ho</c:v>
                </c:pt>
                <c:pt idx="4">
                  <c:v>TC</c:v>
                </c:pt>
                <c:pt idx="5">
                  <c:v>ME</c:v>
                </c:pt>
                <c:pt idx="6">
                  <c:v>RB</c:v>
                </c:pt>
              </c:strCache>
            </c:strRef>
          </c:cat>
          <c:val>
            <c:numRef>
              <c:f>'benchmark-execution'!$G$81:$G$87</c:f>
              <c:numCache>
                <c:formatCode>0</c:formatCode>
                <c:ptCount val="7"/>
                <c:pt idx="0">
                  <c:v>7314.5619999999999</c:v>
                </c:pt>
                <c:pt idx="1">
                  <c:v>8412.3529999999992</c:v>
                </c:pt>
                <c:pt idx="2">
                  <c:v>7834.9040000000005</c:v>
                </c:pt>
                <c:pt idx="3">
                  <c:v>8411.3019999999997</c:v>
                </c:pt>
                <c:pt idx="4">
                  <c:v>7778.9429999999993</c:v>
                </c:pt>
                <c:pt idx="5">
                  <c:v>8473.42</c:v>
                </c:pt>
                <c:pt idx="6">
                  <c:v>8389.6409999999996</c:v>
                </c:pt>
              </c:numCache>
            </c:numRef>
          </c:val>
        </c:ser>
        <c:ser>
          <c:idx val="3"/>
          <c:order val="3"/>
          <c:tx>
            <c:strRef>
              <c:f>'benchmark-execution'!$H$63</c:f>
              <c:strCache>
                <c:ptCount val="1"/>
                <c:pt idx="0">
                  <c:v>DBpedia fully-featured</c:v>
                </c:pt>
              </c:strCache>
            </c:strRef>
          </c:tx>
          <c:spPr>
            <a:solidFill>
              <a:schemeClr val="accent2">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'benchmark-execution'!$D$81:$D$87</c:f>
              <c:strCache>
                <c:ptCount val="7"/>
                <c:pt idx="0">
                  <c:v>PB</c:v>
                </c:pt>
                <c:pt idx="1">
                  <c:v>SB</c:v>
                </c:pt>
                <c:pt idx="2">
                  <c:v>Hi</c:v>
                </c:pt>
                <c:pt idx="3">
                  <c:v>Ho</c:v>
                </c:pt>
                <c:pt idx="4">
                  <c:v>TC</c:v>
                </c:pt>
                <c:pt idx="5">
                  <c:v>ME</c:v>
                </c:pt>
                <c:pt idx="6">
                  <c:v>RB</c:v>
                </c:pt>
              </c:strCache>
            </c:strRef>
          </c:cat>
          <c:val>
            <c:numRef>
              <c:f>'benchmark-execution'!$H$81:$H$87</c:f>
              <c:numCache>
                <c:formatCode>0</c:formatCode>
                <c:ptCount val="7"/>
                <c:pt idx="0">
                  <c:v>16016.656000000001</c:v>
                </c:pt>
                <c:pt idx="1">
                  <c:v>17529.861000000001</c:v>
                </c:pt>
                <c:pt idx="2">
                  <c:v>16994.88</c:v>
                </c:pt>
                <c:pt idx="3">
                  <c:v>18903.3</c:v>
                </c:pt>
                <c:pt idx="4">
                  <c:v>16915.692999999999</c:v>
                </c:pt>
                <c:pt idx="5">
                  <c:v>17890.521000000001</c:v>
                </c:pt>
                <c:pt idx="6">
                  <c:v>17306.95</c:v>
                </c:pt>
              </c:numCache>
            </c:numRef>
          </c:val>
        </c:ser>
        <c:dLbls>
          <c:dLblPos val="ctr"/>
          <c:showLegendKey val="0"/>
          <c:showVal val="1"/>
          <c:showCatName val="0"/>
          <c:showSerName val="0"/>
          <c:showPercent val="0"/>
          <c:showBubbleSize val="0"/>
        </c:dLbls>
        <c:gapWidth val="40"/>
        <c:overlap val="100"/>
        <c:axId val="1251166736"/>
        <c:axId val="1251158032"/>
      </c:barChart>
      <c:catAx>
        <c:axId val="12511667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endParaRPr lang="en-US"/>
          </a:p>
        </c:txPr>
        <c:crossAx val="1251158032"/>
        <c:crossesAt val="1.0000000000000002E-2"/>
        <c:auto val="1"/>
        <c:lblAlgn val="ctr"/>
        <c:lblOffset val="100"/>
        <c:noMultiLvlLbl val="0"/>
      </c:catAx>
      <c:valAx>
        <c:axId val="1251158032"/>
        <c:scaling>
          <c:logBase val="10"/>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lang="en-US" sz="1400" b="1" i="0" u="none" strike="noStrike" kern="1200" baseline="0">
                    <a:solidFill>
                      <a:sysClr val="windowText" lastClr="000000"/>
                    </a:solidFill>
                    <a:latin typeface="+mn-lt"/>
                    <a:ea typeface="+mn-ea"/>
                    <a:cs typeface="+mn-cs"/>
                  </a:defRPr>
                </a:pPr>
                <a:r>
                  <a:rPr lang="en-US" sz="1400" b="1" i="0" u="none" strike="noStrike" kern="1200" baseline="0" dirty="0">
                    <a:solidFill>
                      <a:sysClr val="windowText" lastClr="000000"/>
                    </a:solidFill>
                    <a:latin typeface="+mn-lt"/>
                    <a:ea typeface="+mn-ea"/>
                    <a:cs typeface="+mn-cs"/>
                  </a:rPr>
                  <a:t> Benchmark execution time in sec </a:t>
                </a:r>
                <a:endParaRPr lang="en-US" sz="1400" b="1" i="0" u="none" strike="noStrike" kern="1200" baseline="0" dirty="0" smtClean="0">
                  <a:solidFill>
                    <a:sysClr val="windowText" lastClr="000000"/>
                  </a:solidFill>
                  <a:latin typeface="+mn-lt"/>
                  <a:ea typeface="+mn-ea"/>
                  <a:cs typeface="+mn-cs"/>
                </a:endParaRPr>
              </a:p>
              <a:p>
                <a:pPr marL="0" marR="0" lvl="0" indent="0" algn="ctr" defTabSz="914400" rtl="0" eaLnBrk="1" fontAlgn="auto" latinLnBrk="0" hangingPunct="1">
                  <a:lnSpc>
                    <a:spcPct val="100000"/>
                  </a:lnSpc>
                  <a:spcBef>
                    <a:spcPts val="0"/>
                  </a:spcBef>
                  <a:spcAft>
                    <a:spcPts val="0"/>
                  </a:spcAft>
                  <a:buClrTx/>
                  <a:buSzTx/>
                  <a:buFontTx/>
                  <a:buNone/>
                  <a:tabLst/>
                  <a:defRPr lang="en-US" sz="1400" b="1">
                    <a:solidFill>
                      <a:sysClr val="windowText" lastClr="000000"/>
                    </a:solidFill>
                  </a:defRPr>
                </a:pPr>
                <a:r>
                  <a:rPr lang="en-US" sz="1400" b="1" i="0" u="none" strike="noStrike" kern="1200" baseline="0" dirty="0" smtClean="0">
                    <a:solidFill>
                      <a:sysClr val="windowText" lastClr="000000"/>
                    </a:solidFill>
                    <a:latin typeface="+mn-lt"/>
                    <a:ea typeface="+mn-ea"/>
                    <a:cs typeface="+mn-cs"/>
                  </a:rPr>
                  <a:t>(</a:t>
                </a:r>
                <a:r>
                  <a:rPr lang="en-US" sz="1400" b="1" i="0" u="none" strike="noStrike" kern="1200" baseline="0" dirty="0">
                    <a:solidFill>
                      <a:sysClr val="windowText" lastClr="000000"/>
                    </a:solidFill>
                    <a:latin typeface="+mn-lt"/>
                    <a:ea typeface="+mn-ea"/>
                    <a:cs typeface="+mn-cs"/>
                  </a:rPr>
                  <a:t>log scale)</a:t>
                </a:r>
              </a:p>
              <a:p>
                <a:pPr marL="0" marR="0" lvl="0" indent="0" algn="ctr" defTabSz="914400" rtl="0" eaLnBrk="1" fontAlgn="auto" latinLnBrk="0" hangingPunct="1">
                  <a:lnSpc>
                    <a:spcPct val="100000"/>
                  </a:lnSpc>
                  <a:spcBef>
                    <a:spcPts val="0"/>
                  </a:spcBef>
                  <a:spcAft>
                    <a:spcPts val="0"/>
                  </a:spcAft>
                  <a:buClrTx/>
                  <a:buSzTx/>
                  <a:buFontTx/>
                  <a:buNone/>
                  <a:tabLst/>
                  <a:defRPr lang="en-US" sz="1400" b="1">
                    <a:solidFill>
                      <a:sysClr val="windowText" lastClr="000000"/>
                    </a:solidFill>
                  </a:defRPr>
                </a:pPr>
                <a:endParaRPr lang="en-US" sz="1400" b="1" i="0" u="none" strike="noStrike" kern="1200" baseline="0" dirty="0">
                  <a:solidFill>
                    <a:sysClr val="windowText" lastClr="000000"/>
                  </a:solidFill>
                  <a:latin typeface="+mn-lt"/>
                  <a:ea typeface="+mn-ea"/>
                  <a:cs typeface="+mn-cs"/>
                </a:endParaRPr>
              </a:p>
            </c:rich>
          </c:tx>
          <c:layout>
            <c:manualLayout>
              <c:xMode val="edge"/>
              <c:yMode val="edge"/>
              <c:x val="9.3185767240301753E-2"/>
              <c:y val="7.864825599420891E-2"/>
            </c:manualLayout>
          </c:layout>
          <c:overlay val="0"/>
          <c:spPr>
            <a:noFill/>
            <a:ln>
              <a:noFill/>
            </a:ln>
            <a:effectLst/>
          </c:spPr>
          <c:txPr>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lang="en-US" sz="1400" b="1" i="0" u="none" strike="noStrike" kern="1200" baseline="0">
                  <a:solidFill>
                    <a:sysClr val="windowText" lastClr="000000"/>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endParaRPr lang="en-US"/>
          </a:p>
        </c:txPr>
        <c:crossAx val="1251166736"/>
        <c:crosses val="autoZero"/>
        <c:crossBetween val="between"/>
      </c:valAx>
      <c:spPr>
        <a:noFill/>
        <a:ln>
          <a:noFill/>
        </a:ln>
        <a:effectLst/>
      </c:spPr>
    </c:plotArea>
    <c:legend>
      <c:legendPos val="b"/>
      <c:layout>
        <c:manualLayout>
          <c:xMode val="edge"/>
          <c:yMode val="edge"/>
          <c:x val="0.17768095882545931"/>
          <c:y val="0.6823411463101996"/>
          <c:w val="0.78879203576115486"/>
          <c:h val="0.11500434902032594"/>
        </c:manualLayout>
      </c:layout>
      <c:overlay val="0"/>
      <c:spPr>
        <a:noFill/>
        <a:ln>
          <a:noFill/>
        </a:ln>
        <a:effectLst/>
      </c:spPr>
      <c:txPr>
        <a:bodyPr rot="0" spcFirstLastPara="1" vertOverflow="ellipsis" vert="horz" wrap="square" anchor="ctr" anchorCtr="1"/>
        <a:lstStyle/>
        <a:p>
          <a:pPr>
            <a:defRPr sz="1400" b="1"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1037004474214591"/>
          <c:y val="2.995674324590207E-2"/>
          <c:w val="0.75901587001745896"/>
          <c:h val="0.6138166574408348"/>
        </c:manualLayout>
      </c:layout>
      <c:barChart>
        <c:barDir val="col"/>
        <c:grouping val="stacked"/>
        <c:varyColors val="0"/>
        <c:ser>
          <c:idx val="0"/>
          <c:order val="0"/>
          <c:tx>
            <c:strRef>
              <c:f>'benchmark-execution'!$E$94</c:f>
              <c:strCache>
                <c:ptCount val="1"/>
                <c:pt idx="0">
                  <c:v>SWDF BGP-only</c:v>
                </c:pt>
              </c:strCache>
            </c:strRef>
          </c:tx>
          <c:spPr>
            <a:pattFill prst="pct90">
              <a:fgClr>
                <a:schemeClr val="accent4">
                  <a:lumMod val="75000"/>
                </a:schemeClr>
              </a:fgClr>
              <a:bgClr>
                <a:schemeClr val="bg1"/>
              </a:bgClr>
            </a:patt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'benchmark-execution'!$D$95:$D$101</c:f>
              <c:strCache>
                <c:ptCount val="7"/>
                <c:pt idx="0">
                  <c:v>PB</c:v>
                </c:pt>
                <c:pt idx="1">
                  <c:v>SB</c:v>
                </c:pt>
                <c:pt idx="2">
                  <c:v>Hi</c:v>
                </c:pt>
                <c:pt idx="3">
                  <c:v>Ho</c:v>
                </c:pt>
                <c:pt idx="4">
                  <c:v>TC</c:v>
                </c:pt>
                <c:pt idx="5">
                  <c:v>ME</c:v>
                </c:pt>
                <c:pt idx="6">
                  <c:v>RB</c:v>
                </c:pt>
              </c:strCache>
            </c:strRef>
          </c:cat>
          <c:val>
            <c:numRef>
              <c:f>'benchmark-execution'!$E$95:$E$101</c:f>
              <c:numCache>
                <c:formatCode>0</c:formatCode>
                <c:ptCount val="7"/>
                <c:pt idx="0">
                  <c:v>1099.1770000000001</c:v>
                </c:pt>
                <c:pt idx="1">
                  <c:v>1056.5229999999999</c:v>
                </c:pt>
                <c:pt idx="2">
                  <c:v>1053.3809999999999</c:v>
                </c:pt>
                <c:pt idx="3">
                  <c:v>1040.5550000000001</c:v>
                </c:pt>
                <c:pt idx="4">
                  <c:v>1051.421</c:v>
                </c:pt>
                <c:pt idx="5">
                  <c:v>1052.6569999999999</c:v>
                </c:pt>
                <c:pt idx="6">
                  <c:v>1052.5229999999999</c:v>
                </c:pt>
              </c:numCache>
            </c:numRef>
          </c:val>
        </c:ser>
        <c:ser>
          <c:idx val="1"/>
          <c:order val="1"/>
          <c:tx>
            <c:strRef>
              <c:f>'benchmark-execution'!$F$94</c:f>
              <c:strCache>
                <c:ptCount val="1"/>
                <c:pt idx="0">
                  <c:v>DBpedia BGP-only</c:v>
                </c:pt>
              </c:strCache>
            </c:strRef>
          </c:tx>
          <c:spPr>
            <a:pattFill prst="pct75">
              <a:fgClr>
                <a:schemeClr val="accent6"/>
              </a:fgClr>
              <a:bgClr>
                <a:schemeClr val="bg1"/>
              </a:bgClr>
            </a:patt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'benchmark-execution'!$D$95:$D$101</c:f>
              <c:strCache>
                <c:ptCount val="7"/>
                <c:pt idx="0">
                  <c:v>PB</c:v>
                </c:pt>
                <c:pt idx="1">
                  <c:v>SB</c:v>
                </c:pt>
                <c:pt idx="2">
                  <c:v>Hi</c:v>
                </c:pt>
                <c:pt idx="3">
                  <c:v>Ho</c:v>
                </c:pt>
                <c:pt idx="4">
                  <c:v>TC</c:v>
                </c:pt>
                <c:pt idx="5">
                  <c:v>ME</c:v>
                </c:pt>
                <c:pt idx="6">
                  <c:v>RB</c:v>
                </c:pt>
              </c:strCache>
            </c:strRef>
          </c:cat>
          <c:val>
            <c:numRef>
              <c:f>'benchmark-execution'!$F$95:$F$101</c:f>
              <c:numCache>
                <c:formatCode>0</c:formatCode>
                <c:ptCount val="7"/>
                <c:pt idx="0">
                  <c:v>44070.637000000002</c:v>
                </c:pt>
                <c:pt idx="1">
                  <c:v>33586.423999999999</c:v>
                </c:pt>
                <c:pt idx="2">
                  <c:v>52485.565000000002</c:v>
                </c:pt>
                <c:pt idx="3">
                  <c:v>44561.839</c:v>
                </c:pt>
                <c:pt idx="4">
                  <c:v>39058.822</c:v>
                </c:pt>
                <c:pt idx="5">
                  <c:v>15786.627</c:v>
                </c:pt>
                <c:pt idx="6">
                  <c:v>54745.728999999999</c:v>
                </c:pt>
              </c:numCache>
            </c:numRef>
          </c:val>
        </c:ser>
        <c:dLbls>
          <c:dLblPos val="ctr"/>
          <c:showLegendKey val="0"/>
          <c:showVal val="1"/>
          <c:showCatName val="0"/>
          <c:showSerName val="0"/>
          <c:showPercent val="0"/>
          <c:showBubbleSize val="0"/>
        </c:dLbls>
        <c:gapWidth val="40"/>
        <c:overlap val="100"/>
        <c:axId val="1165427328"/>
        <c:axId val="1165428960"/>
      </c:barChart>
      <c:catAx>
        <c:axId val="11654273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endParaRPr lang="en-US"/>
          </a:p>
        </c:txPr>
        <c:crossAx val="1165428960"/>
        <c:crossesAt val="1.0000000000000002E-2"/>
        <c:auto val="1"/>
        <c:lblAlgn val="ctr"/>
        <c:lblOffset val="100"/>
        <c:noMultiLvlLbl val="0"/>
      </c:catAx>
      <c:valAx>
        <c:axId val="1165428960"/>
        <c:scaling>
          <c:logBase val="10"/>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lang="en-US" sz="1400" b="1" i="0" u="none" strike="noStrike" kern="1200" baseline="0">
                    <a:solidFill>
                      <a:sysClr val="windowText" lastClr="000000"/>
                    </a:solidFill>
                    <a:latin typeface="+mn-lt"/>
                    <a:ea typeface="+mn-ea"/>
                    <a:cs typeface="+mn-cs"/>
                  </a:defRPr>
                </a:pPr>
                <a:r>
                  <a:rPr lang="en-US" sz="1400" b="1" i="0" u="none" strike="noStrike" kern="1200" baseline="0" dirty="0">
                    <a:solidFill>
                      <a:sysClr val="windowText" lastClr="000000"/>
                    </a:solidFill>
                    <a:latin typeface="+mn-lt"/>
                    <a:ea typeface="+mn-ea"/>
                    <a:cs typeface="+mn-cs"/>
                  </a:rPr>
                  <a:t> Benchmark execution time in sec </a:t>
                </a:r>
                <a:endParaRPr lang="en-US" sz="1400" b="1" i="0" u="none" strike="noStrike" kern="1200" baseline="0" dirty="0" smtClean="0">
                  <a:solidFill>
                    <a:sysClr val="windowText" lastClr="000000"/>
                  </a:solidFill>
                  <a:latin typeface="+mn-lt"/>
                  <a:ea typeface="+mn-ea"/>
                  <a:cs typeface="+mn-cs"/>
                </a:endParaRPr>
              </a:p>
              <a:p>
                <a:pPr marL="0" marR="0" lvl="0" indent="0" algn="ctr" defTabSz="914400" rtl="0" eaLnBrk="1" fontAlgn="auto" latinLnBrk="0" hangingPunct="1">
                  <a:lnSpc>
                    <a:spcPct val="100000"/>
                  </a:lnSpc>
                  <a:spcBef>
                    <a:spcPts val="0"/>
                  </a:spcBef>
                  <a:spcAft>
                    <a:spcPts val="0"/>
                  </a:spcAft>
                  <a:buClrTx/>
                  <a:buSzTx/>
                  <a:buFontTx/>
                  <a:buNone/>
                  <a:tabLst/>
                  <a:defRPr lang="en-US" sz="1400" b="1">
                    <a:solidFill>
                      <a:sysClr val="windowText" lastClr="000000"/>
                    </a:solidFill>
                  </a:defRPr>
                </a:pPr>
                <a:r>
                  <a:rPr lang="en-US" sz="1400" b="1" i="0" u="none" strike="noStrike" kern="1200" baseline="0" dirty="0" smtClean="0">
                    <a:solidFill>
                      <a:sysClr val="windowText" lastClr="000000"/>
                    </a:solidFill>
                    <a:latin typeface="+mn-lt"/>
                    <a:ea typeface="+mn-ea"/>
                    <a:cs typeface="+mn-cs"/>
                  </a:rPr>
                  <a:t>(</a:t>
                </a:r>
                <a:r>
                  <a:rPr lang="en-US" sz="1400" b="1" i="0" u="none" strike="noStrike" kern="1200" baseline="0" dirty="0">
                    <a:solidFill>
                      <a:sysClr val="windowText" lastClr="000000"/>
                    </a:solidFill>
                    <a:latin typeface="+mn-lt"/>
                    <a:ea typeface="+mn-ea"/>
                    <a:cs typeface="+mn-cs"/>
                  </a:rPr>
                  <a:t>log scale)</a:t>
                </a:r>
              </a:p>
              <a:p>
                <a:pPr marL="0" marR="0" lvl="0" indent="0" algn="ctr" defTabSz="914400" rtl="0" eaLnBrk="1" fontAlgn="auto" latinLnBrk="0" hangingPunct="1">
                  <a:lnSpc>
                    <a:spcPct val="100000"/>
                  </a:lnSpc>
                  <a:spcBef>
                    <a:spcPts val="0"/>
                  </a:spcBef>
                  <a:spcAft>
                    <a:spcPts val="0"/>
                  </a:spcAft>
                  <a:buClrTx/>
                  <a:buSzTx/>
                  <a:buFontTx/>
                  <a:buNone/>
                  <a:tabLst/>
                  <a:defRPr lang="en-US" sz="1400" b="1">
                    <a:solidFill>
                      <a:sysClr val="windowText" lastClr="000000"/>
                    </a:solidFill>
                  </a:defRPr>
                </a:pPr>
                <a:endParaRPr lang="en-US" sz="1400" b="1" i="0" u="none" strike="noStrike" kern="1200" baseline="0" dirty="0">
                  <a:solidFill>
                    <a:sysClr val="windowText" lastClr="000000"/>
                  </a:solidFill>
                  <a:latin typeface="+mn-lt"/>
                  <a:ea typeface="+mn-ea"/>
                  <a:cs typeface="+mn-cs"/>
                </a:endParaRPr>
              </a:p>
            </c:rich>
          </c:tx>
          <c:layout>
            <c:manualLayout>
              <c:xMode val="edge"/>
              <c:yMode val="edge"/>
              <c:x val="9.3185767240301753E-2"/>
              <c:y val="7.864825599420891E-2"/>
            </c:manualLayout>
          </c:layout>
          <c:overlay val="0"/>
          <c:spPr>
            <a:noFill/>
            <a:ln>
              <a:noFill/>
            </a:ln>
            <a:effectLst/>
          </c:spPr>
          <c:txPr>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lang="en-US" sz="1400" b="1" i="0" u="none" strike="noStrike" kern="1200" baseline="0">
                  <a:solidFill>
                    <a:sysClr val="windowText" lastClr="000000"/>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endParaRPr lang="en-US"/>
          </a:p>
        </c:txPr>
        <c:crossAx val="1165427328"/>
        <c:crosses val="autoZero"/>
        <c:crossBetween val="between"/>
      </c:valAx>
      <c:spPr>
        <a:noFill/>
        <a:ln>
          <a:noFill/>
        </a:ln>
        <a:effectLst/>
      </c:spPr>
    </c:plotArea>
    <c:legend>
      <c:legendPos val="b"/>
      <c:layout>
        <c:manualLayout>
          <c:xMode val="edge"/>
          <c:yMode val="edge"/>
          <c:x val="0.17768095882545931"/>
          <c:y val="0.6823411463101996"/>
          <c:w val="0.78879203576115486"/>
          <c:h val="0.11500434902032594"/>
        </c:manualLayout>
      </c:layout>
      <c:overlay val="0"/>
      <c:spPr>
        <a:noFill/>
        <a:ln>
          <a:noFill/>
        </a:ln>
        <a:effectLst/>
      </c:spPr>
      <c:txPr>
        <a:bodyPr rot="0" spcFirstLastPara="1" vertOverflow="ellipsis" vert="horz" wrap="square" anchor="ctr" anchorCtr="1"/>
        <a:lstStyle/>
        <a:p>
          <a:pPr>
            <a:defRPr sz="1400" b="1"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5039763569983969E-3"/>
          <c:y val="0.13105494390738751"/>
          <c:w val="0.96433987089603801"/>
          <c:h val="0.60860588188882236"/>
        </c:manualLayout>
      </c:layout>
      <c:barChart>
        <c:barDir val="col"/>
        <c:grouping val="clustered"/>
        <c:varyColors val="0"/>
        <c:ser>
          <c:idx val="0"/>
          <c:order val="0"/>
          <c:tx>
            <c:strRef>
              <c:f>'benchmark-execution'!$E$111</c:f>
              <c:strCache>
                <c:ptCount val="1"/>
                <c:pt idx="0">
                  <c:v>PB</c:v>
                </c:pt>
              </c:strCache>
            </c:strRef>
          </c:tx>
          <c:spPr>
            <a:pattFill prst="pct75">
              <a:fgClr>
                <a:schemeClr val="accent6">
                  <a:lumMod val="50000"/>
                </a:schemeClr>
              </a:fgClr>
              <a:bgClr>
                <a:schemeClr val="bg1"/>
              </a:bgClr>
            </a:pattFill>
            <a:ln>
              <a:noFill/>
            </a:ln>
            <a:effectLst/>
          </c:spPr>
          <c:invertIfNegative val="0"/>
          <c:dLbls>
            <c:spPr>
              <a:noFill/>
              <a:ln>
                <a:noFill/>
              </a:ln>
              <a:effectLst/>
            </c:spPr>
            <c:txPr>
              <a:bodyPr rot="-5400000" spcFirstLastPara="1" vertOverflow="clip" horzOverflow="clip" vert="horz" wrap="square" lIns="38100" tIns="19050" rIns="38100" bIns="19050" anchor="ctr" anchorCtr="0">
                <a:spAutoFit/>
              </a:bodyPr>
              <a:lstStyle/>
              <a:p>
                <a:pPr algn="ctr">
                  <a:defRPr lang="en-US" sz="24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'benchmark-execution'!$D$112:$D$115</c:f>
              <c:strCache>
                <c:ptCount val="4"/>
                <c:pt idx="0">
                  <c:v>SW-BGP</c:v>
                </c:pt>
                <c:pt idx="1">
                  <c:v>SW-FF</c:v>
                </c:pt>
                <c:pt idx="2">
                  <c:v>DB-BGP</c:v>
                </c:pt>
                <c:pt idx="3">
                  <c:v>DB-FF</c:v>
                </c:pt>
              </c:strCache>
            </c:strRef>
          </c:cat>
          <c:val>
            <c:numRef>
              <c:f>'benchmark-execution'!$E$112:$E$115</c:f>
              <c:numCache>
                <c:formatCode>0</c:formatCode>
                <c:ptCount val="4"/>
                <c:pt idx="0">
                  <c:v>11.368</c:v>
                </c:pt>
                <c:pt idx="1">
                  <c:v>7466.875</c:v>
                </c:pt>
                <c:pt idx="2">
                  <c:v>11977.991</c:v>
                </c:pt>
                <c:pt idx="3">
                  <c:v>14408.012000000001</c:v>
                </c:pt>
              </c:numCache>
            </c:numRef>
          </c:val>
        </c:ser>
        <c:ser>
          <c:idx val="1"/>
          <c:order val="1"/>
          <c:tx>
            <c:strRef>
              <c:f>'benchmark-execution'!$F$111</c:f>
              <c:strCache>
                <c:ptCount val="1"/>
                <c:pt idx="0">
                  <c:v>SB</c:v>
                </c:pt>
              </c:strCache>
            </c:strRef>
          </c:tx>
          <c:spPr>
            <a:pattFill prst="pct80">
              <a:fgClr>
                <a:schemeClr val="accent2"/>
              </a:fgClr>
              <a:bgClr>
                <a:schemeClr val="bg1"/>
              </a:bgClr>
            </a:pattFill>
            <a:ln>
              <a:noFill/>
            </a:ln>
            <a:effectLst/>
          </c:spPr>
          <c:invertIfNegative val="0"/>
          <c:dLbls>
            <c:spPr>
              <a:noFill/>
              <a:ln>
                <a:noFill/>
              </a:ln>
              <a:effectLst/>
            </c:spPr>
            <c:txPr>
              <a:bodyPr rot="-5400000" spcFirstLastPara="1" vertOverflow="clip" horzOverflow="clip" vert="horz" wrap="square" lIns="38100" tIns="19050" rIns="38100" bIns="19050" anchor="ctr" anchorCtr="0">
                <a:spAutoFit/>
              </a:bodyPr>
              <a:lstStyle/>
              <a:p>
                <a:pPr algn="ctr">
                  <a:defRPr lang="en-US" sz="24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'benchmark-execution'!$D$112:$D$115</c:f>
              <c:strCache>
                <c:ptCount val="4"/>
                <c:pt idx="0">
                  <c:v>SW-BGP</c:v>
                </c:pt>
                <c:pt idx="1">
                  <c:v>SW-FF</c:v>
                </c:pt>
                <c:pt idx="2">
                  <c:v>DB-BGP</c:v>
                </c:pt>
                <c:pt idx="3">
                  <c:v>DB-FF</c:v>
                </c:pt>
              </c:strCache>
            </c:strRef>
          </c:cat>
          <c:val>
            <c:numRef>
              <c:f>'benchmark-execution'!$F$112:$F$115</c:f>
              <c:numCache>
                <c:formatCode>0</c:formatCode>
                <c:ptCount val="4"/>
                <c:pt idx="0">
                  <c:v>20.064999999999998</c:v>
                </c:pt>
                <c:pt idx="1">
                  <c:v>5546.4209999999994</c:v>
                </c:pt>
                <c:pt idx="2">
                  <c:v>7958.1180000000004</c:v>
                </c:pt>
                <c:pt idx="3">
                  <c:v>15104.743</c:v>
                </c:pt>
              </c:numCache>
            </c:numRef>
          </c:val>
        </c:ser>
        <c:ser>
          <c:idx val="2"/>
          <c:order val="2"/>
          <c:tx>
            <c:strRef>
              <c:f>'benchmark-execution'!$G$111</c:f>
              <c:strCache>
                <c:ptCount val="1"/>
                <c:pt idx="0">
                  <c:v>Hi</c:v>
                </c:pt>
              </c:strCache>
            </c:strRef>
          </c:tx>
          <c:spPr>
            <a:pattFill prst="pct90">
              <a:fgClr>
                <a:schemeClr val="accent3"/>
              </a:fgClr>
              <a:bgClr>
                <a:schemeClr val="bg1"/>
              </a:bgClr>
            </a:pattFill>
            <a:ln>
              <a:noFill/>
            </a:ln>
            <a:effectLst/>
          </c:spPr>
          <c:invertIfNegative val="0"/>
          <c:dLbls>
            <c:spPr>
              <a:noFill/>
              <a:ln>
                <a:noFill/>
              </a:ln>
              <a:effectLst/>
            </c:spPr>
            <c:txPr>
              <a:bodyPr rot="-5400000" spcFirstLastPara="1" vertOverflow="clip" horzOverflow="clip" vert="horz" wrap="square" lIns="38100" tIns="19050" rIns="38100" bIns="19050" anchor="ctr" anchorCtr="0">
                <a:spAutoFit/>
              </a:bodyPr>
              <a:lstStyle/>
              <a:p>
                <a:pPr algn="ctr">
                  <a:defRPr lang="en-US" sz="24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'benchmark-execution'!$D$112:$D$115</c:f>
              <c:strCache>
                <c:ptCount val="4"/>
                <c:pt idx="0">
                  <c:v>SW-BGP</c:v>
                </c:pt>
                <c:pt idx="1">
                  <c:v>SW-FF</c:v>
                </c:pt>
                <c:pt idx="2">
                  <c:v>DB-BGP</c:v>
                </c:pt>
                <c:pt idx="3">
                  <c:v>DB-FF</c:v>
                </c:pt>
              </c:strCache>
            </c:strRef>
          </c:cat>
          <c:val>
            <c:numRef>
              <c:f>'benchmark-execution'!$G$112:$G$115</c:f>
              <c:numCache>
                <c:formatCode>0</c:formatCode>
                <c:ptCount val="4"/>
                <c:pt idx="0">
                  <c:v>20.823</c:v>
                </c:pt>
                <c:pt idx="1">
                  <c:v>6246.0499999999993</c:v>
                </c:pt>
                <c:pt idx="2">
                  <c:v>7892.8230000000003</c:v>
                </c:pt>
                <c:pt idx="3">
                  <c:v>14707.791000000001</c:v>
                </c:pt>
              </c:numCache>
            </c:numRef>
          </c:val>
        </c:ser>
        <c:ser>
          <c:idx val="3"/>
          <c:order val="3"/>
          <c:tx>
            <c:strRef>
              <c:f>'benchmark-execution'!$H$111</c:f>
              <c:strCache>
                <c:ptCount val="1"/>
                <c:pt idx="0">
                  <c:v>Ho</c:v>
                </c:pt>
              </c:strCache>
            </c:strRef>
          </c:tx>
          <c:spPr>
            <a:pattFill prst="dkDnDiag">
              <a:fgClr>
                <a:schemeClr val="accent4"/>
              </a:fgClr>
              <a:bgClr>
                <a:schemeClr val="bg1"/>
              </a:bgClr>
            </a:pattFill>
            <a:ln>
              <a:noFill/>
            </a:ln>
            <a:effectLst/>
          </c:spPr>
          <c:invertIfNegative val="0"/>
          <c:dLbls>
            <c:spPr>
              <a:noFill/>
              <a:ln>
                <a:noFill/>
              </a:ln>
              <a:effectLst/>
            </c:spPr>
            <c:txPr>
              <a:bodyPr rot="-5400000" spcFirstLastPara="1" vertOverflow="clip" horzOverflow="clip" vert="horz" wrap="square" lIns="38100" tIns="19050" rIns="38100" bIns="19050" anchor="ctr" anchorCtr="0">
                <a:spAutoFit/>
              </a:bodyPr>
              <a:lstStyle/>
              <a:p>
                <a:pPr algn="ctr">
                  <a:defRPr lang="en-US" sz="24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'benchmark-execution'!$D$112:$D$115</c:f>
              <c:strCache>
                <c:ptCount val="4"/>
                <c:pt idx="0">
                  <c:v>SW-BGP</c:v>
                </c:pt>
                <c:pt idx="1">
                  <c:v>SW-FF</c:v>
                </c:pt>
                <c:pt idx="2">
                  <c:v>DB-BGP</c:v>
                </c:pt>
                <c:pt idx="3">
                  <c:v>DB-FF</c:v>
                </c:pt>
              </c:strCache>
            </c:strRef>
          </c:cat>
          <c:val>
            <c:numRef>
              <c:f>'benchmark-execution'!$H$112:$H$115</c:f>
              <c:numCache>
                <c:formatCode>0</c:formatCode>
                <c:ptCount val="4"/>
                <c:pt idx="0">
                  <c:v>17.128999999999998</c:v>
                </c:pt>
                <c:pt idx="1">
                  <c:v>3367.8010000000004</c:v>
                </c:pt>
                <c:pt idx="2">
                  <c:v>8287.4560000000001</c:v>
                </c:pt>
                <c:pt idx="3">
                  <c:v>14866.288</c:v>
                </c:pt>
              </c:numCache>
            </c:numRef>
          </c:val>
        </c:ser>
        <c:ser>
          <c:idx val="4"/>
          <c:order val="4"/>
          <c:tx>
            <c:strRef>
              <c:f>'benchmark-execution'!$I$111</c:f>
              <c:strCache>
                <c:ptCount val="1"/>
                <c:pt idx="0">
                  <c:v>TC</c:v>
                </c:pt>
              </c:strCache>
            </c:strRef>
          </c:tx>
          <c:spPr>
            <a:pattFill prst="dkUpDiag">
              <a:fgClr>
                <a:schemeClr val="accent5"/>
              </a:fgClr>
              <a:bgClr>
                <a:schemeClr val="bg1"/>
              </a:bgClr>
            </a:pattFill>
            <a:ln>
              <a:noFill/>
            </a:ln>
            <a:effectLst/>
          </c:spPr>
          <c:invertIfNegative val="0"/>
          <c:dLbls>
            <c:spPr>
              <a:noFill/>
              <a:ln>
                <a:noFill/>
              </a:ln>
              <a:effectLst/>
            </c:spPr>
            <c:txPr>
              <a:bodyPr rot="-5400000" spcFirstLastPara="1" vertOverflow="clip" horzOverflow="clip" vert="horz" wrap="square" lIns="38100" tIns="19050" rIns="38100" bIns="19050" anchor="ctr" anchorCtr="0">
                <a:spAutoFit/>
              </a:bodyPr>
              <a:lstStyle/>
              <a:p>
                <a:pPr algn="ctr">
                  <a:defRPr lang="en-US" sz="24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'benchmark-execution'!$D$112:$D$115</c:f>
              <c:strCache>
                <c:ptCount val="4"/>
                <c:pt idx="0">
                  <c:v>SW-BGP</c:v>
                </c:pt>
                <c:pt idx="1">
                  <c:v>SW-FF</c:v>
                </c:pt>
                <c:pt idx="2">
                  <c:v>DB-BGP</c:v>
                </c:pt>
                <c:pt idx="3">
                  <c:v>DB-FF</c:v>
                </c:pt>
              </c:strCache>
            </c:strRef>
          </c:cat>
          <c:val>
            <c:numRef>
              <c:f>'benchmark-execution'!$I$112:$I$115</c:f>
              <c:numCache>
                <c:formatCode>0</c:formatCode>
                <c:ptCount val="4"/>
                <c:pt idx="0">
                  <c:v>20.055</c:v>
                </c:pt>
                <c:pt idx="1">
                  <c:v>5531.4969999999994</c:v>
                </c:pt>
                <c:pt idx="2">
                  <c:v>8596.634</c:v>
                </c:pt>
                <c:pt idx="3">
                  <c:v>14591.718999999999</c:v>
                </c:pt>
              </c:numCache>
            </c:numRef>
          </c:val>
        </c:ser>
        <c:ser>
          <c:idx val="5"/>
          <c:order val="5"/>
          <c:tx>
            <c:strRef>
              <c:f>'benchmark-execution'!$J$111</c:f>
              <c:strCache>
                <c:ptCount val="1"/>
                <c:pt idx="0">
                  <c:v>ME</c:v>
                </c:pt>
              </c:strCache>
            </c:strRef>
          </c:tx>
          <c:spPr>
            <a:pattFill prst="trellis">
              <a:fgClr>
                <a:schemeClr val="accent6"/>
              </a:fgClr>
              <a:bgClr>
                <a:schemeClr val="bg1"/>
              </a:bgClr>
            </a:pattFill>
            <a:ln>
              <a:noFill/>
            </a:ln>
            <a:effectLst/>
          </c:spPr>
          <c:invertIfNegative val="0"/>
          <c:dLbls>
            <c:spPr>
              <a:noFill/>
              <a:ln>
                <a:noFill/>
              </a:ln>
              <a:effectLst/>
            </c:spPr>
            <c:txPr>
              <a:bodyPr rot="-5400000" spcFirstLastPara="1" vertOverflow="clip" horzOverflow="clip" vert="horz" wrap="square" lIns="38100" tIns="19050" rIns="38100" bIns="19050" anchor="ctr" anchorCtr="0">
                <a:spAutoFit/>
              </a:bodyPr>
              <a:lstStyle/>
              <a:p>
                <a:pPr algn="ctr">
                  <a:defRPr lang="en-US" sz="24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'benchmark-execution'!$D$112:$D$115</c:f>
              <c:strCache>
                <c:ptCount val="4"/>
                <c:pt idx="0">
                  <c:v>SW-BGP</c:v>
                </c:pt>
                <c:pt idx="1">
                  <c:v>SW-FF</c:v>
                </c:pt>
                <c:pt idx="2">
                  <c:v>DB-BGP</c:v>
                </c:pt>
                <c:pt idx="3">
                  <c:v>DB-FF</c:v>
                </c:pt>
              </c:strCache>
            </c:strRef>
          </c:cat>
          <c:val>
            <c:numRef>
              <c:f>'benchmark-execution'!$J$112:$J$115</c:f>
              <c:numCache>
                <c:formatCode>0</c:formatCode>
                <c:ptCount val="4"/>
                <c:pt idx="0">
                  <c:v>20.413</c:v>
                </c:pt>
                <c:pt idx="1">
                  <c:v>6597.5529999999999</c:v>
                </c:pt>
                <c:pt idx="2">
                  <c:v>8686.2750000000015</c:v>
                </c:pt>
                <c:pt idx="3">
                  <c:v>15178.582</c:v>
                </c:pt>
              </c:numCache>
            </c:numRef>
          </c:val>
        </c:ser>
        <c:ser>
          <c:idx val="6"/>
          <c:order val="6"/>
          <c:tx>
            <c:strRef>
              <c:f>'benchmark-execution'!$K$111</c:f>
              <c:strCache>
                <c:ptCount val="1"/>
                <c:pt idx="0">
                  <c:v>RB</c:v>
                </c:pt>
              </c:strCache>
            </c:strRef>
          </c:tx>
          <c:spPr>
            <a:pattFill prst="pct50">
              <a:fgClr>
                <a:schemeClr val="accent5">
                  <a:lumMod val="75000"/>
                </a:schemeClr>
              </a:fgClr>
              <a:bgClr>
                <a:schemeClr val="bg1"/>
              </a:bgClr>
            </a:pattFill>
            <a:ln>
              <a:noFill/>
            </a:ln>
            <a:effectLst/>
          </c:spPr>
          <c:invertIfNegative val="0"/>
          <c:dLbls>
            <c:spPr>
              <a:noFill/>
              <a:ln>
                <a:noFill/>
              </a:ln>
              <a:effectLst/>
            </c:spPr>
            <c:txPr>
              <a:bodyPr rot="-5400000" spcFirstLastPara="1" vertOverflow="clip" horzOverflow="clip" vert="horz" wrap="square" lIns="38100" tIns="19050" rIns="38100" bIns="19050" anchor="ctr" anchorCtr="0">
                <a:spAutoFit/>
              </a:bodyPr>
              <a:lstStyle/>
              <a:p>
                <a:pPr algn="ctr">
                  <a:defRPr lang="en-US" sz="24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'benchmark-execution'!$D$112:$D$115</c:f>
              <c:strCache>
                <c:ptCount val="4"/>
                <c:pt idx="0">
                  <c:v>SW-BGP</c:v>
                </c:pt>
                <c:pt idx="1">
                  <c:v>SW-FF</c:v>
                </c:pt>
                <c:pt idx="2">
                  <c:v>DB-BGP</c:v>
                </c:pt>
                <c:pt idx="3">
                  <c:v>DB-FF</c:v>
                </c:pt>
              </c:strCache>
            </c:strRef>
          </c:cat>
          <c:val>
            <c:numRef>
              <c:f>'benchmark-execution'!$K$112:$K$115</c:f>
              <c:numCache>
                <c:formatCode>0</c:formatCode>
                <c:ptCount val="4"/>
                <c:pt idx="0">
                  <c:v>20.133000000000003</c:v>
                </c:pt>
                <c:pt idx="1">
                  <c:v>4782.3249999999998</c:v>
                </c:pt>
                <c:pt idx="2">
                  <c:v>7958.5019999999995</c:v>
                </c:pt>
                <c:pt idx="3">
                  <c:v>14201.633</c:v>
                </c:pt>
              </c:numCache>
            </c:numRef>
          </c:val>
        </c:ser>
        <c:ser>
          <c:idx val="7"/>
          <c:order val="7"/>
          <c:tx>
            <c:strRef>
              <c:f>'benchmark-execution'!$L$111</c:f>
              <c:strCache>
                <c:ptCount val="1"/>
                <c:pt idx="0">
                  <c:v>MCL</c:v>
                </c:pt>
              </c:strCache>
            </c:strRef>
          </c:tx>
          <c:spPr>
            <a:pattFill prst="pct70">
              <a:fgClr>
                <a:schemeClr val="accent2">
                  <a:lumMod val="50000"/>
                </a:schemeClr>
              </a:fgClr>
              <a:bgClr>
                <a:schemeClr val="bg1"/>
              </a:bgClr>
            </a:pattFill>
            <a:ln>
              <a:noFill/>
            </a:ln>
            <a:effectLst/>
          </c:spPr>
          <c:invertIfNegative val="0"/>
          <c:dLbls>
            <c:spPr>
              <a:noFill/>
              <a:ln>
                <a:noFill/>
              </a:ln>
              <a:effectLst/>
            </c:spPr>
            <c:txPr>
              <a:bodyPr rot="-5400000" spcFirstLastPara="1" vertOverflow="clip" horzOverflow="clip" vert="horz" wrap="square" lIns="38100" tIns="19050" rIns="38100" bIns="19050" anchor="ctr" anchorCtr="0">
                <a:spAutoFit/>
              </a:bodyPr>
              <a:lstStyle/>
              <a:p>
                <a:pPr algn="ctr">
                  <a:defRPr lang="en-US" sz="24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'benchmark-execution'!$D$112:$D$115</c:f>
              <c:strCache>
                <c:ptCount val="4"/>
                <c:pt idx="0">
                  <c:v>SW-BGP</c:v>
                </c:pt>
                <c:pt idx="1">
                  <c:v>SW-FF</c:v>
                </c:pt>
                <c:pt idx="2">
                  <c:v>DB-BGP</c:v>
                </c:pt>
                <c:pt idx="3">
                  <c:v>DB-FF</c:v>
                </c:pt>
              </c:strCache>
            </c:strRef>
          </c:cat>
          <c:val>
            <c:numRef>
              <c:f>'benchmark-execution'!$L$112:$L$115</c:f>
              <c:numCache>
                <c:formatCode>0</c:formatCode>
                <c:ptCount val="4"/>
                <c:pt idx="0">
                  <c:v>15.954000000000001</c:v>
                </c:pt>
                <c:pt idx="1">
                  <c:v>4902.9849999999997</c:v>
                </c:pt>
                <c:pt idx="2">
                  <c:v>8839.1659999999993</c:v>
                </c:pt>
                <c:pt idx="3">
                  <c:v>14218.47</c:v>
                </c:pt>
              </c:numCache>
            </c:numRef>
          </c:val>
        </c:ser>
        <c:ser>
          <c:idx val="8"/>
          <c:order val="8"/>
          <c:tx>
            <c:strRef>
              <c:f>'benchmark-execution'!$M$111</c:f>
              <c:strCache>
                <c:ptCount val="1"/>
                <c:pt idx="0">
                  <c:v>PCo</c:v>
                </c:pt>
              </c:strCache>
            </c:strRef>
          </c:tx>
          <c:spPr>
            <a:pattFill prst="lgCheck">
              <a:fgClr>
                <a:schemeClr val="accent4">
                  <a:lumMod val="50000"/>
                </a:schemeClr>
              </a:fgClr>
              <a:bgClr>
                <a:schemeClr val="bg1"/>
              </a:bgClr>
            </a:pattFill>
            <a:ln>
              <a:noFill/>
            </a:ln>
            <a:effectLst/>
          </c:spPr>
          <c:invertIfNegative val="0"/>
          <c:dLbls>
            <c:spPr>
              <a:noFill/>
              <a:ln>
                <a:noFill/>
              </a:ln>
              <a:effectLst/>
            </c:spPr>
            <c:txPr>
              <a:bodyPr rot="-5400000" spcFirstLastPara="1" vertOverflow="clip" horzOverflow="clip" vert="horz" wrap="square" lIns="38100" tIns="19050" rIns="38100" bIns="19050" anchor="ctr" anchorCtr="0">
                <a:spAutoFit/>
              </a:bodyPr>
              <a:lstStyle/>
              <a:p>
                <a:pPr algn="ctr">
                  <a:defRPr lang="en-US" sz="24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'benchmark-execution'!$D$112:$D$115</c:f>
              <c:strCache>
                <c:ptCount val="4"/>
                <c:pt idx="0">
                  <c:v>SW-BGP</c:v>
                </c:pt>
                <c:pt idx="1">
                  <c:v>SW-FF</c:v>
                </c:pt>
                <c:pt idx="2">
                  <c:v>DB-BGP</c:v>
                </c:pt>
                <c:pt idx="3">
                  <c:v>DB-FF</c:v>
                </c:pt>
              </c:strCache>
            </c:strRef>
          </c:cat>
          <c:val>
            <c:numRef>
              <c:f>'benchmark-execution'!$M$112:$M$115</c:f>
              <c:numCache>
                <c:formatCode>0.0</c:formatCode>
                <c:ptCount val="4"/>
                <c:pt idx="0">
                  <c:v>3.1379999999999999</c:v>
                </c:pt>
                <c:pt idx="1">
                  <c:v>244.71</c:v>
                </c:pt>
                <c:pt idx="2" formatCode="0">
                  <c:v>10947.03</c:v>
                </c:pt>
                <c:pt idx="3" formatCode="0">
                  <c:v>15203.023999999999</c:v>
                </c:pt>
              </c:numCache>
            </c:numRef>
          </c:val>
        </c:ser>
        <c:dLbls>
          <c:dLblPos val="outEnd"/>
          <c:showLegendKey val="0"/>
          <c:showVal val="1"/>
          <c:showCatName val="0"/>
          <c:showSerName val="0"/>
          <c:showPercent val="0"/>
          <c:showBubbleSize val="0"/>
        </c:dLbls>
        <c:gapWidth val="20"/>
        <c:overlap val="-20"/>
        <c:axId val="1165432768"/>
        <c:axId val="1165433312"/>
      </c:barChart>
      <c:catAx>
        <c:axId val="11654327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3200" b="1" i="0" u="none" strike="noStrike" kern="1200" cap="all" spc="120" normalizeH="0" baseline="0">
                <a:solidFill>
                  <a:sysClr val="windowText" lastClr="000000"/>
                </a:solidFill>
                <a:latin typeface="+mn-lt"/>
                <a:ea typeface="+mn-ea"/>
                <a:cs typeface="+mn-cs"/>
              </a:defRPr>
            </a:pPr>
            <a:endParaRPr lang="en-US"/>
          </a:p>
        </c:txPr>
        <c:crossAx val="1165433312"/>
        <c:crosses val="autoZero"/>
        <c:auto val="1"/>
        <c:lblAlgn val="ctr"/>
        <c:lblOffset val="100"/>
        <c:noMultiLvlLbl val="0"/>
      </c:catAx>
      <c:valAx>
        <c:axId val="1165433312"/>
        <c:scaling>
          <c:orientation val="minMax"/>
        </c:scaling>
        <c:delete val="1"/>
        <c:axPos val="l"/>
        <c:numFmt formatCode="0" sourceLinked="1"/>
        <c:majorTickMark val="none"/>
        <c:minorTickMark val="none"/>
        <c:tickLblPos val="nextTo"/>
        <c:crossAx val="1165432768"/>
        <c:crosses val="autoZero"/>
        <c:crossBetween val="between"/>
      </c:valAx>
      <c:spPr>
        <a:noFill/>
        <a:ln>
          <a:noFill/>
        </a:ln>
        <a:effectLst/>
      </c:spPr>
    </c:plotArea>
    <c:legend>
      <c:legendPos val="t"/>
      <c:layout>
        <c:manualLayout>
          <c:xMode val="edge"/>
          <c:yMode val="edge"/>
          <c:x val="2.8542852371251974E-2"/>
          <c:y val="0.90390681791057725"/>
          <c:w val="0.94742980414744482"/>
          <c:h val="9.4668997981967901E-2"/>
        </c:manualLayout>
      </c:layout>
      <c:overlay val="0"/>
      <c:spPr>
        <a:noFill/>
        <a:ln>
          <a:noFill/>
        </a:ln>
        <a:effectLst/>
      </c:spPr>
      <c:txPr>
        <a:bodyPr rot="0" spcFirstLastPara="1" vertOverflow="ellipsis" vert="horz" wrap="square" anchor="ctr" anchorCtr="1"/>
        <a:lstStyle/>
        <a:p>
          <a:pPr>
            <a:defRPr sz="4000" b="1"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5039763569983969E-3"/>
          <c:y val="0.13105494390738751"/>
          <c:w val="0.96433987089603801"/>
          <c:h val="0.60860588188882236"/>
        </c:manualLayout>
      </c:layout>
      <c:barChart>
        <c:barDir val="col"/>
        <c:grouping val="clustered"/>
        <c:varyColors val="0"/>
        <c:ser>
          <c:idx val="0"/>
          <c:order val="0"/>
          <c:tx>
            <c:strRef>
              <c:f>'benchmark-execution'!$E$120</c:f>
              <c:strCache>
                <c:ptCount val="1"/>
                <c:pt idx="0">
                  <c:v>PB</c:v>
                </c:pt>
              </c:strCache>
            </c:strRef>
          </c:tx>
          <c:spPr>
            <a:pattFill prst="pct75">
              <a:fgClr>
                <a:schemeClr val="accent6">
                  <a:lumMod val="50000"/>
                </a:schemeClr>
              </a:fgClr>
              <a:bgClr>
                <a:schemeClr val="bg1"/>
              </a:bgClr>
            </a:pattFill>
            <a:ln>
              <a:noFill/>
            </a:ln>
            <a:effectLst/>
          </c:spPr>
          <c:invertIfNegative val="0"/>
          <c:dLbls>
            <c:spPr>
              <a:noFill/>
              <a:ln>
                <a:noFill/>
              </a:ln>
              <a:effectLst/>
            </c:spPr>
            <c:txPr>
              <a:bodyPr rot="-5400000" spcFirstLastPara="1" vertOverflow="clip" horzOverflow="clip" vert="horz" wrap="square" lIns="38100" tIns="19050" rIns="38100" bIns="19050" anchor="ctr" anchorCtr="0">
                <a:spAutoFit/>
              </a:bodyPr>
              <a:lstStyle/>
              <a:p>
                <a:pPr algn="ctr">
                  <a:defRPr lang="en-US" sz="24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'benchmark-execution'!$D$121:$D$124</c:f>
              <c:strCache>
                <c:ptCount val="4"/>
                <c:pt idx="0">
                  <c:v>SW-BGP</c:v>
                </c:pt>
                <c:pt idx="1">
                  <c:v>SW-FF</c:v>
                </c:pt>
                <c:pt idx="2">
                  <c:v>DB-BGP</c:v>
                </c:pt>
                <c:pt idx="3">
                  <c:v>DB-FF</c:v>
                </c:pt>
              </c:strCache>
            </c:strRef>
          </c:cat>
          <c:val>
            <c:numRef>
              <c:f>'benchmark-execution'!$E$121:$E$124</c:f>
              <c:numCache>
                <c:formatCode>General</c:formatCode>
                <c:ptCount val="4"/>
                <c:pt idx="0" formatCode="0">
                  <c:v>81.781000000000006</c:v>
                </c:pt>
                <c:pt idx="1">
                  <c:v>3814.9360000000001</c:v>
                </c:pt>
                <c:pt idx="2">
                  <c:v>7314.5619999999999</c:v>
                </c:pt>
                <c:pt idx="3">
                  <c:v>16016.656000000001</c:v>
                </c:pt>
              </c:numCache>
            </c:numRef>
          </c:val>
        </c:ser>
        <c:ser>
          <c:idx val="1"/>
          <c:order val="1"/>
          <c:tx>
            <c:strRef>
              <c:f>'benchmark-execution'!$F$120</c:f>
              <c:strCache>
                <c:ptCount val="1"/>
                <c:pt idx="0">
                  <c:v>SB</c:v>
                </c:pt>
              </c:strCache>
            </c:strRef>
          </c:tx>
          <c:spPr>
            <a:pattFill prst="pct80">
              <a:fgClr>
                <a:schemeClr val="accent2"/>
              </a:fgClr>
              <a:bgClr>
                <a:schemeClr val="bg1"/>
              </a:bgClr>
            </a:pattFill>
            <a:ln>
              <a:noFill/>
            </a:ln>
            <a:effectLst/>
          </c:spPr>
          <c:invertIfNegative val="0"/>
          <c:dLbls>
            <c:spPr>
              <a:noFill/>
              <a:ln>
                <a:noFill/>
              </a:ln>
              <a:effectLst/>
            </c:spPr>
            <c:txPr>
              <a:bodyPr rot="-5400000" spcFirstLastPara="1" vertOverflow="clip" horzOverflow="clip" vert="horz" wrap="square" lIns="38100" tIns="19050" rIns="38100" bIns="19050" anchor="ctr" anchorCtr="0">
                <a:spAutoFit/>
              </a:bodyPr>
              <a:lstStyle/>
              <a:p>
                <a:pPr algn="ctr">
                  <a:defRPr lang="en-US" sz="24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'benchmark-execution'!$D$121:$D$124</c:f>
              <c:strCache>
                <c:ptCount val="4"/>
                <c:pt idx="0">
                  <c:v>SW-BGP</c:v>
                </c:pt>
                <c:pt idx="1">
                  <c:v>SW-FF</c:v>
                </c:pt>
                <c:pt idx="2">
                  <c:v>DB-BGP</c:v>
                </c:pt>
                <c:pt idx="3">
                  <c:v>DB-FF</c:v>
                </c:pt>
              </c:strCache>
            </c:strRef>
          </c:cat>
          <c:val>
            <c:numRef>
              <c:f>'benchmark-execution'!$F$121:$F$124</c:f>
              <c:numCache>
                <c:formatCode>General</c:formatCode>
                <c:ptCount val="4"/>
                <c:pt idx="0" formatCode="0">
                  <c:v>50.68</c:v>
                </c:pt>
                <c:pt idx="1">
                  <c:v>4019.6200000000003</c:v>
                </c:pt>
                <c:pt idx="2">
                  <c:v>8412.3529999999992</c:v>
                </c:pt>
                <c:pt idx="3">
                  <c:v>17529.861000000001</c:v>
                </c:pt>
              </c:numCache>
            </c:numRef>
          </c:val>
        </c:ser>
        <c:ser>
          <c:idx val="2"/>
          <c:order val="2"/>
          <c:tx>
            <c:strRef>
              <c:f>'benchmark-execution'!$G$120</c:f>
              <c:strCache>
                <c:ptCount val="1"/>
                <c:pt idx="0">
                  <c:v>Hi</c:v>
                </c:pt>
              </c:strCache>
            </c:strRef>
          </c:tx>
          <c:spPr>
            <a:pattFill prst="pct90">
              <a:fgClr>
                <a:schemeClr val="accent3"/>
              </a:fgClr>
              <a:bgClr>
                <a:schemeClr val="bg1"/>
              </a:bgClr>
            </a:pattFill>
            <a:ln>
              <a:noFill/>
            </a:ln>
            <a:effectLst/>
          </c:spPr>
          <c:invertIfNegative val="0"/>
          <c:dLbls>
            <c:spPr>
              <a:noFill/>
              <a:ln>
                <a:noFill/>
              </a:ln>
              <a:effectLst/>
            </c:spPr>
            <c:txPr>
              <a:bodyPr rot="-5400000" spcFirstLastPara="1" vertOverflow="clip" horzOverflow="clip" vert="horz" wrap="square" lIns="38100" tIns="19050" rIns="38100" bIns="19050" anchor="ctr" anchorCtr="0">
                <a:spAutoFit/>
              </a:bodyPr>
              <a:lstStyle/>
              <a:p>
                <a:pPr algn="ctr">
                  <a:defRPr lang="en-US" sz="24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'benchmark-execution'!$D$121:$D$124</c:f>
              <c:strCache>
                <c:ptCount val="4"/>
                <c:pt idx="0">
                  <c:v>SW-BGP</c:v>
                </c:pt>
                <c:pt idx="1">
                  <c:v>SW-FF</c:v>
                </c:pt>
                <c:pt idx="2">
                  <c:v>DB-BGP</c:v>
                </c:pt>
                <c:pt idx="3">
                  <c:v>DB-FF</c:v>
                </c:pt>
              </c:strCache>
            </c:strRef>
          </c:cat>
          <c:val>
            <c:numRef>
              <c:f>'benchmark-execution'!$G$121:$G$124</c:f>
              <c:numCache>
                <c:formatCode>General</c:formatCode>
                <c:ptCount val="4"/>
                <c:pt idx="0" formatCode="0">
                  <c:v>50.899000000000001</c:v>
                </c:pt>
                <c:pt idx="1">
                  <c:v>4040.8850000000002</c:v>
                </c:pt>
                <c:pt idx="2">
                  <c:v>7834.9040000000005</c:v>
                </c:pt>
                <c:pt idx="3">
                  <c:v>16994.88</c:v>
                </c:pt>
              </c:numCache>
            </c:numRef>
          </c:val>
        </c:ser>
        <c:ser>
          <c:idx val="3"/>
          <c:order val="3"/>
          <c:tx>
            <c:strRef>
              <c:f>'benchmark-execution'!$H$120</c:f>
              <c:strCache>
                <c:ptCount val="1"/>
                <c:pt idx="0">
                  <c:v>Ho</c:v>
                </c:pt>
              </c:strCache>
            </c:strRef>
          </c:tx>
          <c:spPr>
            <a:pattFill prst="dkDnDiag">
              <a:fgClr>
                <a:schemeClr val="accent4"/>
              </a:fgClr>
              <a:bgClr>
                <a:schemeClr val="bg1"/>
              </a:bgClr>
            </a:pattFill>
            <a:ln>
              <a:noFill/>
            </a:ln>
            <a:effectLst/>
          </c:spPr>
          <c:invertIfNegative val="0"/>
          <c:dLbls>
            <c:spPr>
              <a:noFill/>
              <a:ln>
                <a:noFill/>
              </a:ln>
              <a:effectLst/>
            </c:spPr>
            <c:txPr>
              <a:bodyPr rot="-5400000" spcFirstLastPara="1" vertOverflow="clip" horzOverflow="clip" vert="horz" wrap="square" lIns="38100" tIns="19050" rIns="38100" bIns="19050" anchor="ctr" anchorCtr="0">
                <a:spAutoFit/>
              </a:bodyPr>
              <a:lstStyle/>
              <a:p>
                <a:pPr algn="ctr">
                  <a:defRPr lang="en-US" sz="24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'benchmark-execution'!$D$121:$D$124</c:f>
              <c:strCache>
                <c:ptCount val="4"/>
                <c:pt idx="0">
                  <c:v>SW-BGP</c:v>
                </c:pt>
                <c:pt idx="1">
                  <c:v>SW-FF</c:v>
                </c:pt>
                <c:pt idx="2">
                  <c:v>DB-BGP</c:v>
                </c:pt>
                <c:pt idx="3">
                  <c:v>DB-FF</c:v>
                </c:pt>
              </c:strCache>
            </c:strRef>
          </c:cat>
          <c:val>
            <c:numRef>
              <c:f>'benchmark-execution'!$H$121:$H$124</c:f>
              <c:numCache>
                <c:formatCode>General</c:formatCode>
                <c:ptCount val="4"/>
                <c:pt idx="0" formatCode="0">
                  <c:v>147.71899999999999</c:v>
                </c:pt>
                <c:pt idx="1">
                  <c:v>3683.5330000000004</c:v>
                </c:pt>
                <c:pt idx="2">
                  <c:v>8411.3019999999997</c:v>
                </c:pt>
                <c:pt idx="3">
                  <c:v>18903.3</c:v>
                </c:pt>
              </c:numCache>
            </c:numRef>
          </c:val>
        </c:ser>
        <c:ser>
          <c:idx val="4"/>
          <c:order val="4"/>
          <c:tx>
            <c:strRef>
              <c:f>'benchmark-execution'!$I$120</c:f>
              <c:strCache>
                <c:ptCount val="1"/>
                <c:pt idx="0">
                  <c:v>TC</c:v>
                </c:pt>
              </c:strCache>
            </c:strRef>
          </c:tx>
          <c:spPr>
            <a:pattFill prst="dkUpDiag">
              <a:fgClr>
                <a:schemeClr val="accent5"/>
              </a:fgClr>
              <a:bgClr>
                <a:schemeClr val="bg1"/>
              </a:bgClr>
            </a:pattFill>
            <a:ln>
              <a:noFill/>
            </a:ln>
            <a:effectLst/>
          </c:spPr>
          <c:invertIfNegative val="0"/>
          <c:dLbls>
            <c:spPr>
              <a:noFill/>
              <a:ln>
                <a:noFill/>
              </a:ln>
              <a:effectLst/>
            </c:spPr>
            <c:txPr>
              <a:bodyPr rot="-5400000" spcFirstLastPara="1" vertOverflow="clip" horzOverflow="clip" vert="horz" wrap="square" lIns="38100" tIns="19050" rIns="38100" bIns="19050" anchor="ctr" anchorCtr="0">
                <a:spAutoFit/>
              </a:bodyPr>
              <a:lstStyle/>
              <a:p>
                <a:pPr algn="ctr">
                  <a:defRPr lang="en-US" sz="24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'benchmark-execution'!$D$121:$D$124</c:f>
              <c:strCache>
                <c:ptCount val="4"/>
                <c:pt idx="0">
                  <c:v>SW-BGP</c:v>
                </c:pt>
                <c:pt idx="1">
                  <c:v>SW-FF</c:v>
                </c:pt>
                <c:pt idx="2">
                  <c:v>DB-BGP</c:v>
                </c:pt>
                <c:pt idx="3">
                  <c:v>DB-FF</c:v>
                </c:pt>
              </c:strCache>
            </c:strRef>
          </c:cat>
          <c:val>
            <c:numRef>
              <c:f>'benchmark-execution'!$I$121:$I$124</c:f>
              <c:numCache>
                <c:formatCode>General</c:formatCode>
                <c:ptCount val="4"/>
                <c:pt idx="0" formatCode="0">
                  <c:v>48.836999999999996</c:v>
                </c:pt>
                <c:pt idx="1">
                  <c:v>4029.2959999999998</c:v>
                </c:pt>
                <c:pt idx="2">
                  <c:v>7778.9429999999993</c:v>
                </c:pt>
                <c:pt idx="3">
                  <c:v>16915.692999999999</c:v>
                </c:pt>
              </c:numCache>
            </c:numRef>
          </c:val>
        </c:ser>
        <c:ser>
          <c:idx val="5"/>
          <c:order val="5"/>
          <c:tx>
            <c:strRef>
              <c:f>'benchmark-execution'!$J$120</c:f>
              <c:strCache>
                <c:ptCount val="1"/>
                <c:pt idx="0">
                  <c:v>ME</c:v>
                </c:pt>
              </c:strCache>
            </c:strRef>
          </c:tx>
          <c:spPr>
            <a:pattFill prst="trellis">
              <a:fgClr>
                <a:schemeClr val="accent6"/>
              </a:fgClr>
              <a:bgClr>
                <a:schemeClr val="bg1"/>
              </a:bgClr>
            </a:pattFill>
            <a:ln>
              <a:noFill/>
            </a:ln>
            <a:effectLst/>
          </c:spPr>
          <c:invertIfNegative val="0"/>
          <c:dLbls>
            <c:spPr>
              <a:noFill/>
              <a:ln>
                <a:noFill/>
              </a:ln>
              <a:effectLst/>
            </c:spPr>
            <c:txPr>
              <a:bodyPr rot="-5400000" spcFirstLastPara="1" vertOverflow="clip" horzOverflow="clip" vert="horz" wrap="square" lIns="38100" tIns="19050" rIns="38100" bIns="19050" anchor="ctr" anchorCtr="0">
                <a:spAutoFit/>
              </a:bodyPr>
              <a:lstStyle/>
              <a:p>
                <a:pPr algn="ctr">
                  <a:defRPr lang="en-US" sz="24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'benchmark-execution'!$D$121:$D$124</c:f>
              <c:strCache>
                <c:ptCount val="4"/>
                <c:pt idx="0">
                  <c:v>SW-BGP</c:v>
                </c:pt>
                <c:pt idx="1">
                  <c:v>SW-FF</c:v>
                </c:pt>
                <c:pt idx="2">
                  <c:v>DB-BGP</c:v>
                </c:pt>
                <c:pt idx="3">
                  <c:v>DB-FF</c:v>
                </c:pt>
              </c:strCache>
            </c:strRef>
          </c:cat>
          <c:val>
            <c:numRef>
              <c:f>'benchmark-execution'!$J$121:$J$124</c:f>
              <c:numCache>
                <c:formatCode>General</c:formatCode>
                <c:ptCount val="4"/>
                <c:pt idx="0" formatCode="0">
                  <c:v>49.903999999999996</c:v>
                </c:pt>
                <c:pt idx="1">
                  <c:v>4393.6970000000001</c:v>
                </c:pt>
                <c:pt idx="2">
                  <c:v>8473.42</c:v>
                </c:pt>
                <c:pt idx="3">
                  <c:v>17890.521000000001</c:v>
                </c:pt>
              </c:numCache>
            </c:numRef>
          </c:val>
        </c:ser>
        <c:ser>
          <c:idx val="6"/>
          <c:order val="6"/>
          <c:tx>
            <c:strRef>
              <c:f>'benchmark-execution'!$K$120</c:f>
              <c:strCache>
                <c:ptCount val="1"/>
                <c:pt idx="0">
                  <c:v>RB</c:v>
                </c:pt>
              </c:strCache>
            </c:strRef>
          </c:tx>
          <c:spPr>
            <a:pattFill prst="pct50">
              <a:fgClr>
                <a:schemeClr val="accent5">
                  <a:lumMod val="75000"/>
                </a:schemeClr>
              </a:fgClr>
              <a:bgClr>
                <a:schemeClr val="bg1"/>
              </a:bgClr>
            </a:pattFill>
            <a:ln>
              <a:noFill/>
            </a:ln>
            <a:effectLst/>
          </c:spPr>
          <c:invertIfNegative val="0"/>
          <c:dLbls>
            <c:spPr>
              <a:noFill/>
              <a:ln>
                <a:noFill/>
              </a:ln>
              <a:effectLst/>
            </c:spPr>
            <c:txPr>
              <a:bodyPr rot="-5400000" spcFirstLastPara="1" vertOverflow="clip" horzOverflow="clip" vert="horz" wrap="square" lIns="38100" tIns="19050" rIns="38100" bIns="19050" anchor="ctr" anchorCtr="0">
                <a:spAutoFit/>
              </a:bodyPr>
              <a:lstStyle/>
              <a:p>
                <a:pPr algn="ctr">
                  <a:defRPr lang="en-US" sz="24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'benchmark-execution'!$D$121:$D$124</c:f>
              <c:strCache>
                <c:ptCount val="4"/>
                <c:pt idx="0">
                  <c:v>SW-BGP</c:v>
                </c:pt>
                <c:pt idx="1">
                  <c:v>SW-FF</c:v>
                </c:pt>
                <c:pt idx="2">
                  <c:v>DB-BGP</c:v>
                </c:pt>
                <c:pt idx="3">
                  <c:v>DB-FF</c:v>
                </c:pt>
              </c:strCache>
            </c:strRef>
          </c:cat>
          <c:val>
            <c:numRef>
              <c:f>'benchmark-execution'!$K$121:$K$124</c:f>
              <c:numCache>
                <c:formatCode>General</c:formatCode>
                <c:ptCount val="4"/>
                <c:pt idx="0" formatCode="0">
                  <c:v>51.536999999999999</c:v>
                </c:pt>
                <c:pt idx="1">
                  <c:v>4235.7449999999999</c:v>
                </c:pt>
                <c:pt idx="2">
                  <c:v>8389.6409999999996</c:v>
                </c:pt>
                <c:pt idx="3">
                  <c:v>17306.95</c:v>
                </c:pt>
              </c:numCache>
            </c:numRef>
          </c:val>
        </c:ser>
        <c:ser>
          <c:idx val="7"/>
          <c:order val="7"/>
          <c:tx>
            <c:strRef>
              <c:f>'benchmark-execution'!$L$120</c:f>
              <c:strCache>
                <c:ptCount val="1"/>
                <c:pt idx="0">
                  <c:v>MCL</c:v>
                </c:pt>
              </c:strCache>
            </c:strRef>
          </c:tx>
          <c:spPr>
            <a:pattFill prst="pct70">
              <a:fgClr>
                <a:schemeClr val="accent2">
                  <a:lumMod val="50000"/>
                </a:schemeClr>
              </a:fgClr>
              <a:bgClr>
                <a:schemeClr val="bg1"/>
              </a:bgClr>
            </a:pattFill>
            <a:ln>
              <a:noFill/>
            </a:ln>
            <a:effectLst/>
          </c:spPr>
          <c:invertIfNegative val="0"/>
          <c:dLbls>
            <c:spPr>
              <a:noFill/>
              <a:ln>
                <a:noFill/>
              </a:ln>
              <a:effectLst/>
            </c:spPr>
            <c:txPr>
              <a:bodyPr rot="-5400000" spcFirstLastPara="1" vertOverflow="clip" horzOverflow="clip" vert="horz" wrap="square" lIns="38100" tIns="19050" rIns="38100" bIns="19050" anchor="ctr" anchorCtr="0">
                <a:spAutoFit/>
              </a:bodyPr>
              <a:lstStyle/>
              <a:p>
                <a:pPr algn="ctr">
                  <a:defRPr lang="en-US" sz="24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'benchmark-execution'!$D$121:$D$124</c:f>
              <c:strCache>
                <c:ptCount val="4"/>
                <c:pt idx="0">
                  <c:v>SW-BGP</c:v>
                </c:pt>
                <c:pt idx="1">
                  <c:v>SW-FF</c:v>
                </c:pt>
                <c:pt idx="2">
                  <c:v>DB-BGP</c:v>
                </c:pt>
                <c:pt idx="3">
                  <c:v>DB-FF</c:v>
                </c:pt>
              </c:strCache>
            </c:strRef>
          </c:cat>
          <c:val>
            <c:numRef>
              <c:f>'benchmark-execution'!$L$121:$L$124</c:f>
              <c:numCache>
                <c:formatCode>General</c:formatCode>
                <c:ptCount val="4"/>
                <c:pt idx="0" formatCode="0">
                  <c:v>174.404</c:v>
                </c:pt>
                <c:pt idx="1">
                  <c:v>2420.9290000000001</c:v>
                </c:pt>
                <c:pt idx="2">
                  <c:v>6722.7870000000003</c:v>
                </c:pt>
                <c:pt idx="3">
                  <c:v>12748.358</c:v>
                </c:pt>
              </c:numCache>
            </c:numRef>
          </c:val>
        </c:ser>
        <c:ser>
          <c:idx val="8"/>
          <c:order val="8"/>
          <c:tx>
            <c:strRef>
              <c:f>'benchmark-execution'!$M$120</c:f>
              <c:strCache>
                <c:ptCount val="1"/>
                <c:pt idx="0">
                  <c:v>PCo</c:v>
                </c:pt>
              </c:strCache>
            </c:strRef>
          </c:tx>
          <c:spPr>
            <a:pattFill prst="lgCheck">
              <a:fgClr>
                <a:schemeClr val="accent4">
                  <a:lumMod val="50000"/>
                </a:schemeClr>
              </a:fgClr>
              <a:bgClr>
                <a:schemeClr val="bg1"/>
              </a:bgClr>
            </a:pattFill>
            <a:ln>
              <a:noFill/>
            </a:ln>
            <a:effectLst/>
          </c:spPr>
          <c:invertIfNegative val="0"/>
          <c:dLbls>
            <c:spPr>
              <a:noFill/>
              <a:ln>
                <a:noFill/>
              </a:ln>
              <a:effectLst/>
            </c:spPr>
            <c:txPr>
              <a:bodyPr rot="-5400000" spcFirstLastPara="1" vertOverflow="clip" horzOverflow="clip" vert="horz" wrap="square" lIns="38100" tIns="19050" rIns="38100" bIns="19050" anchor="ctr" anchorCtr="0">
                <a:spAutoFit/>
              </a:bodyPr>
              <a:lstStyle/>
              <a:p>
                <a:pPr algn="ctr">
                  <a:defRPr lang="en-US" sz="24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'benchmark-execution'!$D$121:$D$124</c:f>
              <c:strCache>
                <c:ptCount val="4"/>
                <c:pt idx="0">
                  <c:v>SW-BGP</c:v>
                </c:pt>
                <c:pt idx="1">
                  <c:v>SW-FF</c:v>
                </c:pt>
                <c:pt idx="2">
                  <c:v>DB-BGP</c:v>
                </c:pt>
                <c:pt idx="3">
                  <c:v>DB-FF</c:v>
                </c:pt>
              </c:strCache>
            </c:strRef>
          </c:cat>
          <c:val>
            <c:numRef>
              <c:f>'benchmark-execution'!$M$121:$M$124</c:f>
              <c:numCache>
                <c:formatCode>0.0</c:formatCode>
                <c:ptCount val="4"/>
                <c:pt idx="0">
                  <c:v>115.25</c:v>
                </c:pt>
                <c:pt idx="1">
                  <c:v>491.78899999999999</c:v>
                </c:pt>
                <c:pt idx="2">
                  <c:v>6527.8429999999998</c:v>
                </c:pt>
                <c:pt idx="3">
                  <c:v>11354.628000000001</c:v>
                </c:pt>
              </c:numCache>
            </c:numRef>
          </c:val>
        </c:ser>
        <c:dLbls>
          <c:dLblPos val="outEnd"/>
          <c:showLegendKey val="0"/>
          <c:showVal val="1"/>
          <c:showCatName val="0"/>
          <c:showSerName val="0"/>
          <c:showPercent val="0"/>
          <c:showBubbleSize val="0"/>
        </c:dLbls>
        <c:gapWidth val="20"/>
        <c:overlap val="-20"/>
        <c:axId val="1165424064"/>
        <c:axId val="1165433856"/>
      </c:barChart>
      <c:catAx>
        <c:axId val="116542406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3200" b="1" i="0" u="none" strike="noStrike" kern="1200" cap="all" spc="120" normalizeH="0" baseline="0">
                <a:solidFill>
                  <a:sysClr val="windowText" lastClr="000000"/>
                </a:solidFill>
                <a:latin typeface="+mn-lt"/>
                <a:ea typeface="+mn-ea"/>
                <a:cs typeface="+mn-cs"/>
              </a:defRPr>
            </a:pPr>
            <a:endParaRPr lang="en-US"/>
          </a:p>
        </c:txPr>
        <c:crossAx val="1165433856"/>
        <c:crosses val="autoZero"/>
        <c:auto val="1"/>
        <c:lblAlgn val="ctr"/>
        <c:lblOffset val="100"/>
        <c:noMultiLvlLbl val="0"/>
      </c:catAx>
      <c:valAx>
        <c:axId val="1165433856"/>
        <c:scaling>
          <c:orientation val="minMax"/>
        </c:scaling>
        <c:delete val="1"/>
        <c:axPos val="l"/>
        <c:numFmt formatCode="0" sourceLinked="1"/>
        <c:majorTickMark val="none"/>
        <c:minorTickMark val="none"/>
        <c:tickLblPos val="nextTo"/>
        <c:crossAx val="1165424064"/>
        <c:crosses val="autoZero"/>
        <c:crossBetween val="between"/>
      </c:valAx>
      <c:spPr>
        <a:noFill/>
        <a:ln>
          <a:noFill/>
        </a:ln>
        <a:effectLst/>
      </c:spPr>
    </c:plotArea>
    <c:legend>
      <c:legendPos val="t"/>
      <c:layout>
        <c:manualLayout>
          <c:xMode val="edge"/>
          <c:yMode val="edge"/>
          <c:x val="2.8542852371251974E-2"/>
          <c:y val="0.90390681791057725"/>
          <c:w val="0.94742980414744482"/>
          <c:h val="9.4668997981967901E-2"/>
        </c:manualLayout>
      </c:layout>
      <c:overlay val="0"/>
      <c:spPr>
        <a:noFill/>
        <a:ln>
          <a:noFill/>
        </a:ln>
        <a:effectLst/>
      </c:spPr>
      <c:txPr>
        <a:bodyPr rot="0" spcFirstLastPara="1" vertOverflow="ellipsis" vert="horz" wrap="square" anchor="ctr" anchorCtr="1"/>
        <a:lstStyle/>
        <a:p>
          <a:pPr>
            <a:defRPr sz="4000" b="1"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8.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18.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19.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1.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2.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3.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4.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5.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6.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7.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8.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9.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31.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32.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33.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34.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35.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36.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37.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38.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3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2.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4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4.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45.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46.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47.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4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9.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8.xml"/><Relationship Id="rId3" Type="http://schemas.openxmlformats.org/officeDocument/2006/relationships/chart" Target="../charts/chart13.xml"/><Relationship Id="rId7" Type="http://schemas.openxmlformats.org/officeDocument/2006/relationships/chart" Target="../charts/chart17.xml"/><Relationship Id="rId2" Type="http://schemas.openxmlformats.org/officeDocument/2006/relationships/chart" Target="../charts/chart12.xml"/><Relationship Id="rId1" Type="http://schemas.openxmlformats.org/officeDocument/2006/relationships/chart" Target="../charts/chart11.xml"/><Relationship Id="rId6" Type="http://schemas.openxmlformats.org/officeDocument/2006/relationships/chart" Target="../charts/chart16.xml"/><Relationship Id="rId5" Type="http://schemas.openxmlformats.org/officeDocument/2006/relationships/chart" Target="../charts/chart15.xml"/><Relationship Id="rId4" Type="http://schemas.openxmlformats.org/officeDocument/2006/relationships/chart" Target="../charts/chart14.xml"/><Relationship Id="rId9" Type="http://schemas.openxmlformats.org/officeDocument/2006/relationships/chart" Target="../charts/chart19.xml"/></Relationships>
</file>

<file path=xl/drawings/_rels/drawing3.xml.rels><?xml version="1.0" encoding="UTF-8" standalone="yes"?>
<Relationships xmlns="http://schemas.openxmlformats.org/package/2006/relationships"><Relationship Id="rId8" Type="http://schemas.openxmlformats.org/officeDocument/2006/relationships/chart" Target="../charts/chart27.xml"/><Relationship Id="rId3" Type="http://schemas.openxmlformats.org/officeDocument/2006/relationships/chart" Target="../charts/chart22.xml"/><Relationship Id="rId7" Type="http://schemas.openxmlformats.org/officeDocument/2006/relationships/chart" Target="../charts/chart26.xml"/><Relationship Id="rId2" Type="http://schemas.openxmlformats.org/officeDocument/2006/relationships/chart" Target="../charts/chart21.xml"/><Relationship Id="rId1" Type="http://schemas.openxmlformats.org/officeDocument/2006/relationships/chart" Target="../charts/chart20.xml"/><Relationship Id="rId6" Type="http://schemas.openxmlformats.org/officeDocument/2006/relationships/chart" Target="../charts/chart25.xml"/><Relationship Id="rId5" Type="http://schemas.openxmlformats.org/officeDocument/2006/relationships/chart" Target="../charts/chart24.xml"/><Relationship Id="rId4" Type="http://schemas.openxmlformats.org/officeDocument/2006/relationships/chart" Target="../charts/chart23.xml"/></Relationships>
</file>

<file path=xl/drawings/_rels/drawing4.xml.rels><?xml version="1.0" encoding="UTF-8" standalone="yes"?>
<Relationships xmlns="http://schemas.openxmlformats.org/package/2006/relationships"><Relationship Id="rId8" Type="http://schemas.openxmlformats.org/officeDocument/2006/relationships/chart" Target="../charts/chart35.xml"/><Relationship Id="rId3" Type="http://schemas.openxmlformats.org/officeDocument/2006/relationships/chart" Target="../charts/chart30.xml"/><Relationship Id="rId7" Type="http://schemas.openxmlformats.org/officeDocument/2006/relationships/chart" Target="../charts/chart34.xml"/><Relationship Id="rId2" Type="http://schemas.openxmlformats.org/officeDocument/2006/relationships/chart" Target="../charts/chart29.xml"/><Relationship Id="rId1" Type="http://schemas.openxmlformats.org/officeDocument/2006/relationships/chart" Target="../charts/chart28.xml"/><Relationship Id="rId6" Type="http://schemas.openxmlformats.org/officeDocument/2006/relationships/chart" Target="../charts/chart33.xml"/><Relationship Id="rId5" Type="http://schemas.openxmlformats.org/officeDocument/2006/relationships/chart" Target="../charts/chart32.xml"/><Relationship Id="rId4" Type="http://schemas.openxmlformats.org/officeDocument/2006/relationships/chart" Target="../charts/chart31.xml"/></Relationships>
</file>

<file path=xl/drawings/_rels/drawing5.xml.rels><?xml version="1.0" encoding="UTF-8" standalone="yes"?>
<Relationships xmlns="http://schemas.openxmlformats.org/package/2006/relationships"><Relationship Id="rId3" Type="http://schemas.openxmlformats.org/officeDocument/2006/relationships/chart" Target="../charts/chart38.xml"/><Relationship Id="rId2" Type="http://schemas.openxmlformats.org/officeDocument/2006/relationships/chart" Target="../charts/chart37.xml"/><Relationship Id="rId1" Type="http://schemas.openxmlformats.org/officeDocument/2006/relationships/chart" Target="../charts/chart36.xml"/></Relationships>
</file>

<file path=xl/drawings/_rels/drawing6.xml.rels><?xml version="1.0" encoding="UTF-8" standalone="yes"?>
<Relationships xmlns="http://schemas.openxmlformats.org/package/2006/relationships"><Relationship Id="rId3" Type="http://schemas.openxmlformats.org/officeDocument/2006/relationships/chart" Target="../charts/chart41.xml"/><Relationship Id="rId2" Type="http://schemas.openxmlformats.org/officeDocument/2006/relationships/chart" Target="../charts/chart40.xml"/><Relationship Id="rId1" Type="http://schemas.openxmlformats.org/officeDocument/2006/relationships/chart" Target="../charts/chart39.xml"/><Relationship Id="rId4" Type="http://schemas.openxmlformats.org/officeDocument/2006/relationships/chart" Target="../charts/chart42.xml"/></Relationships>
</file>

<file path=xl/drawings/_rels/drawing7.xml.rels><?xml version="1.0" encoding="UTF-8" standalone="yes"?>
<Relationships xmlns="http://schemas.openxmlformats.org/package/2006/relationships"><Relationship Id="rId3" Type="http://schemas.openxmlformats.org/officeDocument/2006/relationships/chart" Target="../charts/chart45.xml"/><Relationship Id="rId2" Type="http://schemas.openxmlformats.org/officeDocument/2006/relationships/chart" Target="../charts/chart44.xml"/><Relationship Id="rId1" Type="http://schemas.openxmlformats.org/officeDocument/2006/relationships/chart" Target="../charts/chart43.xml"/><Relationship Id="rId5" Type="http://schemas.openxmlformats.org/officeDocument/2006/relationships/chart" Target="../charts/chart47.xml"/><Relationship Id="rId4" Type="http://schemas.openxmlformats.org/officeDocument/2006/relationships/chart" Target="../charts/chart46.xml"/></Relationships>
</file>

<file path=xl/drawings/_rels/drawing8.xml.rels><?xml version="1.0" encoding="UTF-8" standalone="yes"?>
<Relationships xmlns="http://schemas.openxmlformats.org/package/2006/relationships"><Relationship Id="rId1" Type="http://schemas.openxmlformats.org/officeDocument/2006/relationships/chart" Target="../charts/chart48.xml"/></Relationships>
</file>

<file path=xl/drawings/_rels/drawing9.xml.rels><?xml version="1.0" encoding="UTF-8" standalone="yes"?>
<Relationships xmlns="http://schemas.openxmlformats.org/package/2006/relationships"><Relationship Id="rId2" Type="http://schemas.openxmlformats.org/officeDocument/2006/relationships/chart" Target="../charts/chart50.xml"/><Relationship Id="rId1" Type="http://schemas.openxmlformats.org/officeDocument/2006/relationships/chart" Target="../charts/chart49.xml"/></Relationships>
</file>

<file path=xl/drawings/drawing1.xml><?xml version="1.0" encoding="utf-8"?>
<xdr:wsDr xmlns:xdr="http://schemas.openxmlformats.org/drawingml/2006/spreadsheetDrawing" xmlns:a="http://schemas.openxmlformats.org/drawingml/2006/main">
  <xdr:twoCellAnchor>
    <xdr:from>
      <xdr:col>11</xdr:col>
      <xdr:colOff>236241</xdr:colOff>
      <xdr:row>41</xdr:row>
      <xdr:rowOff>177431</xdr:rowOff>
    </xdr:from>
    <xdr:to>
      <xdr:col>19</xdr:col>
      <xdr:colOff>501723</xdr:colOff>
      <xdr:row>59</xdr:row>
      <xdr:rowOff>41533</xdr:rowOff>
    </xdr:to>
    <xdr:graphicFrame macro="">
      <xdr:nvGraphicFramePr>
        <xdr:cNvPr id="17" name="Chart 1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108974</xdr:colOff>
      <xdr:row>56</xdr:row>
      <xdr:rowOff>163052</xdr:rowOff>
    </xdr:from>
    <xdr:to>
      <xdr:col>18</xdr:col>
      <xdr:colOff>473449</xdr:colOff>
      <xdr:row>72</xdr:row>
      <xdr:rowOff>99552</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0</xdr:colOff>
      <xdr:row>74</xdr:row>
      <xdr:rowOff>0</xdr:rowOff>
    </xdr:from>
    <xdr:to>
      <xdr:col>18</xdr:col>
      <xdr:colOff>283359</xdr:colOff>
      <xdr:row>89</xdr:row>
      <xdr:rowOff>19311</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0</xdr:colOff>
      <xdr:row>90</xdr:row>
      <xdr:rowOff>0</xdr:rowOff>
    </xdr:from>
    <xdr:to>
      <xdr:col>15</xdr:col>
      <xdr:colOff>372259</xdr:colOff>
      <xdr:row>106</xdr:row>
      <xdr:rowOff>0</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21</xdr:col>
      <xdr:colOff>230444</xdr:colOff>
      <xdr:row>53</xdr:row>
      <xdr:rowOff>153629</xdr:rowOff>
    </xdr:from>
    <xdr:to>
      <xdr:col>37</xdr:col>
      <xdr:colOff>151786</xdr:colOff>
      <xdr:row>75</xdr:row>
      <xdr:rowOff>113276</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21</xdr:col>
      <xdr:colOff>0</xdr:colOff>
      <xdr:row>80</xdr:row>
      <xdr:rowOff>0</xdr:rowOff>
    </xdr:from>
    <xdr:to>
      <xdr:col>36</xdr:col>
      <xdr:colOff>535858</xdr:colOff>
      <xdr:row>101</xdr:row>
      <xdr:rowOff>67187</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17</xdr:col>
      <xdr:colOff>0</xdr:colOff>
      <xdr:row>105</xdr:row>
      <xdr:rowOff>0</xdr:rowOff>
    </xdr:from>
    <xdr:to>
      <xdr:col>32</xdr:col>
      <xdr:colOff>535858</xdr:colOff>
      <xdr:row>106</xdr:row>
      <xdr:rowOff>0</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13</xdr:col>
      <xdr:colOff>20486</xdr:colOff>
      <xdr:row>90</xdr:row>
      <xdr:rowOff>36663</xdr:rowOff>
    </xdr:from>
    <xdr:to>
      <xdr:col>32</xdr:col>
      <xdr:colOff>434474</xdr:colOff>
      <xdr:row>115</xdr:row>
      <xdr:rowOff>20485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12</xdr:col>
      <xdr:colOff>956272</xdr:colOff>
      <xdr:row>114</xdr:row>
      <xdr:rowOff>0</xdr:rowOff>
    </xdr:from>
    <xdr:to>
      <xdr:col>31</xdr:col>
      <xdr:colOff>116974</xdr:colOff>
      <xdr:row>135</xdr:row>
      <xdr:rowOff>83553</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13</xdr:col>
      <xdr:colOff>18436</xdr:colOff>
      <xdr:row>130</xdr:row>
      <xdr:rowOff>174112</xdr:rowOff>
    </xdr:from>
    <xdr:to>
      <xdr:col>25</xdr:col>
      <xdr:colOff>434474</xdr:colOff>
      <xdr:row>147</xdr:row>
      <xdr:rowOff>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9</xdr:col>
      <xdr:colOff>603727</xdr:colOff>
      <xdr:row>2</xdr:row>
      <xdr:rowOff>0</xdr:rowOff>
    </xdr:from>
    <xdr:to>
      <xdr:col>17</xdr:col>
      <xdr:colOff>260959</xdr:colOff>
      <xdr:row>17</xdr:row>
      <xdr:rowOff>169623</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472556</xdr:colOff>
      <xdr:row>29</xdr:row>
      <xdr:rowOff>68147</xdr:rowOff>
    </xdr:from>
    <xdr:to>
      <xdr:col>11</xdr:col>
      <xdr:colOff>465812</xdr:colOff>
      <xdr:row>45</xdr:row>
      <xdr:rowOff>55800</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0</xdr:colOff>
      <xdr:row>20</xdr:row>
      <xdr:rowOff>0</xdr:rowOff>
    </xdr:from>
    <xdr:to>
      <xdr:col>17</xdr:col>
      <xdr:colOff>270485</xdr:colOff>
      <xdr:row>35</xdr:row>
      <xdr:rowOff>169624</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0</xdr:colOff>
      <xdr:row>3</xdr:row>
      <xdr:rowOff>0</xdr:rowOff>
    </xdr:from>
    <xdr:to>
      <xdr:col>34</xdr:col>
      <xdr:colOff>38100</xdr:colOff>
      <xdr:row>24</xdr:row>
      <xdr:rowOff>165894</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18</xdr:col>
      <xdr:colOff>0</xdr:colOff>
      <xdr:row>26</xdr:row>
      <xdr:rowOff>0</xdr:rowOff>
    </xdr:from>
    <xdr:to>
      <xdr:col>34</xdr:col>
      <xdr:colOff>38100</xdr:colOff>
      <xdr:row>48</xdr:row>
      <xdr:rowOff>46832</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25</xdr:col>
      <xdr:colOff>437030</xdr:colOff>
      <xdr:row>42</xdr:row>
      <xdr:rowOff>156883</xdr:rowOff>
    </xdr:from>
    <xdr:to>
      <xdr:col>41</xdr:col>
      <xdr:colOff>475129</xdr:colOff>
      <xdr:row>65</xdr:row>
      <xdr:rowOff>121771</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10</xdr:col>
      <xdr:colOff>201704</xdr:colOff>
      <xdr:row>35</xdr:row>
      <xdr:rowOff>1</xdr:rowOff>
    </xdr:from>
    <xdr:to>
      <xdr:col>25</xdr:col>
      <xdr:colOff>324971</xdr:colOff>
      <xdr:row>57</xdr:row>
      <xdr:rowOff>100853</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10</xdr:col>
      <xdr:colOff>593911</xdr:colOff>
      <xdr:row>56</xdr:row>
      <xdr:rowOff>168088</xdr:rowOff>
    </xdr:from>
    <xdr:to>
      <xdr:col>26</xdr:col>
      <xdr:colOff>112060</xdr:colOff>
      <xdr:row>80</xdr:row>
      <xdr:rowOff>22411</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10</xdr:col>
      <xdr:colOff>112058</xdr:colOff>
      <xdr:row>76</xdr:row>
      <xdr:rowOff>67236</xdr:rowOff>
    </xdr:from>
    <xdr:to>
      <xdr:col>25</xdr:col>
      <xdr:colOff>44825</xdr:colOff>
      <xdr:row>97</xdr:row>
      <xdr:rowOff>134470</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14</xdr:col>
      <xdr:colOff>31226</xdr:colOff>
      <xdr:row>1</xdr:row>
      <xdr:rowOff>133779</xdr:rowOff>
    </xdr:from>
    <xdr:to>
      <xdr:col>21</xdr:col>
      <xdr:colOff>363790</xdr:colOff>
      <xdr:row>6</xdr:row>
      <xdr:rowOff>162703</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118755</xdr:colOff>
      <xdr:row>7</xdr:row>
      <xdr:rowOff>7724</xdr:rowOff>
    </xdr:from>
    <xdr:to>
      <xdr:col>21</xdr:col>
      <xdr:colOff>410917</xdr:colOff>
      <xdr:row>11</xdr:row>
      <xdr:rowOff>181049</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179518</xdr:colOff>
      <xdr:row>14</xdr:row>
      <xdr:rowOff>2416</xdr:rowOff>
    </xdr:from>
    <xdr:to>
      <xdr:col>21</xdr:col>
      <xdr:colOff>477117</xdr:colOff>
      <xdr:row>18</xdr:row>
      <xdr:rowOff>159087</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124866</xdr:colOff>
      <xdr:row>18</xdr:row>
      <xdr:rowOff>181580</xdr:rowOff>
    </xdr:from>
    <xdr:to>
      <xdr:col>21</xdr:col>
      <xdr:colOff>441897</xdr:colOff>
      <xdr:row>22</xdr:row>
      <xdr:rowOff>182595</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88975</xdr:colOff>
      <xdr:row>23</xdr:row>
      <xdr:rowOff>170094</xdr:rowOff>
    </xdr:from>
    <xdr:to>
      <xdr:col>21</xdr:col>
      <xdr:colOff>359541</xdr:colOff>
      <xdr:row>28</xdr:row>
      <xdr:rowOff>99140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588566</xdr:colOff>
      <xdr:row>29</xdr:row>
      <xdr:rowOff>125544</xdr:rowOff>
    </xdr:from>
    <xdr:to>
      <xdr:col>21</xdr:col>
      <xdr:colOff>294409</xdr:colOff>
      <xdr:row>33</xdr:row>
      <xdr:rowOff>123611</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24</xdr:col>
      <xdr:colOff>126749</xdr:colOff>
      <xdr:row>4</xdr:row>
      <xdr:rowOff>169417</xdr:rowOff>
    </xdr:from>
    <xdr:to>
      <xdr:col>31</xdr:col>
      <xdr:colOff>458058</xdr:colOff>
      <xdr:row>10</xdr:row>
      <xdr:rowOff>37529</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24</xdr:col>
      <xdr:colOff>107566</xdr:colOff>
      <xdr:row>13</xdr:row>
      <xdr:rowOff>164218</xdr:rowOff>
    </xdr:from>
    <xdr:to>
      <xdr:col>31</xdr:col>
      <xdr:colOff>405164</xdr:colOff>
      <xdr:row>18</xdr:row>
      <xdr:rowOff>127628</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13</xdr:col>
      <xdr:colOff>27715</xdr:colOff>
      <xdr:row>1</xdr:row>
      <xdr:rowOff>39164</xdr:rowOff>
    </xdr:from>
    <xdr:to>
      <xdr:col>21</xdr:col>
      <xdr:colOff>127983</xdr:colOff>
      <xdr:row>9</xdr:row>
      <xdr:rowOff>11895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391112</xdr:colOff>
      <xdr:row>6</xdr:row>
      <xdr:rowOff>132534</xdr:rowOff>
    </xdr:from>
    <xdr:to>
      <xdr:col>20</xdr:col>
      <xdr:colOff>475933</xdr:colOff>
      <xdr:row>15</xdr:row>
      <xdr:rowOff>30291</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288345</xdr:colOff>
      <xdr:row>13</xdr:row>
      <xdr:rowOff>186597</xdr:rowOff>
    </xdr:from>
    <xdr:to>
      <xdr:col>18</xdr:col>
      <xdr:colOff>431873</xdr:colOff>
      <xdr:row>19</xdr:row>
      <xdr:rowOff>67597</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287300</xdr:colOff>
      <xdr:row>19</xdr:row>
      <xdr:rowOff>84499</xdr:rowOff>
    </xdr:from>
    <xdr:to>
      <xdr:col>18</xdr:col>
      <xdr:colOff>430828</xdr:colOff>
      <xdr:row>24</xdr:row>
      <xdr:rowOff>178057</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281725</xdr:colOff>
      <xdr:row>25</xdr:row>
      <xdr:rowOff>187816</xdr:rowOff>
    </xdr:from>
    <xdr:to>
      <xdr:col>18</xdr:col>
      <xdr:colOff>431752</xdr:colOff>
      <xdr:row>29</xdr:row>
      <xdr:rowOff>165178</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93908</xdr:colOff>
      <xdr:row>31</xdr:row>
      <xdr:rowOff>0</xdr:rowOff>
    </xdr:from>
    <xdr:to>
      <xdr:col>18</xdr:col>
      <xdr:colOff>243935</xdr:colOff>
      <xdr:row>34</xdr:row>
      <xdr:rowOff>178593</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23</xdr:col>
      <xdr:colOff>576364</xdr:colOff>
      <xdr:row>0</xdr:row>
      <xdr:rowOff>149722</xdr:rowOff>
    </xdr:from>
    <xdr:to>
      <xdr:col>33</xdr:col>
      <xdr:colOff>445165</xdr:colOff>
      <xdr:row>14</xdr:row>
      <xdr:rowOff>137815</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23</xdr:col>
      <xdr:colOff>596620</xdr:colOff>
      <xdr:row>17</xdr:row>
      <xdr:rowOff>115137</xdr:rowOff>
    </xdr:from>
    <xdr:to>
      <xdr:col>29</xdr:col>
      <xdr:colOff>136584</xdr:colOff>
      <xdr:row>23</xdr:row>
      <xdr:rowOff>19164</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14</xdr:col>
      <xdr:colOff>185963</xdr:colOff>
      <xdr:row>92</xdr:row>
      <xdr:rowOff>124733</xdr:rowOff>
    </xdr:from>
    <xdr:to>
      <xdr:col>25</xdr:col>
      <xdr:colOff>68034</xdr:colOff>
      <xdr:row>111</xdr:row>
      <xdr:rowOff>129948</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452436</xdr:colOff>
      <xdr:row>81</xdr:row>
      <xdr:rowOff>28802</xdr:rowOff>
    </xdr:from>
    <xdr:to>
      <xdr:col>18</xdr:col>
      <xdr:colOff>125865</xdr:colOff>
      <xdr:row>95</xdr:row>
      <xdr:rowOff>50572</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32</xdr:col>
      <xdr:colOff>521606</xdr:colOff>
      <xdr:row>74</xdr:row>
      <xdr:rowOff>11339</xdr:rowOff>
    </xdr:from>
    <xdr:to>
      <xdr:col>39</xdr:col>
      <xdr:colOff>274410</xdr:colOff>
      <xdr:row>88</xdr:row>
      <xdr:rowOff>10431</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7</xdr:col>
      <xdr:colOff>1042629</xdr:colOff>
      <xdr:row>18</xdr:row>
      <xdr:rowOff>98118</xdr:rowOff>
    </xdr:from>
    <xdr:to>
      <xdr:col>14</xdr:col>
      <xdr:colOff>544871</xdr:colOff>
      <xdr:row>32</xdr:row>
      <xdr:rowOff>65753</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1188065</xdr:colOff>
      <xdr:row>0</xdr:row>
      <xdr:rowOff>0</xdr:rowOff>
    </xdr:from>
    <xdr:to>
      <xdr:col>17</xdr:col>
      <xdr:colOff>521013</xdr:colOff>
      <xdr:row>20</xdr:row>
      <xdr:rowOff>182202</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0</xdr:colOff>
      <xdr:row>36</xdr:row>
      <xdr:rowOff>0</xdr:rowOff>
    </xdr:from>
    <xdr:to>
      <xdr:col>11</xdr:col>
      <xdr:colOff>408351</xdr:colOff>
      <xdr:row>56</xdr:row>
      <xdr:rowOff>8089</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102420</xdr:colOff>
      <xdr:row>63</xdr:row>
      <xdr:rowOff>143388</xdr:rowOff>
    </xdr:from>
    <xdr:to>
      <xdr:col>28</xdr:col>
      <xdr:colOff>427233</xdr:colOff>
      <xdr:row>78</xdr:row>
      <xdr:rowOff>149150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14</xdr:col>
      <xdr:colOff>493222</xdr:colOff>
      <xdr:row>2</xdr:row>
      <xdr:rowOff>76555</xdr:rowOff>
    </xdr:from>
    <xdr:to>
      <xdr:col>27</xdr:col>
      <xdr:colOff>522598</xdr:colOff>
      <xdr:row>18</xdr:row>
      <xdr:rowOff>135338</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1435926</xdr:colOff>
      <xdr:row>19</xdr:row>
      <xdr:rowOff>8936</xdr:rowOff>
    </xdr:from>
    <xdr:to>
      <xdr:col>23</xdr:col>
      <xdr:colOff>561453</xdr:colOff>
      <xdr:row>48</xdr:row>
      <xdr:rowOff>46582</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345285</xdr:colOff>
      <xdr:row>0</xdr:row>
      <xdr:rowOff>69021</xdr:rowOff>
    </xdr:from>
    <xdr:to>
      <xdr:col>21</xdr:col>
      <xdr:colOff>571155</xdr:colOff>
      <xdr:row>22</xdr:row>
      <xdr:rowOff>148396</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0</xdr:colOff>
      <xdr:row>32</xdr:row>
      <xdr:rowOff>0</xdr:rowOff>
    </xdr:from>
    <xdr:to>
      <xdr:col>5</xdr:col>
      <xdr:colOff>142875</xdr:colOff>
      <xdr:row>45</xdr:row>
      <xdr:rowOff>171450</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0</xdr:colOff>
      <xdr:row>26</xdr:row>
      <xdr:rowOff>0</xdr:rowOff>
    </xdr:from>
    <xdr:to>
      <xdr:col>10</xdr:col>
      <xdr:colOff>1416843</xdr:colOff>
      <xdr:row>39</xdr:row>
      <xdr:rowOff>147638</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16</xdr:col>
      <xdr:colOff>57150</xdr:colOff>
      <xdr:row>6</xdr:row>
      <xdr:rowOff>152401</xdr:rowOff>
    </xdr:from>
    <xdr:to>
      <xdr:col>26</xdr:col>
      <xdr:colOff>57151</xdr:colOff>
      <xdr:row>22</xdr:row>
      <xdr:rowOff>38100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10</xdr:col>
      <xdr:colOff>276226</xdr:colOff>
      <xdr:row>28</xdr:row>
      <xdr:rowOff>0</xdr:rowOff>
    </xdr:from>
    <xdr:to>
      <xdr:col>23</xdr:col>
      <xdr:colOff>219075</xdr:colOff>
      <xdr:row>49</xdr:row>
      <xdr:rowOff>14287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513129</xdr:colOff>
      <xdr:row>6</xdr:row>
      <xdr:rowOff>175358</xdr:rowOff>
    </xdr:from>
    <xdr:to>
      <xdr:col>17</xdr:col>
      <xdr:colOff>71316</xdr:colOff>
      <xdr:row>20</xdr:row>
      <xdr:rowOff>99158</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3.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4.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5.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6.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43"/>
  <sheetViews>
    <sheetView topLeftCell="C1" zoomScale="90" zoomScaleNormal="90" zoomScaleSheetLayoutView="130" workbookViewId="0">
      <selection activeCell="E17" sqref="E17"/>
    </sheetView>
  </sheetViews>
  <sheetFormatPr defaultRowHeight="15" x14ac:dyDescent="0.25"/>
  <cols>
    <col min="1" max="1" width="17.5703125" customWidth="1"/>
    <col min="5" max="5" width="15.28515625" customWidth="1"/>
    <col min="6" max="6" width="14.42578125" customWidth="1"/>
    <col min="7" max="7" width="15" customWidth="1"/>
    <col min="8" max="8" width="14.42578125" customWidth="1"/>
    <col min="9" max="9" width="14.28515625" customWidth="1"/>
    <col min="10" max="10" width="13.5703125" customWidth="1"/>
    <col min="11" max="11" width="16.28515625" customWidth="1"/>
    <col min="12" max="12" width="22.85546875" customWidth="1"/>
    <col min="13" max="13" width="10.85546875" customWidth="1"/>
    <col min="14" max="14" width="16.7109375" customWidth="1"/>
    <col min="15" max="16" width="5.28515625" customWidth="1"/>
    <col min="17" max="17" width="6.140625" customWidth="1"/>
    <col min="18" max="18" width="4.7109375" customWidth="1"/>
    <col min="19" max="19" width="6.42578125" customWidth="1"/>
    <col min="20" max="20" width="5.85546875" customWidth="1"/>
    <col min="21" max="21" width="6.140625" customWidth="1"/>
    <col min="22" max="22" width="4.7109375" customWidth="1"/>
    <col min="23" max="23" width="5.140625" customWidth="1"/>
    <col min="24" max="24" width="4.42578125" customWidth="1"/>
    <col min="25" max="28" width="12" customWidth="1"/>
  </cols>
  <sheetData>
    <row r="1" spans="1:28" x14ac:dyDescent="0.25">
      <c r="A1" s="142" t="s">
        <v>69</v>
      </c>
      <c r="B1" s="43">
        <v>20055</v>
      </c>
      <c r="C1" s="21">
        <v>0</v>
      </c>
      <c r="D1" s="43">
        <v>1211497</v>
      </c>
      <c r="E1" s="21">
        <v>24</v>
      </c>
      <c r="F1" s="43">
        <v>2296634</v>
      </c>
      <c r="G1" s="21">
        <v>35</v>
      </c>
      <c r="H1" s="43">
        <v>1991719</v>
      </c>
      <c r="I1" s="21">
        <v>70</v>
      </c>
    </row>
    <row r="2" spans="1:28" ht="15.75" thickBot="1" x14ac:dyDescent="0.3">
      <c r="A2" s="143" t="s">
        <v>70</v>
      </c>
      <c r="B2" s="25">
        <v>20133</v>
      </c>
      <c r="C2" s="27">
        <v>0</v>
      </c>
      <c r="D2" s="25">
        <v>1362325</v>
      </c>
      <c r="E2" s="27">
        <v>19</v>
      </c>
      <c r="F2" s="25">
        <v>2198502</v>
      </c>
      <c r="G2" s="27">
        <v>32</v>
      </c>
      <c r="H2" s="25">
        <v>1601633</v>
      </c>
      <c r="I2" s="27">
        <v>70</v>
      </c>
    </row>
    <row r="3" spans="1:28" s="12" customFormat="1" ht="26.25" x14ac:dyDescent="0.4">
      <c r="E3" s="12" t="s">
        <v>4</v>
      </c>
      <c r="J3" s="12" t="s">
        <v>5</v>
      </c>
      <c r="O3" s="12" t="s">
        <v>6</v>
      </c>
      <c r="U3" s="12" t="s">
        <v>7</v>
      </c>
      <c r="Z3" s="12" t="s">
        <v>8</v>
      </c>
    </row>
    <row r="5" spans="1:28" s="14" customFormat="1" ht="23.25" x14ac:dyDescent="0.35">
      <c r="D5" s="13" t="s">
        <v>1</v>
      </c>
      <c r="E5" s="13"/>
      <c r="F5" s="13" t="s">
        <v>2</v>
      </c>
      <c r="G5" s="13"/>
      <c r="I5" s="15" t="s">
        <v>1</v>
      </c>
      <c r="J5" s="15"/>
      <c r="K5" s="15" t="s">
        <v>2</v>
      </c>
      <c r="L5" s="15"/>
      <c r="N5" s="16" t="s">
        <v>1</v>
      </c>
      <c r="O5" s="16"/>
      <c r="P5" s="16" t="s">
        <v>2</v>
      </c>
      <c r="Q5" s="16"/>
      <c r="R5" s="16"/>
      <c r="T5" s="17" t="s">
        <v>1</v>
      </c>
      <c r="U5" s="17"/>
      <c r="V5" s="17" t="s">
        <v>2</v>
      </c>
      <c r="W5" s="17"/>
      <c r="Y5" s="18" t="s">
        <v>1</v>
      </c>
      <c r="Z5" s="18"/>
      <c r="AA5" s="18" t="s">
        <v>2</v>
      </c>
      <c r="AB5" s="18"/>
    </row>
    <row r="6" spans="1:28" s="1" customFormat="1" x14ac:dyDescent="0.25">
      <c r="D6" s="2" t="s">
        <v>0</v>
      </c>
      <c r="E6" s="2" t="s">
        <v>3</v>
      </c>
      <c r="F6" s="2" t="s">
        <v>0</v>
      </c>
      <c r="G6" s="2" t="s">
        <v>3</v>
      </c>
      <c r="I6" s="4" t="s">
        <v>0</v>
      </c>
      <c r="J6" s="4" t="s">
        <v>3</v>
      </c>
      <c r="K6" s="4" t="s">
        <v>0</v>
      </c>
      <c r="L6" s="4" t="s">
        <v>3</v>
      </c>
      <c r="N6" s="6" t="s">
        <v>0</v>
      </c>
      <c r="O6" s="6" t="s">
        <v>3</v>
      </c>
      <c r="P6" s="6" t="s">
        <v>0</v>
      </c>
      <c r="Q6" s="6" t="s">
        <v>3</v>
      </c>
      <c r="R6" s="6"/>
      <c r="T6" s="8" t="s">
        <v>0</v>
      </c>
      <c r="U6" s="8" t="s">
        <v>3</v>
      </c>
      <c r="V6" s="8" t="s">
        <v>0</v>
      </c>
      <c r="W6" s="8" t="s">
        <v>3</v>
      </c>
      <c r="Y6" s="10" t="s">
        <v>0</v>
      </c>
      <c r="Z6" s="10" t="s">
        <v>3</v>
      </c>
      <c r="AA6" s="10" t="s">
        <v>0</v>
      </c>
      <c r="AB6" s="10" t="s">
        <v>3</v>
      </c>
    </row>
    <row r="7" spans="1:28" x14ac:dyDescent="0.25">
      <c r="D7" s="19"/>
      <c r="E7" s="19"/>
      <c r="F7" s="19"/>
      <c r="G7" s="19"/>
      <c r="H7" s="19"/>
      <c r="I7" s="19"/>
      <c r="J7" s="19"/>
      <c r="K7" s="19"/>
      <c r="L7" s="19"/>
      <c r="M7" s="19"/>
      <c r="N7" s="19"/>
      <c r="O7" s="19"/>
      <c r="P7" s="19"/>
      <c r="Q7" s="19"/>
      <c r="R7" s="19"/>
      <c r="S7" s="19"/>
      <c r="T7" s="19"/>
      <c r="U7" s="19"/>
      <c r="V7" s="19"/>
      <c r="W7" s="19"/>
      <c r="X7" s="19"/>
      <c r="Y7" s="19"/>
      <c r="Z7" s="19"/>
      <c r="AA7" s="19"/>
      <c r="AB7" s="19"/>
    </row>
    <row r="8" spans="1:28" x14ac:dyDescent="0.25">
      <c r="A8" t="s">
        <v>9</v>
      </c>
      <c r="D8" s="3">
        <v>11368</v>
      </c>
      <c r="E8" s="3">
        <v>1166875</v>
      </c>
      <c r="F8" s="3">
        <v>6217991</v>
      </c>
      <c r="G8" s="3">
        <v>1268012</v>
      </c>
      <c r="I8" s="5">
        <v>20065</v>
      </c>
      <c r="J8" s="5">
        <v>1226421</v>
      </c>
      <c r="K8" s="5">
        <v>2738118</v>
      </c>
      <c r="L8" s="5">
        <v>2684743</v>
      </c>
      <c r="N8" s="7">
        <v>20823</v>
      </c>
      <c r="O8" s="7">
        <v>1206050</v>
      </c>
      <c r="P8" s="7">
        <v>2852823</v>
      </c>
      <c r="Q8" s="7">
        <v>2107791</v>
      </c>
      <c r="R8" s="7"/>
      <c r="T8" s="9">
        <v>17129</v>
      </c>
      <c r="U8" s="9">
        <v>1207801</v>
      </c>
      <c r="V8" s="9">
        <v>2707456</v>
      </c>
      <c r="W8" s="9">
        <v>1726288</v>
      </c>
      <c r="Y8" s="11">
        <v>20413</v>
      </c>
      <c r="Z8" s="11">
        <v>1197553</v>
      </c>
      <c r="AA8" s="11">
        <v>2386275</v>
      </c>
      <c r="AB8" s="11">
        <v>1858582</v>
      </c>
    </row>
    <row r="9" spans="1:28" x14ac:dyDescent="0.25">
      <c r="A9" t="s">
        <v>10</v>
      </c>
      <c r="E9">
        <v>6300000</v>
      </c>
      <c r="F9">
        <v>5760000</v>
      </c>
      <c r="G9">
        <v>13140000</v>
      </c>
      <c r="J9">
        <v>4320000</v>
      </c>
      <c r="K9">
        <v>5220000</v>
      </c>
      <c r="L9">
        <v>12420000</v>
      </c>
      <c r="O9">
        <v>5040000</v>
      </c>
      <c r="P9">
        <v>5040000</v>
      </c>
      <c r="Q9">
        <v>12600000</v>
      </c>
      <c r="U9">
        <v>2160000</v>
      </c>
      <c r="V9">
        <v>5580000</v>
      </c>
      <c r="W9">
        <v>13140000</v>
      </c>
      <c r="Z9">
        <v>5400000</v>
      </c>
      <c r="AA9">
        <v>6300000</v>
      </c>
      <c r="AB9">
        <v>13320000</v>
      </c>
    </row>
    <row r="10" spans="1:28" ht="15.75" thickBot="1" x14ac:dyDescent="0.3"/>
    <row r="11" spans="1:28" ht="15.75" thickBot="1" x14ac:dyDescent="0.3">
      <c r="E11" s="48" t="s">
        <v>14</v>
      </c>
      <c r="F11" s="49"/>
      <c r="G11" s="49"/>
      <c r="H11" s="46"/>
      <c r="I11" s="46"/>
      <c r="J11" s="47"/>
      <c r="K11" s="46"/>
      <c r="L11" s="47"/>
    </row>
    <row r="12" spans="1:28" ht="15.75" thickBot="1" x14ac:dyDescent="0.3">
      <c r="E12" s="28"/>
      <c r="F12" s="403" t="s">
        <v>1</v>
      </c>
      <c r="G12" s="405"/>
      <c r="H12" s="403" t="s">
        <v>18</v>
      </c>
      <c r="I12" s="404"/>
      <c r="J12" s="403" t="s">
        <v>21</v>
      </c>
      <c r="K12" s="405"/>
      <c r="L12" s="42" t="s">
        <v>22</v>
      </c>
      <c r="N12" s="28"/>
      <c r="O12" s="403" t="s">
        <v>28</v>
      </c>
      <c r="P12" s="404"/>
      <c r="Q12" s="404"/>
      <c r="R12" s="404"/>
      <c r="S12" s="405"/>
      <c r="T12" s="403" t="s">
        <v>30</v>
      </c>
      <c r="U12" s="404"/>
      <c r="V12" s="404"/>
      <c r="W12" s="404"/>
      <c r="X12" s="405"/>
    </row>
    <row r="13" spans="1:28" x14ac:dyDescent="0.25">
      <c r="E13" s="43"/>
      <c r="F13" s="43" t="s">
        <v>11</v>
      </c>
      <c r="G13" s="21" t="s">
        <v>12</v>
      </c>
      <c r="H13" s="20" t="s">
        <v>11</v>
      </c>
      <c r="I13" s="20" t="s">
        <v>12</v>
      </c>
      <c r="J13" s="43" t="s">
        <v>11</v>
      </c>
      <c r="K13" s="21" t="s">
        <v>12</v>
      </c>
      <c r="L13" s="41"/>
      <c r="N13" s="43"/>
      <c r="O13" s="31" t="s">
        <v>23</v>
      </c>
      <c r="P13" s="37" t="s">
        <v>24</v>
      </c>
      <c r="Q13" s="61" t="s">
        <v>25</v>
      </c>
      <c r="R13" s="65" t="s">
        <v>26</v>
      </c>
      <c r="S13" s="57" t="s">
        <v>27</v>
      </c>
      <c r="U13" s="23"/>
      <c r="V13" s="23"/>
      <c r="W13" s="56"/>
      <c r="X13" s="57"/>
    </row>
    <row r="14" spans="1:28" x14ac:dyDescent="0.25">
      <c r="A14">
        <f>E9/180000</f>
        <v>35</v>
      </c>
      <c r="E14" s="22" t="s">
        <v>13</v>
      </c>
      <c r="F14" s="31">
        <v>11368</v>
      </c>
      <c r="G14" s="24">
        <v>7466875</v>
      </c>
      <c r="H14" s="23">
        <v>11977991</v>
      </c>
      <c r="I14" s="30">
        <v>14408012</v>
      </c>
      <c r="J14" s="22">
        <v>11989359</v>
      </c>
      <c r="K14" s="24">
        <v>21874887</v>
      </c>
      <c r="L14" s="39">
        <v>33864246</v>
      </c>
      <c r="N14" s="22" t="s">
        <v>13</v>
      </c>
      <c r="O14" s="32">
        <v>2</v>
      </c>
      <c r="P14" s="34">
        <v>0</v>
      </c>
      <c r="Q14" s="34">
        <v>0</v>
      </c>
      <c r="R14" s="68">
        <v>0</v>
      </c>
      <c r="S14" s="66">
        <v>2</v>
      </c>
      <c r="T14" s="32" t="s">
        <v>31</v>
      </c>
      <c r="U14" s="34"/>
      <c r="V14" s="34"/>
      <c r="W14" s="23"/>
      <c r="X14" s="29"/>
    </row>
    <row r="15" spans="1:28" x14ac:dyDescent="0.25">
      <c r="E15" s="22" t="s">
        <v>15</v>
      </c>
      <c r="F15" s="58">
        <v>20065</v>
      </c>
      <c r="G15" s="36">
        <v>5546421</v>
      </c>
      <c r="H15" s="37">
        <v>7958118</v>
      </c>
      <c r="I15" s="64">
        <v>15104743</v>
      </c>
      <c r="J15" s="35">
        <v>7978183</v>
      </c>
      <c r="K15" s="36">
        <v>20651164</v>
      </c>
      <c r="L15" s="45">
        <v>28629347</v>
      </c>
      <c r="N15" s="22" t="s">
        <v>15</v>
      </c>
      <c r="O15" s="32">
        <v>0</v>
      </c>
      <c r="P15" s="34">
        <v>2</v>
      </c>
      <c r="Q15" s="34">
        <v>1</v>
      </c>
      <c r="R15" s="68">
        <v>1</v>
      </c>
      <c r="S15" s="66">
        <v>0</v>
      </c>
      <c r="T15" s="32" t="s">
        <v>32</v>
      </c>
      <c r="U15" s="34"/>
      <c r="V15" s="34"/>
      <c r="W15" s="37"/>
      <c r="X15" s="24"/>
    </row>
    <row r="16" spans="1:28" x14ac:dyDescent="0.25">
      <c r="E16" s="22" t="s">
        <v>6</v>
      </c>
      <c r="F16" s="22">
        <v>20823</v>
      </c>
      <c r="G16" s="60">
        <v>6246050</v>
      </c>
      <c r="H16" s="30">
        <v>7892823</v>
      </c>
      <c r="I16" s="37">
        <v>14707791</v>
      </c>
      <c r="J16" s="31">
        <v>7913646</v>
      </c>
      <c r="K16" s="24">
        <v>20953841</v>
      </c>
      <c r="L16" s="39">
        <v>28867487</v>
      </c>
      <c r="N16" s="22" t="s">
        <v>6</v>
      </c>
      <c r="O16" s="32">
        <v>1</v>
      </c>
      <c r="P16" s="34">
        <v>1</v>
      </c>
      <c r="Q16" s="34">
        <v>1</v>
      </c>
      <c r="R16" s="68">
        <v>0</v>
      </c>
      <c r="S16" s="66">
        <v>1</v>
      </c>
      <c r="T16" s="32" t="s">
        <v>33</v>
      </c>
      <c r="U16" s="34"/>
      <c r="V16" s="34"/>
      <c r="W16" s="30"/>
      <c r="X16" s="36"/>
    </row>
    <row r="17" spans="5:24" x14ac:dyDescent="0.25">
      <c r="E17" s="22" t="s">
        <v>16</v>
      </c>
      <c r="F17" s="35">
        <v>17129</v>
      </c>
      <c r="G17" s="29">
        <v>3367801</v>
      </c>
      <c r="H17" s="61">
        <v>8287456</v>
      </c>
      <c r="I17" s="61">
        <v>14866288</v>
      </c>
      <c r="J17" s="22">
        <v>8304585</v>
      </c>
      <c r="K17" s="29">
        <v>18234089</v>
      </c>
      <c r="L17" s="44">
        <v>26538674</v>
      </c>
      <c r="N17" s="22" t="s">
        <v>16</v>
      </c>
      <c r="O17" s="32">
        <v>1</v>
      </c>
      <c r="P17" s="34">
        <v>1</v>
      </c>
      <c r="Q17" s="68">
        <v>2</v>
      </c>
      <c r="R17" s="68">
        <v>0</v>
      </c>
      <c r="S17" s="66">
        <v>0</v>
      </c>
      <c r="T17" s="32" t="s">
        <v>34</v>
      </c>
      <c r="U17" s="34"/>
      <c r="V17" s="34"/>
      <c r="W17" s="23"/>
      <c r="X17" s="24"/>
    </row>
    <row r="18" spans="5:24" ht="15.75" thickBot="1" x14ac:dyDescent="0.3">
      <c r="E18" s="25" t="s">
        <v>17</v>
      </c>
      <c r="F18" s="59">
        <v>20413</v>
      </c>
      <c r="G18" s="62">
        <v>6597553</v>
      </c>
      <c r="H18" s="63">
        <v>8686275</v>
      </c>
      <c r="I18" s="26">
        <v>15178582</v>
      </c>
      <c r="J18" s="25">
        <v>8706688</v>
      </c>
      <c r="K18" s="27">
        <v>21776135</v>
      </c>
      <c r="L18" s="40">
        <v>30482823</v>
      </c>
      <c r="N18" s="25" t="s">
        <v>17</v>
      </c>
      <c r="O18" s="33">
        <v>0</v>
      </c>
      <c r="P18" s="51">
        <v>0</v>
      </c>
      <c r="Q18" s="51">
        <v>0</v>
      </c>
      <c r="R18" s="51">
        <v>3</v>
      </c>
      <c r="S18" s="67">
        <v>1</v>
      </c>
      <c r="T18" s="33" t="s">
        <v>35</v>
      </c>
      <c r="U18" s="51"/>
      <c r="V18" s="51"/>
      <c r="W18" s="26"/>
      <c r="X18" s="27"/>
    </row>
    <row r="20" spans="5:24" x14ac:dyDescent="0.25">
      <c r="F20">
        <v>11368</v>
      </c>
      <c r="G20">
        <v>3367801</v>
      </c>
      <c r="H20">
        <v>7892823</v>
      </c>
      <c r="I20">
        <v>14408012</v>
      </c>
      <c r="J20">
        <v>7913646</v>
      </c>
      <c r="K20">
        <v>18234089</v>
      </c>
      <c r="L20">
        <v>26538674</v>
      </c>
    </row>
    <row r="21" spans="5:24" ht="15.75" thickBot="1" x14ac:dyDescent="0.3"/>
    <row r="22" spans="5:24" ht="15.75" thickBot="1" x14ac:dyDescent="0.3">
      <c r="E22" s="406" t="s">
        <v>20</v>
      </c>
      <c r="F22" s="407"/>
      <c r="G22" s="407"/>
      <c r="H22" s="407"/>
      <c r="I22" s="407"/>
      <c r="J22" s="408"/>
      <c r="K22" s="46"/>
      <c r="L22" s="47"/>
    </row>
    <row r="23" spans="5:24" ht="15.75" thickBot="1" x14ac:dyDescent="0.3">
      <c r="E23" s="28"/>
      <c r="F23" s="403" t="s">
        <v>1</v>
      </c>
      <c r="G23" s="405"/>
      <c r="H23" s="403" t="s">
        <v>18</v>
      </c>
      <c r="I23" s="404"/>
      <c r="J23" s="403" t="s">
        <v>21</v>
      </c>
      <c r="K23" s="405"/>
      <c r="L23" s="42" t="s">
        <v>22</v>
      </c>
      <c r="N23" s="28"/>
      <c r="O23" s="403" t="s">
        <v>36</v>
      </c>
      <c r="P23" s="404"/>
      <c r="Q23" s="404"/>
      <c r="R23" s="404"/>
      <c r="S23" s="405"/>
      <c r="T23" s="403" t="s">
        <v>30</v>
      </c>
      <c r="U23" s="404"/>
      <c r="V23" s="404"/>
      <c r="W23" s="404"/>
      <c r="X23" s="405"/>
    </row>
    <row r="24" spans="5:24" x14ac:dyDescent="0.25">
      <c r="E24" s="22"/>
      <c r="F24" s="22" t="s">
        <v>11</v>
      </c>
      <c r="G24" s="24" t="s">
        <v>12</v>
      </c>
      <c r="H24" s="23" t="s">
        <v>11</v>
      </c>
      <c r="I24" s="23" t="s">
        <v>12</v>
      </c>
      <c r="J24" s="43" t="s">
        <v>11</v>
      </c>
      <c r="K24" s="21" t="s">
        <v>12</v>
      </c>
      <c r="L24" s="41"/>
      <c r="N24" s="43"/>
      <c r="O24" s="31" t="s">
        <v>23</v>
      </c>
      <c r="P24" s="37" t="s">
        <v>24</v>
      </c>
      <c r="Q24" s="61" t="s">
        <v>25</v>
      </c>
      <c r="R24" s="65" t="s">
        <v>26</v>
      </c>
      <c r="S24" s="57" t="s">
        <v>27</v>
      </c>
      <c r="U24" s="23"/>
      <c r="V24" s="23"/>
      <c r="W24" s="56"/>
      <c r="X24" s="57"/>
    </row>
    <row r="25" spans="5:24" x14ac:dyDescent="0.25">
      <c r="E25" s="22" t="s">
        <v>13</v>
      </c>
      <c r="F25" s="32">
        <v>0</v>
      </c>
      <c r="G25" s="24">
        <v>35</v>
      </c>
      <c r="H25" s="64">
        <v>32</v>
      </c>
      <c r="I25" s="64">
        <v>73</v>
      </c>
      <c r="J25" s="22">
        <v>32</v>
      </c>
      <c r="K25" s="24">
        <v>108</v>
      </c>
      <c r="L25" s="39">
        <v>140</v>
      </c>
      <c r="N25" s="22" t="s">
        <v>13</v>
      </c>
      <c r="O25" s="32">
        <v>0</v>
      </c>
      <c r="P25" s="34">
        <v>0</v>
      </c>
      <c r="Q25" s="34">
        <v>0</v>
      </c>
      <c r="R25" s="68">
        <v>2</v>
      </c>
      <c r="S25" s="66">
        <v>1</v>
      </c>
      <c r="T25" s="32" t="s">
        <v>37</v>
      </c>
      <c r="U25" s="34"/>
      <c r="V25" s="34"/>
      <c r="W25" s="23"/>
      <c r="X25" s="29"/>
    </row>
    <row r="26" spans="5:24" x14ac:dyDescent="0.25">
      <c r="E26" s="22" t="s">
        <v>15</v>
      </c>
      <c r="F26" s="32">
        <v>0</v>
      </c>
      <c r="G26" s="36">
        <v>24</v>
      </c>
      <c r="H26" s="37">
        <v>29</v>
      </c>
      <c r="I26" s="30">
        <v>69</v>
      </c>
      <c r="J26" s="35">
        <v>29</v>
      </c>
      <c r="K26" s="36">
        <v>93</v>
      </c>
      <c r="L26" s="45">
        <v>122</v>
      </c>
      <c r="N26" s="22" t="s">
        <v>15</v>
      </c>
      <c r="O26" s="32">
        <v>1</v>
      </c>
      <c r="P26" s="34">
        <v>2</v>
      </c>
      <c r="Q26" s="34">
        <v>0</v>
      </c>
      <c r="R26" s="68">
        <v>0</v>
      </c>
      <c r="S26" s="66">
        <v>0</v>
      </c>
      <c r="T26" s="32" t="s">
        <v>38</v>
      </c>
      <c r="U26" s="34"/>
      <c r="V26" s="34"/>
      <c r="W26" s="37"/>
      <c r="X26" s="24"/>
    </row>
    <row r="27" spans="5:24" x14ac:dyDescent="0.25">
      <c r="E27" s="22" t="s">
        <v>6</v>
      </c>
      <c r="F27" s="32">
        <v>0</v>
      </c>
      <c r="G27" s="60">
        <v>28</v>
      </c>
      <c r="H27" s="30">
        <v>28</v>
      </c>
      <c r="I27" s="37">
        <v>70</v>
      </c>
      <c r="J27" s="31">
        <v>28</v>
      </c>
      <c r="K27" s="24">
        <v>98</v>
      </c>
      <c r="L27" s="39">
        <v>126</v>
      </c>
      <c r="N27" s="22" t="s">
        <v>6</v>
      </c>
      <c r="O27" s="32">
        <v>1</v>
      </c>
      <c r="P27" s="34">
        <v>1</v>
      </c>
      <c r="Q27" s="34">
        <v>1</v>
      </c>
      <c r="R27" s="68">
        <v>0</v>
      </c>
      <c r="S27" s="66">
        <v>0</v>
      </c>
      <c r="T27" s="32" t="s">
        <v>39</v>
      </c>
      <c r="U27" s="34"/>
      <c r="V27" s="34"/>
      <c r="W27" s="30"/>
      <c r="X27" s="36"/>
    </row>
    <row r="28" spans="5:24" x14ac:dyDescent="0.25">
      <c r="E28" s="22" t="s">
        <v>16</v>
      </c>
      <c r="F28" s="32">
        <v>0</v>
      </c>
      <c r="G28" s="29">
        <v>12</v>
      </c>
      <c r="H28" s="61">
        <v>31</v>
      </c>
      <c r="I28" s="61">
        <v>73</v>
      </c>
      <c r="J28" s="22">
        <v>31</v>
      </c>
      <c r="K28" s="29">
        <v>85</v>
      </c>
      <c r="L28" s="44">
        <v>116</v>
      </c>
      <c r="N28" s="22" t="s">
        <v>16</v>
      </c>
      <c r="O28" s="32">
        <v>1</v>
      </c>
      <c r="P28" s="68">
        <v>0</v>
      </c>
      <c r="Q28" s="68">
        <v>2</v>
      </c>
      <c r="R28" s="68">
        <v>0</v>
      </c>
      <c r="S28" s="66">
        <v>0</v>
      </c>
      <c r="T28" s="32" t="s">
        <v>40</v>
      </c>
      <c r="U28" s="34"/>
      <c r="V28" s="34"/>
      <c r="W28" s="23"/>
      <c r="X28" s="24"/>
    </row>
    <row r="29" spans="5:24" ht="15.75" thickBot="1" x14ac:dyDescent="0.3">
      <c r="E29" s="25" t="s">
        <v>17</v>
      </c>
      <c r="F29" s="33">
        <v>0</v>
      </c>
      <c r="G29" s="62">
        <v>30</v>
      </c>
      <c r="H29" s="26">
        <v>35</v>
      </c>
      <c r="I29" s="26">
        <v>74</v>
      </c>
      <c r="J29" s="25">
        <v>35</v>
      </c>
      <c r="K29" s="27">
        <v>104</v>
      </c>
      <c r="L29" s="40">
        <v>139</v>
      </c>
      <c r="N29" s="25" t="s">
        <v>17</v>
      </c>
      <c r="O29" s="33">
        <v>0</v>
      </c>
      <c r="P29" s="51">
        <v>0</v>
      </c>
      <c r="Q29" s="51">
        <v>0</v>
      </c>
      <c r="R29" s="51">
        <v>1</v>
      </c>
      <c r="S29" s="67">
        <v>2</v>
      </c>
      <c r="T29" s="33" t="s">
        <v>37</v>
      </c>
      <c r="U29" s="51"/>
      <c r="V29" s="51"/>
      <c r="W29" s="26"/>
      <c r="X29" s="27"/>
    </row>
    <row r="30" spans="5:24" x14ac:dyDescent="0.25">
      <c r="G30">
        <v>12</v>
      </c>
      <c r="H30">
        <v>28</v>
      </c>
      <c r="I30">
        <v>69</v>
      </c>
      <c r="J30">
        <v>28</v>
      </c>
      <c r="K30">
        <v>85</v>
      </c>
      <c r="L30">
        <v>116</v>
      </c>
    </row>
    <row r="34" spans="5:24" ht="15.75" thickBot="1" x14ac:dyDescent="0.3"/>
    <row r="35" spans="5:24" ht="15.75" thickBot="1" x14ac:dyDescent="0.3">
      <c r="E35" s="48" t="s">
        <v>19</v>
      </c>
      <c r="F35" s="49"/>
      <c r="G35" s="49"/>
      <c r="H35" s="46"/>
      <c r="I35" s="46"/>
      <c r="J35" s="47"/>
      <c r="K35" s="46"/>
      <c r="L35" s="47"/>
    </row>
    <row r="36" spans="5:24" ht="15.75" thickBot="1" x14ac:dyDescent="0.3">
      <c r="E36" s="28"/>
      <c r="F36" s="52" t="s">
        <v>1</v>
      </c>
      <c r="G36" s="53"/>
      <c r="H36" s="52" t="s">
        <v>18</v>
      </c>
      <c r="I36" s="38"/>
      <c r="J36" s="52" t="s">
        <v>21</v>
      </c>
      <c r="K36" s="53"/>
      <c r="L36" s="42" t="s">
        <v>22</v>
      </c>
      <c r="N36" s="28"/>
      <c r="O36" s="403" t="s">
        <v>28</v>
      </c>
      <c r="P36" s="404"/>
      <c r="Q36" s="404"/>
      <c r="R36" s="404"/>
      <c r="S36" s="405"/>
      <c r="T36" s="403" t="s">
        <v>30</v>
      </c>
      <c r="U36" s="404"/>
      <c r="V36" s="404"/>
      <c r="W36" s="404"/>
      <c r="X36" s="405"/>
    </row>
    <row r="37" spans="5:24" x14ac:dyDescent="0.25">
      <c r="E37" s="22"/>
      <c r="F37" s="22" t="s">
        <v>11</v>
      </c>
      <c r="G37" s="24" t="s">
        <v>12</v>
      </c>
      <c r="H37" s="23" t="s">
        <v>11</v>
      </c>
      <c r="I37" s="23" t="s">
        <v>12</v>
      </c>
      <c r="J37" s="43" t="s">
        <v>11</v>
      </c>
      <c r="K37" s="21" t="s">
        <v>12</v>
      </c>
      <c r="L37" s="41"/>
      <c r="N37" s="43"/>
      <c r="O37" s="31" t="s">
        <v>23</v>
      </c>
      <c r="P37" s="37" t="s">
        <v>24</v>
      </c>
      <c r="Q37" s="61" t="s">
        <v>25</v>
      </c>
      <c r="R37" s="65" t="s">
        <v>26</v>
      </c>
      <c r="S37" s="57" t="s">
        <v>27</v>
      </c>
      <c r="U37" s="23"/>
      <c r="V37" s="23"/>
      <c r="W37" s="56"/>
      <c r="X37" s="57"/>
    </row>
    <row r="38" spans="5:24" x14ac:dyDescent="0.25">
      <c r="E38" s="22" t="s">
        <v>13</v>
      </c>
      <c r="F38" s="31">
        <v>11368</v>
      </c>
      <c r="G38" s="36">
        <v>4403.3018867924529</v>
      </c>
      <c r="H38" s="23">
        <v>23201.458955223879</v>
      </c>
      <c r="I38" s="30">
        <v>5585.9559471365637</v>
      </c>
      <c r="J38" s="22">
        <v>34569.458955223876</v>
      </c>
      <c r="K38" s="29">
        <v>9989.2578339290158</v>
      </c>
      <c r="L38" s="39">
        <v>44558.716789152895</v>
      </c>
      <c r="N38" s="22" t="s">
        <v>13</v>
      </c>
      <c r="O38" s="32">
        <v>2</v>
      </c>
      <c r="P38" s="34">
        <v>1</v>
      </c>
      <c r="Q38" s="34">
        <v>0</v>
      </c>
      <c r="R38" s="68">
        <v>0</v>
      </c>
      <c r="S38" s="66">
        <v>1</v>
      </c>
      <c r="T38" s="32" t="s">
        <v>43</v>
      </c>
      <c r="U38" s="34"/>
      <c r="V38" s="34"/>
      <c r="W38" s="23"/>
      <c r="X38" s="29"/>
    </row>
    <row r="39" spans="5:24" x14ac:dyDescent="0.25">
      <c r="E39" s="22" t="s">
        <v>15</v>
      </c>
      <c r="F39" s="58">
        <v>20065</v>
      </c>
      <c r="G39" s="24">
        <v>4443.554347826087</v>
      </c>
      <c r="H39" s="61">
        <v>10103.756457564576</v>
      </c>
      <c r="I39" s="34">
        <v>11622.264069264069</v>
      </c>
      <c r="J39" s="22">
        <v>30168.756457564574</v>
      </c>
      <c r="K39" s="24">
        <v>16065.818417090155</v>
      </c>
      <c r="L39" s="39">
        <v>46234.574874654732</v>
      </c>
      <c r="N39" s="22" t="s">
        <v>15</v>
      </c>
      <c r="O39" s="32">
        <v>0</v>
      </c>
      <c r="P39" s="34">
        <v>0</v>
      </c>
      <c r="Q39" s="34">
        <v>2</v>
      </c>
      <c r="R39" s="68">
        <v>0</v>
      </c>
      <c r="S39" s="66">
        <v>2</v>
      </c>
      <c r="T39" s="32" t="s">
        <v>44</v>
      </c>
      <c r="U39" s="34"/>
      <c r="V39" s="34"/>
      <c r="W39" s="37"/>
      <c r="X39" s="24"/>
    </row>
    <row r="40" spans="5:24" x14ac:dyDescent="0.25">
      <c r="E40" s="22" t="s">
        <v>6</v>
      </c>
      <c r="F40" s="22">
        <v>20823</v>
      </c>
      <c r="G40" s="60">
        <v>4434.0073529411766</v>
      </c>
      <c r="H40" s="64">
        <v>10488.319852941177</v>
      </c>
      <c r="I40" s="64">
        <v>9164.3086956521747</v>
      </c>
      <c r="J40" s="22">
        <v>31311.319852941175</v>
      </c>
      <c r="K40" s="24">
        <v>13598.316048593351</v>
      </c>
      <c r="L40" s="39">
        <v>44909.635901534522</v>
      </c>
      <c r="N40" s="22" t="s">
        <v>6</v>
      </c>
      <c r="O40" s="32">
        <v>0</v>
      </c>
      <c r="P40" s="34">
        <v>0</v>
      </c>
      <c r="Q40" s="34">
        <v>1</v>
      </c>
      <c r="R40" s="68">
        <v>2</v>
      </c>
      <c r="S40" s="66">
        <v>1</v>
      </c>
      <c r="T40" s="32" t="s">
        <v>41</v>
      </c>
      <c r="U40" s="34"/>
      <c r="V40" s="34"/>
      <c r="W40" s="30"/>
      <c r="X40" s="36"/>
    </row>
    <row r="41" spans="5:24" x14ac:dyDescent="0.25">
      <c r="E41" s="22" t="s">
        <v>16</v>
      </c>
      <c r="F41" s="35">
        <v>17129</v>
      </c>
      <c r="G41" s="29">
        <v>4193.7534722222226</v>
      </c>
      <c r="H41" s="37">
        <v>10064.892193308549</v>
      </c>
      <c r="I41" s="37">
        <v>7604.79295154185</v>
      </c>
      <c r="J41" s="31">
        <v>27193.892193308551</v>
      </c>
      <c r="K41" s="36">
        <v>11798.546423764074</v>
      </c>
      <c r="L41" s="44">
        <v>38992.438617072621</v>
      </c>
      <c r="N41" s="22" t="s">
        <v>16</v>
      </c>
      <c r="O41" s="32">
        <v>1</v>
      </c>
      <c r="P41" s="68">
        <v>3</v>
      </c>
      <c r="Q41" s="68">
        <v>0</v>
      </c>
      <c r="R41" s="68">
        <v>0</v>
      </c>
      <c r="S41" s="66">
        <v>0</v>
      </c>
      <c r="T41" s="32" t="s">
        <v>34</v>
      </c>
      <c r="U41" s="34"/>
      <c r="V41" s="34"/>
      <c r="W41" s="23"/>
      <c r="X41" s="24"/>
    </row>
    <row r="42" spans="5:24" ht="15.75" thickBot="1" x14ac:dyDescent="0.3">
      <c r="E42" s="25" t="s">
        <v>17</v>
      </c>
      <c r="F42" s="59">
        <v>20413</v>
      </c>
      <c r="G42" s="62">
        <v>4435.3814814814814</v>
      </c>
      <c r="H42" s="50">
        <v>9004.8113207547176</v>
      </c>
      <c r="I42" s="69">
        <v>8223.8141592920347</v>
      </c>
      <c r="J42" s="54">
        <v>29417.811320754718</v>
      </c>
      <c r="K42" s="27">
        <v>12659.195640773516</v>
      </c>
      <c r="L42" s="55">
        <v>42077.006961528234</v>
      </c>
      <c r="N42" s="25" t="s">
        <v>17</v>
      </c>
      <c r="O42" s="33">
        <v>1</v>
      </c>
      <c r="P42" s="51">
        <v>0</v>
      </c>
      <c r="Q42" s="51">
        <v>1</v>
      </c>
      <c r="R42" s="51">
        <v>2</v>
      </c>
      <c r="S42" s="67">
        <v>0</v>
      </c>
      <c r="T42" s="33" t="s">
        <v>42</v>
      </c>
      <c r="U42" s="51"/>
      <c r="V42" s="51"/>
      <c r="W42" s="26"/>
      <c r="X42" s="27"/>
    </row>
    <row r="43" spans="5:24" x14ac:dyDescent="0.25">
      <c r="F43">
        <v>11368</v>
      </c>
      <c r="G43">
        <v>4193.7534722222226</v>
      </c>
      <c r="H43">
        <v>9004.8113207547176</v>
      </c>
      <c r="I43">
        <v>5585.9559471365637</v>
      </c>
      <c r="J43">
        <v>27193.892193308551</v>
      </c>
      <c r="K43">
        <v>9989.2578339290158</v>
      </c>
      <c r="L43">
        <v>38992.438617072621</v>
      </c>
    </row>
  </sheetData>
  <mergeCells count="13">
    <mergeCell ref="F23:G23"/>
    <mergeCell ref="E22:J22"/>
    <mergeCell ref="H12:I12"/>
    <mergeCell ref="J12:K12"/>
    <mergeCell ref="H23:I23"/>
    <mergeCell ref="J23:K23"/>
    <mergeCell ref="F12:G12"/>
    <mergeCell ref="O23:S23"/>
    <mergeCell ref="T23:X23"/>
    <mergeCell ref="O36:S36"/>
    <mergeCell ref="T36:X36"/>
    <mergeCell ref="O12:S12"/>
    <mergeCell ref="T12:X12"/>
  </mergeCells>
  <pageMargins left="0.7" right="0.7" top="0.75" bottom="0.75" header="0.3" footer="0.3"/>
  <pageSetup orientation="portrait" horizontalDpi="4294967293" verticalDpi="4294967293"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40"/>
  <sheetViews>
    <sheetView zoomScale="69" zoomScaleNormal="69" workbookViewId="0">
      <selection activeCell="B13" sqref="B13"/>
    </sheetView>
  </sheetViews>
  <sheetFormatPr defaultRowHeight="15" x14ac:dyDescent="0.25"/>
  <cols>
    <col min="1" max="1" width="3.28515625" customWidth="1"/>
    <col min="2" max="2" width="25.5703125" customWidth="1"/>
    <col min="3" max="3" width="13" customWidth="1"/>
    <col min="4" max="4" width="16.140625" customWidth="1"/>
    <col min="5" max="5" width="11.85546875" customWidth="1"/>
    <col min="6" max="6" width="13.7109375" customWidth="1"/>
    <col min="7" max="7" width="10.28515625" customWidth="1"/>
    <col min="8" max="8" width="13.5703125" customWidth="1"/>
    <col min="9" max="9" width="21.140625" customWidth="1"/>
    <col min="10" max="10" width="26.28515625" customWidth="1"/>
    <col min="11" max="11" width="28.85546875" customWidth="1"/>
    <col min="12" max="12" width="26.28515625" customWidth="1"/>
  </cols>
  <sheetData>
    <row r="1" spans="2:10" ht="15.75" thickBot="1" x14ac:dyDescent="0.3">
      <c r="B1" s="422" t="s">
        <v>47</v>
      </c>
      <c r="C1" s="422"/>
      <c r="D1" s="422"/>
      <c r="E1" s="422"/>
      <c r="F1" s="422"/>
      <c r="G1" s="422"/>
      <c r="H1" s="422"/>
      <c r="I1" s="422"/>
      <c r="J1" s="23"/>
    </row>
    <row r="2" spans="2:10" ht="15.75" thickBot="1" x14ac:dyDescent="0.3">
      <c r="B2" s="43"/>
      <c r="C2" s="403" t="s">
        <v>1</v>
      </c>
      <c r="D2" s="405"/>
      <c r="E2" s="433" t="s">
        <v>83</v>
      </c>
      <c r="F2" s="434"/>
      <c r="G2" s="111" t="s">
        <v>141</v>
      </c>
      <c r="H2" s="100"/>
      <c r="I2" s="21" t="s">
        <v>92</v>
      </c>
      <c r="J2" s="23"/>
    </row>
    <row r="3" spans="2:10" ht="15.75" thickBot="1" x14ac:dyDescent="0.3">
      <c r="B3" s="28"/>
      <c r="C3" s="28" t="s">
        <v>114</v>
      </c>
      <c r="D3" s="47" t="s">
        <v>115</v>
      </c>
      <c r="E3" s="28" t="s">
        <v>114</v>
      </c>
      <c r="F3" s="47" t="s">
        <v>115</v>
      </c>
      <c r="G3" s="28" t="s">
        <v>142</v>
      </c>
      <c r="H3" s="47"/>
      <c r="I3" s="21" t="s">
        <v>22</v>
      </c>
      <c r="J3" s="23"/>
    </row>
    <row r="4" spans="2:10" ht="15.75" thickBot="1" x14ac:dyDescent="0.3">
      <c r="B4" s="22" t="s">
        <v>116</v>
      </c>
      <c r="C4" s="114">
        <v>1541</v>
      </c>
      <c r="D4" s="115">
        <v>2436</v>
      </c>
      <c r="E4" s="105">
        <v>964</v>
      </c>
      <c r="F4" s="115">
        <v>1815</v>
      </c>
      <c r="G4" s="105">
        <f>SUM(C4:F4)</f>
        <v>6756</v>
      </c>
      <c r="H4" s="115"/>
      <c r="I4" s="116">
        <f t="shared" ref="I4:I12" si="0">G4+H4</f>
        <v>6756</v>
      </c>
      <c r="J4" s="23"/>
    </row>
    <row r="5" spans="2:10" ht="15.75" thickBot="1" x14ac:dyDescent="0.3">
      <c r="B5" s="22" t="s">
        <v>117</v>
      </c>
      <c r="C5" s="31">
        <v>354</v>
      </c>
      <c r="D5" s="71">
        <v>2578</v>
      </c>
      <c r="E5" s="58">
        <v>2234</v>
      </c>
      <c r="F5" s="60">
        <v>2830</v>
      </c>
      <c r="G5" s="105">
        <f t="shared" ref="G5:G12" si="1">SUM(C5:F5)</f>
        <v>7996</v>
      </c>
      <c r="H5" s="60"/>
      <c r="I5" s="78">
        <f t="shared" si="0"/>
        <v>7996</v>
      </c>
      <c r="J5" s="23"/>
    </row>
    <row r="6" spans="2:10" ht="15.75" thickBot="1" x14ac:dyDescent="0.3">
      <c r="B6" s="22" t="s">
        <v>6</v>
      </c>
      <c r="C6" s="31">
        <v>354</v>
      </c>
      <c r="D6" s="60">
        <v>2577</v>
      </c>
      <c r="E6" s="80">
        <v>2235</v>
      </c>
      <c r="F6" s="79">
        <v>2832</v>
      </c>
      <c r="G6" s="105">
        <f t="shared" si="1"/>
        <v>7998</v>
      </c>
      <c r="H6" s="79"/>
      <c r="I6" s="81">
        <f t="shared" si="0"/>
        <v>7998</v>
      </c>
      <c r="J6" s="23"/>
    </row>
    <row r="7" spans="2:10" ht="15.75" thickBot="1" x14ac:dyDescent="0.3">
      <c r="B7" s="22" t="s">
        <v>56</v>
      </c>
      <c r="C7" s="58">
        <v>1752</v>
      </c>
      <c r="D7" s="71">
        <v>2685</v>
      </c>
      <c r="E7" s="70">
        <v>2352</v>
      </c>
      <c r="F7" s="71">
        <v>2873</v>
      </c>
      <c r="G7" s="105">
        <f t="shared" si="1"/>
        <v>9662</v>
      </c>
      <c r="H7" s="71"/>
      <c r="I7" s="73">
        <f t="shared" si="0"/>
        <v>9662</v>
      </c>
      <c r="J7" s="23"/>
    </row>
    <row r="8" spans="2:10" ht="15.75" thickBot="1" x14ac:dyDescent="0.3">
      <c r="B8" s="73" t="s">
        <v>104</v>
      </c>
      <c r="C8" s="22">
        <v>354</v>
      </c>
      <c r="D8" s="24">
        <v>2576</v>
      </c>
      <c r="E8" s="22">
        <v>2230</v>
      </c>
      <c r="F8" s="24">
        <v>2825</v>
      </c>
      <c r="G8" s="105">
        <f t="shared" si="1"/>
        <v>7985</v>
      </c>
      <c r="H8" s="24"/>
      <c r="I8" s="39">
        <f t="shared" si="0"/>
        <v>7985</v>
      </c>
      <c r="J8" s="23"/>
    </row>
    <row r="9" spans="2:10" ht="15.75" thickBot="1" x14ac:dyDescent="0.3">
      <c r="B9" s="73" t="s">
        <v>86</v>
      </c>
      <c r="C9" s="31">
        <v>354</v>
      </c>
      <c r="D9" s="36">
        <v>2574</v>
      </c>
      <c r="E9" s="35">
        <v>2230</v>
      </c>
      <c r="F9" s="36">
        <v>2824</v>
      </c>
      <c r="G9" s="105">
        <f t="shared" si="1"/>
        <v>7982</v>
      </c>
      <c r="H9" s="36"/>
      <c r="I9" s="45">
        <f t="shared" si="0"/>
        <v>7982</v>
      </c>
      <c r="J9" s="23"/>
    </row>
    <row r="10" spans="2:10" ht="15.75" thickBot="1" x14ac:dyDescent="0.3">
      <c r="B10" s="70" t="s">
        <v>118</v>
      </c>
      <c r="C10" s="22">
        <v>354</v>
      </c>
      <c r="D10" s="24">
        <v>2577</v>
      </c>
      <c r="E10" s="22">
        <v>2230</v>
      </c>
      <c r="F10" s="24">
        <v>2827</v>
      </c>
      <c r="G10" s="105">
        <f t="shared" si="1"/>
        <v>7988</v>
      </c>
      <c r="H10" s="24"/>
      <c r="I10" s="39">
        <f t="shared" si="0"/>
        <v>7988</v>
      </c>
      <c r="J10" s="23"/>
    </row>
    <row r="11" spans="2:10" ht="15.75" thickBot="1" x14ac:dyDescent="0.3">
      <c r="B11" s="323" t="s">
        <v>147</v>
      </c>
      <c r="C11" s="20">
        <v>1604</v>
      </c>
      <c r="D11" s="20">
        <v>2453</v>
      </c>
      <c r="E11" s="43">
        <v>925</v>
      </c>
      <c r="F11" s="21">
        <v>1768</v>
      </c>
      <c r="G11" s="105">
        <f t="shared" si="1"/>
        <v>6750</v>
      </c>
      <c r="H11" s="20"/>
      <c r="I11" s="41">
        <f t="shared" si="0"/>
        <v>6750</v>
      </c>
      <c r="J11" s="23"/>
    </row>
    <row r="12" spans="2:10" ht="15.75" thickBot="1" x14ac:dyDescent="0.3">
      <c r="B12" s="324" t="s">
        <v>148</v>
      </c>
      <c r="C12" s="26">
        <v>1053</v>
      </c>
      <c r="D12" s="26">
        <v>2374</v>
      </c>
      <c r="E12" s="25">
        <v>941</v>
      </c>
      <c r="F12" s="27">
        <v>1767</v>
      </c>
      <c r="G12" s="105">
        <f t="shared" si="1"/>
        <v>6135</v>
      </c>
      <c r="H12" s="26"/>
      <c r="I12" s="40">
        <f t="shared" si="0"/>
        <v>6135</v>
      </c>
    </row>
    <row r="13" spans="2:10" x14ac:dyDescent="0.25">
      <c r="B13" s="351" t="s">
        <v>157</v>
      </c>
      <c r="C13">
        <v>228</v>
      </c>
      <c r="D13">
        <v>2334</v>
      </c>
    </row>
    <row r="14" spans="2:10" x14ac:dyDescent="0.25">
      <c r="E14" s="23"/>
      <c r="F14" s="23"/>
    </row>
    <row r="15" spans="2:10" x14ac:dyDescent="0.25">
      <c r="E15" s="104"/>
      <c r="F15" s="104"/>
    </row>
    <row r="16" spans="2:10" x14ac:dyDescent="0.25">
      <c r="E16" s="23"/>
      <c r="F16" s="23"/>
    </row>
    <row r="17" spans="2:13" x14ac:dyDescent="0.25">
      <c r="E17" s="72"/>
      <c r="F17" s="72"/>
    </row>
    <row r="18" spans="2:13" x14ac:dyDescent="0.25">
      <c r="E18" s="72"/>
      <c r="F18" s="72"/>
    </row>
    <row r="19" spans="2:13" x14ac:dyDescent="0.25">
      <c r="E19" s="72"/>
      <c r="F19" s="72"/>
    </row>
    <row r="20" spans="2:13" ht="15.75" thickBot="1" x14ac:dyDescent="0.3">
      <c r="B20" s="428" t="s">
        <v>64</v>
      </c>
      <c r="C20" s="428"/>
      <c r="D20" s="428"/>
      <c r="E20" s="72"/>
      <c r="F20" s="72"/>
    </row>
    <row r="21" spans="2:13" ht="15.75" thickBot="1" x14ac:dyDescent="0.3">
      <c r="B21" s="28"/>
      <c r="C21" s="101" t="s">
        <v>1</v>
      </c>
      <c r="D21" s="112" t="s">
        <v>83</v>
      </c>
      <c r="F21" s="72" t="s">
        <v>120</v>
      </c>
    </row>
    <row r="22" spans="2:13" x14ac:dyDescent="0.25">
      <c r="B22" s="22" t="s">
        <v>105</v>
      </c>
      <c r="C22" s="240">
        <f>(40/60)*60</f>
        <v>40</v>
      </c>
      <c r="D22" s="168">
        <f>(35112/60)*60</f>
        <v>35112</v>
      </c>
      <c r="E22" s="256">
        <f>SUM(C22:D22)</f>
        <v>35152</v>
      </c>
      <c r="F22">
        <v>1</v>
      </c>
      <c r="G22" s="256">
        <f t="shared" ref="G22:G28" si="2">SUM(E22:F22)</f>
        <v>35153</v>
      </c>
    </row>
    <row r="23" spans="2:13" x14ac:dyDescent="0.25">
      <c r="B23" s="22" t="s">
        <v>106</v>
      </c>
      <c r="C23" s="241">
        <f>(40/60)*60</f>
        <v>40</v>
      </c>
      <c r="D23" s="166">
        <f>(34994/60)*60</f>
        <v>34994</v>
      </c>
      <c r="E23" s="256">
        <f t="shared" ref="E23:E28" si="3">SUM(C23:D23)</f>
        <v>35034</v>
      </c>
      <c r="G23" s="256">
        <f t="shared" si="2"/>
        <v>35034</v>
      </c>
    </row>
    <row r="24" spans="2:13" x14ac:dyDescent="0.25">
      <c r="B24" s="22" t="s">
        <v>107</v>
      </c>
      <c r="C24" s="241">
        <f>(40/60)*60</f>
        <v>40</v>
      </c>
      <c r="D24" s="166">
        <f>(36118/60)*60</f>
        <v>36118</v>
      </c>
      <c r="E24" s="256">
        <f t="shared" si="3"/>
        <v>36158</v>
      </c>
      <c r="G24" s="256">
        <f t="shared" si="2"/>
        <v>36158</v>
      </c>
      <c r="L24" t="s">
        <v>13</v>
      </c>
      <c r="M24">
        <v>6756</v>
      </c>
    </row>
    <row r="25" spans="2:13" x14ac:dyDescent="0.25">
      <c r="B25" s="22" t="s">
        <v>108</v>
      </c>
      <c r="C25" s="241">
        <f>(45/60)*60</f>
        <v>45</v>
      </c>
      <c r="D25" s="166">
        <f>(21183/60)*60</f>
        <v>21183</v>
      </c>
      <c r="E25" s="256">
        <f t="shared" si="3"/>
        <v>21228</v>
      </c>
      <c r="G25" s="256">
        <f t="shared" si="2"/>
        <v>21228</v>
      </c>
      <c r="L25" t="s">
        <v>86</v>
      </c>
      <c r="M25">
        <v>7982</v>
      </c>
    </row>
    <row r="26" spans="2:13" x14ac:dyDescent="0.25">
      <c r="B26" s="70" t="s">
        <v>110</v>
      </c>
      <c r="C26" s="241">
        <f>(50/60)*60</f>
        <v>50</v>
      </c>
      <c r="D26" s="166">
        <f>(70210/60)*60</f>
        <v>70210</v>
      </c>
      <c r="E26" s="256">
        <f t="shared" si="3"/>
        <v>70260</v>
      </c>
      <c r="G26" s="256">
        <f t="shared" si="2"/>
        <v>70260</v>
      </c>
      <c r="L26" t="s">
        <v>104</v>
      </c>
      <c r="M26">
        <v>7985</v>
      </c>
    </row>
    <row r="27" spans="2:13" x14ac:dyDescent="0.25">
      <c r="B27" s="70" t="s">
        <v>109</v>
      </c>
      <c r="C27" s="241">
        <f>(55/60)*60</f>
        <v>55</v>
      </c>
      <c r="D27" s="166">
        <f>(70289/60)*60</f>
        <v>70289</v>
      </c>
      <c r="E27" s="256">
        <f t="shared" si="3"/>
        <v>70344</v>
      </c>
      <c r="G27" s="256">
        <f t="shared" si="2"/>
        <v>70344</v>
      </c>
      <c r="L27" t="s">
        <v>82</v>
      </c>
      <c r="M27">
        <v>7988</v>
      </c>
    </row>
    <row r="28" spans="2:13" ht="15.75" thickBot="1" x14ac:dyDescent="0.3">
      <c r="B28" s="124" t="s">
        <v>111</v>
      </c>
      <c r="C28" s="184">
        <f>(50/60)*60</f>
        <v>50</v>
      </c>
      <c r="D28" s="167">
        <f>(70266/60)*60</f>
        <v>70266</v>
      </c>
      <c r="E28" s="256">
        <f t="shared" si="3"/>
        <v>70316</v>
      </c>
      <c r="G28" s="256">
        <f t="shared" si="2"/>
        <v>70316</v>
      </c>
      <c r="L28" t="s">
        <v>15</v>
      </c>
      <c r="M28">
        <v>7996</v>
      </c>
    </row>
    <row r="29" spans="2:13" ht="15.75" thickBot="1" x14ac:dyDescent="0.3">
      <c r="B29" s="257" t="s">
        <v>147</v>
      </c>
      <c r="C29" s="258">
        <f>(50/60)*60</f>
        <v>50</v>
      </c>
      <c r="D29" s="259">
        <f>(46961/60)*60</f>
        <v>46961</v>
      </c>
      <c r="L29" t="s">
        <v>6</v>
      </c>
      <c r="M29">
        <v>7998</v>
      </c>
    </row>
    <row r="30" spans="2:13" ht="15.75" thickBot="1" x14ac:dyDescent="0.3">
      <c r="B30" s="260" t="s">
        <v>148</v>
      </c>
      <c r="C30" s="42">
        <v>55</v>
      </c>
      <c r="D30" s="47">
        <v>71586</v>
      </c>
      <c r="L30" t="s">
        <v>56</v>
      </c>
      <c r="M30">
        <v>9662</v>
      </c>
    </row>
    <row r="33" spans="2:2" ht="15.75" thickBot="1" x14ac:dyDescent="0.3"/>
    <row r="34" spans="2:2" ht="15.75" thickBot="1" x14ac:dyDescent="0.3">
      <c r="B34" s="28" t="s">
        <v>105</v>
      </c>
    </row>
    <row r="35" spans="2:2" ht="15.75" thickBot="1" x14ac:dyDescent="0.3">
      <c r="B35" s="46" t="s">
        <v>106</v>
      </c>
    </row>
    <row r="36" spans="2:2" ht="15.75" thickBot="1" x14ac:dyDescent="0.3">
      <c r="B36" s="46" t="s">
        <v>107</v>
      </c>
    </row>
    <row r="37" spans="2:2" ht="15.75" thickBot="1" x14ac:dyDescent="0.3">
      <c r="B37" s="46" t="s">
        <v>108</v>
      </c>
    </row>
    <row r="38" spans="2:2" ht="15.75" thickBot="1" x14ac:dyDescent="0.3">
      <c r="B38" s="46" t="s">
        <v>110</v>
      </c>
    </row>
    <row r="39" spans="2:2" ht="15.75" thickBot="1" x14ac:dyDescent="0.3">
      <c r="B39" s="46" t="s">
        <v>109</v>
      </c>
    </row>
    <row r="40" spans="2:2" ht="15.75" thickBot="1" x14ac:dyDescent="0.3">
      <c r="B40" s="47" t="s">
        <v>111</v>
      </c>
    </row>
  </sheetData>
  <sortState ref="G22:G28">
    <sortCondition ref="G22"/>
  </sortState>
  <mergeCells count="4">
    <mergeCell ref="B20:D20"/>
    <mergeCell ref="B1:I1"/>
    <mergeCell ref="C2:D2"/>
    <mergeCell ref="E2:F2"/>
  </mergeCell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29"/>
  <sheetViews>
    <sheetView topLeftCell="Y1" zoomScale="73" zoomScaleNormal="73" workbookViewId="0">
      <selection activeCell="AK4" sqref="AK4:AK13"/>
    </sheetView>
  </sheetViews>
  <sheetFormatPr defaultRowHeight="15" x14ac:dyDescent="0.25"/>
  <cols>
    <col min="2" max="2" width="15" customWidth="1"/>
    <col min="4" max="5" width="9.140625" customWidth="1"/>
    <col min="6" max="6" width="0.5703125" customWidth="1"/>
    <col min="7" max="7" width="13.85546875" customWidth="1"/>
    <col min="11" max="11" width="15" customWidth="1"/>
    <col min="13" max="13" width="9.140625" customWidth="1"/>
    <col min="15" max="15" width="14.7109375" customWidth="1"/>
    <col min="19" max="19" width="14.42578125" customWidth="1"/>
    <col min="23" max="23" width="14.42578125" customWidth="1"/>
    <col min="27" max="27" width="12.7109375" customWidth="1"/>
    <col min="31" max="31" width="12.85546875" customWidth="1"/>
    <col min="35" max="35" width="13" customWidth="1"/>
  </cols>
  <sheetData>
    <row r="1" spans="1:37" ht="15.75" thickBot="1" x14ac:dyDescent="0.3"/>
    <row r="2" spans="1:37" ht="15.75" thickBot="1" x14ac:dyDescent="0.3">
      <c r="B2" s="440" t="s">
        <v>13</v>
      </c>
      <c r="C2" s="441"/>
      <c r="D2" s="442"/>
      <c r="G2" s="440" t="s">
        <v>15</v>
      </c>
      <c r="H2" s="441"/>
      <c r="I2" s="442"/>
      <c r="K2" s="440" t="s">
        <v>6</v>
      </c>
      <c r="L2" s="441"/>
      <c r="M2" s="442"/>
      <c r="O2" s="440" t="s">
        <v>7</v>
      </c>
      <c r="P2" s="441"/>
      <c r="Q2" s="442"/>
      <c r="S2" s="440" t="s">
        <v>104</v>
      </c>
      <c r="T2" s="441"/>
      <c r="U2" s="442"/>
      <c r="W2" s="440" t="s">
        <v>86</v>
      </c>
      <c r="X2" s="441"/>
      <c r="Y2" s="442"/>
      <c r="AA2" s="440" t="s">
        <v>82</v>
      </c>
      <c r="AB2" s="441"/>
      <c r="AC2" s="442"/>
      <c r="AE2" s="440" t="s">
        <v>121</v>
      </c>
      <c r="AF2" s="441"/>
      <c r="AG2" s="442"/>
      <c r="AI2" s="440" t="s">
        <v>126</v>
      </c>
      <c r="AJ2" s="441"/>
      <c r="AK2" s="442"/>
    </row>
    <row r="3" spans="1:37" ht="15.75" thickBot="1" x14ac:dyDescent="0.3">
      <c r="A3" s="227"/>
      <c r="B3" s="157"/>
      <c r="C3" s="228" t="s">
        <v>1</v>
      </c>
      <c r="D3" s="229" t="s">
        <v>83</v>
      </c>
      <c r="E3" s="227"/>
      <c r="F3" s="227"/>
      <c r="G3" s="185"/>
      <c r="H3" s="228" t="s">
        <v>1</v>
      </c>
      <c r="I3" s="229" t="s">
        <v>83</v>
      </c>
      <c r="J3" s="227"/>
      <c r="K3" s="185"/>
      <c r="L3" s="228" t="s">
        <v>1</v>
      </c>
      <c r="M3" s="229" t="s">
        <v>83</v>
      </c>
      <c r="N3" s="227"/>
      <c r="O3" s="185"/>
      <c r="P3" s="228" t="s">
        <v>1</v>
      </c>
      <c r="Q3" s="229" t="s">
        <v>83</v>
      </c>
      <c r="R3" s="227"/>
      <c r="S3" s="185"/>
      <c r="T3" s="228" t="s">
        <v>1</v>
      </c>
      <c r="U3" s="229" t="s">
        <v>83</v>
      </c>
      <c r="V3" s="227"/>
      <c r="W3" s="185"/>
      <c r="X3" s="228" t="s">
        <v>1</v>
      </c>
      <c r="Y3" s="229" t="s">
        <v>83</v>
      </c>
      <c r="Z3" s="227"/>
      <c r="AA3" s="185"/>
      <c r="AB3" s="228" t="s">
        <v>1</v>
      </c>
      <c r="AC3" s="229" t="s">
        <v>83</v>
      </c>
      <c r="AD3" s="227"/>
      <c r="AE3" s="157"/>
      <c r="AF3" s="228" t="s">
        <v>1</v>
      </c>
      <c r="AG3" s="229" t="s">
        <v>83</v>
      </c>
      <c r="AI3" s="157"/>
      <c r="AJ3" s="228" t="s">
        <v>1</v>
      </c>
      <c r="AK3" s="229" t="s">
        <v>83</v>
      </c>
    </row>
    <row r="4" spans="1:37" x14ac:dyDescent="0.25">
      <c r="B4" s="232" t="s">
        <v>93</v>
      </c>
      <c r="C4" s="21">
        <v>24696</v>
      </c>
      <c r="D4" s="39">
        <v>11760731</v>
      </c>
      <c r="G4" s="230" t="s">
        <v>93</v>
      </c>
      <c r="H4" s="23">
        <v>30795</v>
      </c>
      <c r="I4" s="39">
        <v>23278039</v>
      </c>
      <c r="K4" s="230" t="s">
        <v>93</v>
      </c>
      <c r="L4" s="23">
        <v>30228</v>
      </c>
      <c r="M4" s="39">
        <v>23219339</v>
      </c>
      <c r="O4" s="230" t="s">
        <v>93</v>
      </c>
      <c r="P4" s="23">
        <v>30462</v>
      </c>
      <c r="Q4" s="39">
        <v>23254167</v>
      </c>
      <c r="S4" s="230" t="s">
        <v>93</v>
      </c>
      <c r="T4" s="23">
        <v>29083</v>
      </c>
      <c r="U4" s="39">
        <v>25799922</v>
      </c>
      <c r="W4" s="230" t="s">
        <v>93</v>
      </c>
      <c r="X4" s="23">
        <v>28378</v>
      </c>
      <c r="Y4" s="39">
        <v>25930366</v>
      </c>
      <c r="AA4" s="230" t="s">
        <v>93</v>
      </c>
      <c r="AB4" s="23">
        <v>29889</v>
      </c>
      <c r="AC4" s="39">
        <v>25234731</v>
      </c>
      <c r="AE4" s="232" t="s">
        <v>93</v>
      </c>
      <c r="AF4" s="21">
        <v>69206</v>
      </c>
      <c r="AG4" s="39">
        <v>3229614</v>
      </c>
      <c r="AI4" s="232" t="s">
        <v>93</v>
      </c>
      <c r="AJ4" s="21">
        <v>73400</v>
      </c>
      <c r="AK4" s="39">
        <v>1300234</v>
      </c>
    </row>
    <row r="5" spans="1:37" x14ac:dyDescent="0.25">
      <c r="B5" s="230" t="s">
        <v>94</v>
      </c>
      <c r="C5" s="24">
        <v>32572</v>
      </c>
      <c r="D5" s="39">
        <v>12468647</v>
      </c>
      <c r="G5" s="230" t="s">
        <v>94</v>
      </c>
      <c r="H5" s="23">
        <v>29505</v>
      </c>
      <c r="I5" s="39">
        <v>23214926</v>
      </c>
      <c r="K5" s="230" t="s">
        <v>94</v>
      </c>
      <c r="L5" s="23">
        <v>31140</v>
      </c>
      <c r="M5" s="39">
        <v>23295295</v>
      </c>
      <c r="O5" s="230" t="s">
        <v>94</v>
      </c>
      <c r="P5" s="23">
        <v>30474</v>
      </c>
      <c r="Q5" s="39">
        <v>23254194</v>
      </c>
      <c r="S5" s="230" t="s">
        <v>94</v>
      </c>
      <c r="T5" s="23">
        <v>37301</v>
      </c>
      <c r="U5" s="39">
        <v>24763210</v>
      </c>
      <c r="W5" s="230" t="s">
        <v>94</v>
      </c>
      <c r="X5" s="23">
        <v>37922</v>
      </c>
      <c r="Y5" s="39">
        <v>24375929</v>
      </c>
      <c r="AA5" s="230" t="s">
        <v>94</v>
      </c>
      <c r="AB5" s="23">
        <v>38727</v>
      </c>
      <c r="AC5" s="39">
        <v>23825000</v>
      </c>
      <c r="AE5" s="230" t="s">
        <v>94</v>
      </c>
      <c r="AF5" s="24">
        <v>77594</v>
      </c>
      <c r="AG5" s="39">
        <v>9405756</v>
      </c>
      <c r="AI5" s="230" t="s">
        <v>94</v>
      </c>
      <c r="AJ5" s="24">
        <v>71303</v>
      </c>
      <c r="AK5" s="39">
        <v>10561257</v>
      </c>
    </row>
    <row r="6" spans="1:37" x14ac:dyDescent="0.25">
      <c r="B6" s="230" t="s">
        <v>95</v>
      </c>
      <c r="C6" s="24">
        <v>31080</v>
      </c>
      <c r="D6" s="39">
        <v>12968606</v>
      </c>
      <c r="G6" s="230" t="s">
        <v>95</v>
      </c>
      <c r="H6" s="23">
        <v>30387</v>
      </c>
      <c r="I6" s="39">
        <v>23275982</v>
      </c>
      <c r="K6" s="230" t="s">
        <v>95</v>
      </c>
      <c r="L6" s="23">
        <v>31291</v>
      </c>
      <c r="M6" s="39">
        <v>23230192</v>
      </c>
      <c r="O6" s="230" t="s">
        <v>95</v>
      </c>
      <c r="P6" s="23">
        <v>30475</v>
      </c>
      <c r="Q6" s="39">
        <v>23254203</v>
      </c>
      <c r="S6" s="230" t="s">
        <v>95</v>
      </c>
      <c r="T6" s="23">
        <v>28287</v>
      </c>
      <c r="U6" s="39">
        <v>28308251</v>
      </c>
      <c r="W6" s="230" t="s">
        <v>95</v>
      </c>
      <c r="X6" s="23">
        <v>28508</v>
      </c>
      <c r="Y6" s="39">
        <v>26129390</v>
      </c>
      <c r="AA6" s="230" t="s">
        <v>95</v>
      </c>
      <c r="AB6" s="23">
        <v>28725</v>
      </c>
      <c r="AC6" s="39">
        <v>23330037</v>
      </c>
      <c r="AE6" s="230" t="s">
        <v>95</v>
      </c>
      <c r="AF6" s="24">
        <v>69206</v>
      </c>
      <c r="AG6" s="39">
        <v>1260388</v>
      </c>
      <c r="AI6" s="230" t="s">
        <v>95</v>
      </c>
      <c r="AJ6" s="24">
        <v>109051</v>
      </c>
      <c r="AK6" s="39">
        <v>1543503</v>
      </c>
    </row>
    <row r="7" spans="1:37" x14ac:dyDescent="0.25">
      <c r="B7" s="230" t="s">
        <v>96</v>
      </c>
      <c r="C7" s="24">
        <v>44889</v>
      </c>
      <c r="D7" s="39">
        <v>12890553</v>
      </c>
      <c r="G7" s="230" t="s">
        <v>96</v>
      </c>
      <c r="H7" s="23">
        <v>29455</v>
      </c>
      <c r="I7" s="39">
        <v>23242523</v>
      </c>
      <c r="K7" s="230" t="s">
        <v>96</v>
      </c>
      <c r="L7" s="23">
        <v>30957</v>
      </c>
      <c r="M7" s="39">
        <v>23237539</v>
      </c>
      <c r="O7" s="230" t="s">
        <v>96</v>
      </c>
      <c r="P7" s="23">
        <v>30475</v>
      </c>
      <c r="Q7" s="39">
        <v>23254187</v>
      </c>
      <c r="S7" s="230" t="s">
        <v>96</v>
      </c>
      <c r="T7" s="23">
        <v>30185</v>
      </c>
      <c r="U7" s="39">
        <v>27276617</v>
      </c>
      <c r="W7" s="230" t="s">
        <v>96</v>
      </c>
      <c r="X7" s="23">
        <v>30297</v>
      </c>
      <c r="Y7" s="39">
        <v>26808585</v>
      </c>
      <c r="AA7" s="230" t="s">
        <v>96</v>
      </c>
      <c r="AB7" s="23">
        <v>27849</v>
      </c>
      <c r="AC7" s="39">
        <v>27193070</v>
      </c>
      <c r="AE7" s="230" t="s">
        <v>96</v>
      </c>
      <c r="AF7" s="24">
        <v>111149</v>
      </c>
      <c r="AG7" s="39">
        <v>2128609</v>
      </c>
      <c r="AI7" s="230" t="s">
        <v>96</v>
      </c>
      <c r="AJ7" s="24">
        <v>69206</v>
      </c>
      <c r="AK7" s="39">
        <v>1488977</v>
      </c>
    </row>
    <row r="8" spans="1:37" x14ac:dyDescent="0.25">
      <c r="B8" s="230" t="s">
        <v>97</v>
      </c>
      <c r="C8" s="24">
        <v>49403</v>
      </c>
      <c r="D8" s="39">
        <v>13741591</v>
      </c>
      <c r="G8" s="230" t="s">
        <v>97</v>
      </c>
      <c r="H8" s="23">
        <v>30269</v>
      </c>
      <c r="I8" s="39">
        <v>23282987</v>
      </c>
      <c r="K8" s="230" t="s">
        <v>97</v>
      </c>
      <c r="L8" s="23">
        <v>30551</v>
      </c>
      <c r="M8" s="39">
        <v>23235461</v>
      </c>
      <c r="O8" s="230" t="s">
        <v>97</v>
      </c>
      <c r="P8" s="23">
        <v>30475</v>
      </c>
      <c r="Q8" s="39">
        <v>23254177</v>
      </c>
      <c r="S8" s="230" t="s">
        <v>97</v>
      </c>
      <c r="T8" s="23">
        <v>28041</v>
      </c>
      <c r="U8" s="39">
        <v>23530005</v>
      </c>
      <c r="W8" s="230" t="s">
        <v>97</v>
      </c>
      <c r="X8" s="23">
        <v>27887</v>
      </c>
      <c r="Y8" s="39">
        <v>25775907</v>
      </c>
      <c r="AA8" s="230" t="s">
        <v>97</v>
      </c>
      <c r="AB8" s="23">
        <v>30150</v>
      </c>
      <c r="AC8" s="39">
        <v>22498312</v>
      </c>
      <c r="AE8" s="230" t="s">
        <v>97</v>
      </c>
      <c r="AF8" s="24">
        <v>92276</v>
      </c>
      <c r="AG8" s="39">
        <v>2155872</v>
      </c>
      <c r="AI8" s="230" t="s">
        <v>97</v>
      </c>
      <c r="AJ8" s="24">
        <v>73400</v>
      </c>
      <c r="AK8" s="39">
        <v>1113587</v>
      </c>
    </row>
    <row r="9" spans="1:37" x14ac:dyDescent="0.25">
      <c r="B9" s="230" t="s">
        <v>98</v>
      </c>
      <c r="C9" s="24">
        <v>18966</v>
      </c>
      <c r="D9" s="39">
        <v>15690275</v>
      </c>
      <c r="G9" s="230" t="s">
        <v>98</v>
      </c>
      <c r="H9" s="23">
        <v>30302</v>
      </c>
      <c r="I9" s="39">
        <v>23277982</v>
      </c>
      <c r="K9" s="230" t="s">
        <v>98</v>
      </c>
      <c r="L9" s="23">
        <v>29767</v>
      </c>
      <c r="M9" s="39">
        <v>23285312</v>
      </c>
      <c r="O9" s="230" t="s">
        <v>98</v>
      </c>
      <c r="P9" s="23">
        <v>30475</v>
      </c>
      <c r="Q9" s="39">
        <v>23254187</v>
      </c>
      <c r="S9" s="230" t="s">
        <v>98</v>
      </c>
      <c r="T9" s="23">
        <v>28574</v>
      </c>
      <c r="U9" s="39">
        <v>22582947</v>
      </c>
      <c r="W9" s="230" t="s">
        <v>98</v>
      </c>
      <c r="X9" s="23">
        <v>29322</v>
      </c>
      <c r="Y9" s="39">
        <v>23951210</v>
      </c>
      <c r="AA9" s="230" t="s">
        <v>98</v>
      </c>
      <c r="AB9" s="23">
        <v>29754</v>
      </c>
      <c r="AC9" s="39">
        <v>10581276</v>
      </c>
      <c r="AE9" s="230" t="s">
        <v>98</v>
      </c>
      <c r="AF9" s="24">
        <v>113246</v>
      </c>
      <c r="AG9" s="39">
        <v>1298137</v>
      </c>
      <c r="AI9" s="230" t="s">
        <v>98</v>
      </c>
      <c r="AJ9" s="24">
        <v>69206</v>
      </c>
      <c r="AK9" s="39">
        <v>1201668</v>
      </c>
    </row>
    <row r="10" spans="1:37" x14ac:dyDescent="0.25">
      <c r="B10" s="230" t="s">
        <v>99</v>
      </c>
      <c r="C10" s="24">
        <v>23516</v>
      </c>
      <c r="D10" s="39">
        <v>16778577</v>
      </c>
      <c r="G10" s="230" t="s">
        <v>99</v>
      </c>
      <c r="H10" s="23">
        <v>31754</v>
      </c>
      <c r="I10" s="39">
        <v>23289565</v>
      </c>
      <c r="K10" s="230" t="s">
        <v>99</v>
      </c>
      <c r="L10" s="23">
        <v>30836</v>
      </c>
      <c r="M10" s="39">
        <v>23283548</v>
      </c>
      <c r="O10" s="230" t="s">
        <v>99</v>
      </c>
      <c r="P10" s="23">
        <v>30475</v>
      </c>
      <c r="Q10" s="39">
        <v>23254193</v>
      </c>
      <c r="S10" s="230" t="s">
        <v>99</v>
      </c>
      <c r="T10" s="23">
        <v>27880</v>
      </c>
      <c r="U10" s="39">
        <v>9725626</v>
      </c>
      <c r="W10" s="230" t="s">
        <v>99</v>
      </c>
      <c r="X10" s="23">
        <v>28327</v>
      </c>
      <c r="Y10" s="39">
        <v>9399228</v>
      </c>
      <c r="AA10" s="230" t="s">
        <v>99</v>
      </c>
      <c r="AB10" s="23">
        <v>32455</v>
      </c>
      <c r="AC10" s="39">
        <v>21877623</v>
      </c>
      <c r="AE10" s="230" t="s">
        <v>99</v>
      </c>
      <c r="AF10" s="24">
        <v>77594</v>
      </c>
      <c r="AG10" s="39">
        <v>1061158</v>
      </c>
      <c r="AI10" s="230" t="s">
        <v>99</v>
      </c>
      <c r="AJ10" s="24">
        <v>102760</v>
      </c>
      <c r="AK10" s="39">
        <v>748683</v>
      </c>
    </row>
    <row r="11" spans="1:37" x14ac:dyDescent="0.25">
      <c r="B11" s="230" t="s">
        <v>100</v>
      </c>
      <c r="C11" s="24">
        <v>24893</v>
      </c>
      <c r="D11" s="39">
        <v>18506490</v>
      </c>
      <c r="G11" s="230" t="s">
        <v>100</v>
      </c>
      <c r="H11" s="23">
        <v>29360</v>
      </c>
      <c r="I11" s="39">
        <v>23183561</v>
      </c>
      <c r="K11" s="230" t="s">
        <v>100</v>
      </c>
      <c r="L11" s="23">
        <v>30458</v>
      </c>
      <c r="M11" s="39">
        <v>23242471</v>
      </c>
      <c r="O11" s="230" t="s">
        <v>100</v>
      </c>
      <c r="P11" s="56">
        <v>30475</v>
      </c>
      <c r="Q11" s="39">
        <v>23254184</v>
      </c>
      <c r="S11" s="230" t="s">
        <v>100</v>
      </c>
      <c r="T11" s="23">
        <v>32681</v>
      </c>
      <c r="U11" s="39">
        <v>22611017</v>
      </c>
      <c r="W11" s="230" t="s">
        <v>100</v>
      </c>
      <c r="X11" s="23">
        <v>32433</v>
      </c>
      <c r="Y11" s="39">
        <v>22983510</v>
      </c>
      <c r="AA11" s="230" t="s">
        <v>100</v>
      </c>
      <c r="AB11" s="23">
        <v>28942</v>
      </c>
      <c r="AC11" s="39">
        <v>25056172</v>
      </c>
      <c r="AE11" s="230" t="s">
        <v>100</v>
      </c>
      <c r="AF11" s="24">
        <v>69206</v>
      </c>
      <c r="AG11" s="39">
        <v>5007998</v>
      </c>
      <c r="AI11" s="230" t="s">
        <v>100</v>
      </c>
      <c r="AJ11" s="24">
        <v>94371</v>
      </c>
      <c r="AK11" s="39">
        <v>4020240</v>
      </c>
    </row>
    <row r="12" spans="1:37" x14ac:dyDescent="0.25">
      <c r="B12" s="230" t="s">
        <v>101</v>
      </c>
      <c r="C12" s="24">
        <v>29445</v>
      </c>
      <c r="D12" s="39">
        <v>107697634</v>
      </c>
      <c r="G12" s="230" t="s">
        <v>101</v>
      </c>
      <c r="H12" s="23">
        <v>30570</v>
      </c>
      <c r="I12" s="39">
        <v>23250377</v>
      </c>
      <c r="K12" s="230" t="s">
        <v>101</v>
      </c>
      <c r="L12" s="23">
        <v>28348</v>
      </c>
      <c r="M12" s="39">
        <v>23272929</v>
      </c>
      <c r="O12" s="230" t="s">
        <v>101</v>
      </c>
      <c r="P12" s="23">
        <v>30475</v>
      </c>
      <c r="Q12" s="39">
        <v>23254183</v>
      </c>
      <c r="S12" s="230" t="s">
        <v>101</v>
      </c>
      <c r="T12" s="23">
        <v>31464</v>
      </c>
      <c r="U12" s="39">
        <v>24131797</v>
      </c>
      <c r="W12" s="230" t="s">
        <v>101</v>
      </c>
      <c r="X12" s="23">
        <v>31137</v>
      </c>
      <c r="Y12" s="39">
        <v>23180377</v>
      </c>
      <c r="AA12" s="230" t="s">
        <v>101</v>
      </c>
      <c r="AB12" s="23">
        <v>29571</v>
      </c>
      <c r="AC12" s="39">
        <v>25872623</v>
      </c>
      <c r="AE12" s="230" t="s">
        <v>101</v>
      </c>
      <c r="AF12" s="24">
        <v>69206</v>
      </c>
      <c r="AG12" s="39">
        <v>551550</v>
      </c>
      <c r="AI12" s="230" t="s">
        <v>101</v>
      </c>
      <c r="AJ12" s="24">
        <v>69206</v>
      </c>
      <c r="AK12" s="39">
        <v>2122317</v>
      </c>
    </row>
    <row r="13" spans="1:37" ht="15.75" thickBot="1" x14ac:dyDescent="0.3">
      <c r="B13" s="231" t="s">
        <v>102</v>
      </c>
      <c r="C13" s="27">
        <v>25267</v>
      </c>
      <c r="D13" s="40">
        <v>10033298</v>
      </c>
      <c r="G13" s="231" t="s">
        <v>102</v>
      </c>
      <c r="H13" s="26">
        <v>32186</v>
      </c>
      <c r="I13" s="40">
        <v>23240460</v>
      </c>
      <c r="K13" s="231" t="s">
        <v>102</v>
      </c>
      <c r="L13" s="26">
        <v>31007</v>
      </c>
      <c r="M13" s="40">
        <v>23234316</v>
      </c>
      <c r="O13" s="231" t="s">
        <v>102</v>
      </c>
      <c r="P13" s="26">
        <v>30475</v>
      </c>
      <c r="Q13" s="40">
        <v>23254178</v>
      </c>
      <c r="S13" s="231" t="s">
        <v>102</v>
      </c>
      <c r="T13" s="26">
        <v>31087</v>
      </c>
      <c r="U13" s="40">
        <v>23807010</v>
      </c>
      <c r="W13" s="231" t="s">
        <v>102</v>
      </c>
      <c r="X13" s="26">
        <v>30372</v>
      </c>
      <c r="Y13" s="40">
        <v>24001900</v>
      </c>
      <c r="AA13" s="231" t="s">
        <v>102</v>
      </c>
      <c r="AB13" s="26">
        <v>28521</v>
      </c>
      <c r="AC13" s="40">
        <v>27067558</v>
      </c>
      <c r="AE13" s="231" t="s">
        <v>102</v>
      </c>
      <c r="AF13" s="27">
        <v>75497</v>
      </c>
      <c r="AG13" s="40">
        <v>1333788</v>
      </c>
      <c r="AI13" s="231" t="s">
        <v>102</v>
      </c>
      <c r="AJ13" s="27">
        <v>77594</v>
      </c>
      <c r="AK13" s="40">
        <v>1723247</v>
      </c>
    </row>
    <row r="14" spans="1:37" x14ac:dyDescent="0.25">
      <c r="A14" s="233"/>
      <c r="B14" s="234" t="s">
        <v>103</v>
      </c>
      <c r="C14">
        <f>STDEV(C4:C13)</f>
        <v>9686.3044902469301</v>
      </c>
      <c r="D14">
        <f t="shared" ref="D14:I14" si="0">STDEV(D4:D13)</f>
        <v>29775623.015014127</v>
      </c>
      <c r="F14" t="e">
        <f t="shared" si="0"/>
        <v>#DIV/0!</v>
      </c>
      <c r="H14">
        <f t="shared" si="0"/>
        <v>941.43106787249985</v>
      </c>
      <c r="I14">
        <f t="shared" si="0"/>
        <v>34248.517336277982</v>
      </c>
      <c r="L14">
        <f>STDEV(L4:L13)</f>
        <v>871.99822247525242</v>
      </c>
      <c r="M14">
        <f>STDEV(M4:M13)</f>
        <v>27525.861935439712</v>
      </c>
      <c r="P14">
        <f>STDEV(P4:P13)</f>
        <v>4.0879225911349044</v>
      </c>
      <c r="Q14">
        <f>STDEV(Q4:Q13)</f>
        <v>10.100055005350768</v>
      </c>
      <c r="T14">
        <f>STDEV(T4:T13)</f>
        <v>2903.8648212339358</v>
      </c>
      <c r="U14">
        <f>STDEV(U4:U13)</f>
        <v>5115548.2143887356</v>
      </c>
      <c r="X14">
        <f>STDEV(X4:X13)</f>
        <v>2994.0102445456737</v>
      </c>
      <c r="Y14">
        <f>STDEV(Y4:Y13)</f>
        <v>5041641.7519574361</v>
      </c>
      <c r="AB14">
        <f>STDEV(AB4:AB13)</f>
        <v>3160.9733750504406</v>
      </c>
      <c r="AC14">
        <f>STDEV(AC4:AC13)</f>
        <v>4801423.8122410225</v>
      </c>
      <c r="AF14">
        <f t="shared" ref="AF14:AK14" si="1">STDEV(AF4:AF13)</f>
        <v>17210.094189167008</v>
      </c>
      <c r="AG14">
        <f t="shared" si="1"/>
        <v>2674659.1249858779</v>
      </c>
      <c r="AJ14">
        <f t="shared" si="1"/>
        <v>15193.428748054932</v>
      </c>
      <c r="AK14">
        <f t="shared" si="1"/>
        <v>2944383.4316671859</v>
      </c>
    </row>
    <row r="16" spans="1:37" ht="15.75" thickBot="1" x14ac:dyDescent="0.3">
      <c r="AF16" s="312"/>
    </row>
    <row r="17" spans="2:4" ht="15.75" thickBot="1" x14ac:dyDescent="0.3">
      <c r="B17" s="440" t="s">
        <v>157</v>
      </c>
      <c r="C17" s="441"/>
      <c r="D17" s="442"/>
    </row>
    <row r="18" spans="2:4" ht="15.75" thickBot="1" x14ac:dyDescent="0.3">
      <c r="B18" s="157"/>
      <c r="C18" s="228" t="s">
        <v>1</v>
      </c>
      <c r="D18" s="229"/>
    </row>
    <row r="19" spans="2:4" x14ac:dyDescent="0.25">
      <c r="B19" s="232" t="s">
        <v>93</v>
      </c>
      <c r="C19" s="21">
        <v>37740</v>
      </c>
      <c r="D19" s="39"/>
    </row>
    <row r="20" spans="2:4" x14ac:dyDescent="0.25">
      <c r="B20" s="230" t="s">
        <v>94</v>
      </c>
      <c r="C20" s="24">
        <v>76070</v>
      </c>
      <c r="D20" s="39"/>
    </row>
    <row r="21" spans="2:4" x14ac:dyDescent="0.25">
      <c r="B21" s="230" t="s">
        <v>95</v>
      </c>
      <c r="C21" s="24">
        <v>62930</v>
      </c>
      <c r="D21" s="39"/>
    </row>
    <row r="22" spans="2:4" x14ac:dyDescent="0.25">
      <c r="B22" s="230" t="s">
        <v>96</v>
      </c>
      <c r="C22" s="24">
        <v>38940</v>
      </c>
      <c r="D22" s="39"/>
    </row>
    <row r="23" spans="2:4" x14ac:dyDescent="0.25">
      <c r="B23" s="230" t="s">
        <v>97</v>
      </c>
      <c r="C23" s="24">
        <v>54940</v>
      </c>
      <c r="D23" s="39"/>
    </row>
    <row r="24" spans="2:4" x14ac:dyDescent="0.25">
      <c r="B24" s="230" t="s">
        <v>98</v>
      </c>
      <c r="C24" s="24">
        <v>50200</v>
      </c>
      <c r="D24" s="39"/>
    </row>
    <row r="25" spans="2:4" x14ac:dyDescent="0.25">
      <c r="B25" s="230" t="s">
        <v>99</v>
      </c>
      <c r="C25" s="24">
        <v>42810</v>
      </c>
      <c r="D25" s="39"/>
    </row>
    <row r="26" spans="2:4" x14ac:dyDescent="0.25">
      <c r="B26" s="230" t="s">
        <v>100</v>
      </c>
      <c r="C26" s="24">
        <v>42550</v>
      </c>
      <c r="D26" s="39"/>
    </row>
    <row r="27" spans="2:4" x14ac:dyDescent="0.25">
      <c r="B27" s="230" t="s">
        <v>101</v>
      </c>
      <c r="C27" s="24">
        <v>56600</v>
      </c>
      <c r="D27" s="39"/>
    </row>
    <row r="28" spans="2:4" ht="15.75" thickBot="1" x14ac:dyDescent="0.3">
      <c r="B28" s="231" t="s">
        <v>102</v>
      </c>
      <c r="C28" s="27">
        <v>47120</v>
      </c>
      <c r="D28" s="40"/>
    </row>
    <row r="29" spans="2:4" x14ac:dyDescent="0.25">
      <c r="B29" s="234" t="s">
        <v>103</v>
      </c>
      <c r="C29">
        <f>STDEV(C19:C28)</f>
        <v>11986.828882847483</v>
      </c>
    </row>
  </sheetData>
  <mergeCells count="10">
    <mergeCell ref="B17:D17"/>
    <mergeCell ref="AI2:AK2"/>
    <mergeCell ref="S2:U2"/>
    <mergeCell ref="W2:Y2"/>
    <mergeCell ref="AA2:AC2"/>
    <mergeCell ref="B2:D2"/>
    <mergeCell ref="G2:I2"/>
    <mergeCell ref="K2:M2"/>
    <mergeCell ref="O2:Q2"/>
    <mergeCell ref="AE2:AG2"/>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X22"/>
  <sheetViews>
    <sheetView zoomScale="69" zoomScaleNormal="69" workbookViewId="0">
      <selection activeCell="D25" sqref="D25"/>
    </sheetView>
  </sheetViews>
  <sheetFormatPr defaultRowHeight="15" x14ac:dyDescent="0.25"/>
  <cols>
    <col min="5" max="5" width="12" bestFit="1" customWidth="1"/>
    <col min="8" max="11" width="9.140625" customWidth="1"/>
    <col min="18" max="20" width="9.140625" customWidth="1"/>
    <col min="24" max="24" width="23.7109375" customWidth="1"/>
  </cols>
  <sheetData>
    <row r="2" spans="2:24" ht="15.75" thickBot="1" x14ac:dyDescent="0.3"/>
    <row r="3" spans="2:24" x14ac:dyDescent="0.25">
      <c r="B3" s="443" t="s">
        <v>1</v>
      </c>
      <c r="C3" s="444"/>
      <c r="D3" s="444"/>
      <c r="E3" s="444"/>
      <c r="F3" s="444"/>
      <c r="G3" s="444"/>
      <c r="H3" s="444"/>
      <c r="I3" s="393"/>
      <c r="J3" s="393"/>
      <c r="K3" s="394"/>
      <c r="L3" s="445" t="s">
        <v>83</v>
      </c>
      <c r="M3" s="446"/>
      <c r="N3" s="446"/>
      <c r="O3" s="446"/>
      <c r="P3" s="446"/>
      <c r="Q3" s="446"/>
      <c r="R3" s="446"/>
      <c r="S3" s="395"/>
      <c r="T3" s="396"/>
    </row>
    <row r="4" spans="2:24" ht="15.75" thickBot="1" x14ac:dyDescent="0.3">
      <c r="B4" s="397"/>
      <c r="C4" s="398"/>
      <c r="D4" s="398"/>
      <c r="E4" s="398"/>
      <c r="F4" s="398"/>
      <c r="G4" s="398"/>
      <c r="H4" s="398"/>
      <c r="I4" s="398"/>
      <c r="J4" s="398"/>
      <c r="K4" s="399"/>
      <c r="L4" s="400"/>
      <c r="M4" s="401"/>
      <c r="N4" s="401"/>
      <c r="O4" s="401"/>
      <c r="P4" s="401"/>
      <c r="Q4" s="401"/>
      <c r="R4" s="401"/>
      <c r="S4" s="401"/>
      <c r="T4" s="402"/>
    </row>
    <row r="5" spans="2:24" x14ac:dyDescent="0.25">
      <c r="B5" s="22" t="s">
        <v>105</v>
      </c>
      <c r="C5" s="23" t="s">
        <v>106</v>
      </c>
      <c r="D5" s="23" t="s">
        <v>107</v>
      </c>
      <c r="E5" s="23" t="s">
        <v>108</v>
      </c>
      <c r="F5" s="23" t="s">
        <v>110</v>
      </c>
      <c r="G5" s="23" t="s">
        <v>109</v>
      </c>
      <c r="H5" s="23" t="s">
        <v>111</v>
      </c>
      <c r="I5" s="56" t="s">
        <v>147</v>
      </c>
      <c r="J5" s="23" t="s">
        <v>148</v>
      </c>
      <c r="K5" s="24" t="s">
        <v>156</v>
      </c>
      <c r="L5" s="22" t="s">
        <v>105</v>
      </c>
      <c r="M5" s="23" t="s">
        <v>106</v>
      </c>
      <c r="N5" s="23" t="s">
        <v>107</v>
      </c>
      <c r="O5" s="23" t="s">
        <v>108</v>
      </c>
      <c r="P5" s="23" t="s">
        <v>110</v>
      </c>
      <c r="Q5" s="23" t="s">
        <v>109</v>
      </c>
      <c r="R5" s="23" t="s">
        <v>111</v>
      </c>
      <c r="S5" s="23" t="s">
        <v>147</v>
      </c>
      <c r="T5" s="24" t="s">
        <v>148</v>
      </c>
    </row>
    <row r="6" spans="2:24" ht="15.75" thickBot="1" x14ac:dyDescent="0.3">
      <c r="B6" s="25">
        <v>0.17708491717358665</v>
      </c>
      <c r="C6" s="26">
        <v>1.7862308650041347E-2</v>
      </c>
      <c r="D6" s="26">
        <v>1.5239414762697301E-2</v>
      </c>
      <c r="E6" s="26">
        <v>4.5212176368325502E-5</v>
      </c>
      <c r="F6" s="26">
        <v>5.172645879776594E-2</v>
      </c>
      <c r="G6" s="26">
        <v>5.0859699983255791E-2</v>
      </c>
      <c r="H6" s="26">
        <v>4.9462525631582821E-2</v>
      </c>
      <c r="I6" s="26">
        <v>0.11224247130481205</v>
      </c>
      <c r="J6" s="26">
        <v>0.10132231634102547</v>
      </c>
      <c r="K6" s="27">
        <v>0.13567366150225532</v>
      </c>
      <c r="L6" s="25">
        <v>0.45723839353499951</v>
      </c>
      <c r="M6" s="26">
        <v>8.363517305225443E-4</v>
      </c>
      <c r="N6" s="26">
        <v>6.84690887904571E-4</v>
      </c>
      <c r="O6" s="238">
        <v>2.5467339082041462E-7</v>
      </c>
      <c r="P6" s="26">
        <v>0.10515354447123881</v>
      </c>
      <c r="Q6" s="26">
        <v>9.4753832706731655E-2</v>
      </c>
      <c r="R6" s="26">
        <v>0.10017666920907375</v>
      </c>
      <c r="S6" s="26">
        <v>0.48818114911053784</v>
      </c>
      <c r="T6" s="27">
        <v>0.49302896742833041</v>
      </c>
    </row>
    <row r="7" spans="2:24" ht="15.75" thickBot="1" x14ac:dyDescent="0.3">
      <c r="X7" s="238"/>
    </row>
    <row r="8" spans="2:24" ht="15.75" thickBot="1" x14ac:dyDescent="0.3"/>
    <row r="9" spans="2:24" ht="15.75" thickBot="1" x14ac:dyDescent="0.3">
      <c r="B9" s="403" t="s">
        <v>171</v>
      </c>
      <c r="C9" s="405"/>
      <c r="D9" t="s">
        <v>172</v>
      </c>
    </row>
    <row r="10" spans="2:24" x14ac:dyDescent="0.25">
      <c r="B10" s="22" t="s">
        <v>160</v>
      </c>
      <c r="C10" s="39">
        <v>1300234</v>
      </c>
      <c r="D10" s="39">
        <v>748683</v>
      </c>
      <c r="E10">
        <v>1</v>
      </c>
      <c r="F10">
        <f>+E10</f>
        <v>1</v>
      </c>
      <c r="G10" s="391">
        <f>+F10/E20</f>
        <v>0.1</v>
      </c>
      <c r="H10">
        <f>+D10</f>
        <v>748683</v>
      </c>
      <c r="L10">
        <f>+H10/H19</f>
        <v>2.8992074067737666E-2</v>
      </c>
      <c r="M10" s="391">
        <f>+G10-L10</f>
        <v>7.1007925932262336E-2</v>
      </c>
    </row>
    <row r="11" spans="2:24" x14ac:dyDescent="0.25">
      <c r="B11" s="22" t="s">
        <v>161</v>
      </c>
      <c r="C11" s="39">
        <v>10561257</v>
      </c>
      <c r="D11" s="39">
        <v>1113587</v>
      </c>
      <c r="E11">
        <v>1</v>
      </c>
      <c r="F11">
        <f>+F10+E11</f>
        <v>2</v>
      </c>
      <c r="G11" s="391">
        <f>+F11/E20</f>
        <v>0.2</v>
      </c>
      <c r="H11">
        <f>+D11+H10</f>
        <v>1862270</v>
      </c>
      <c r="L11">
        <f>+H11/H19</f>
        <v>7.2114726491887521E-2</v>
      </c>
      <c r="M11" s="391">
        <f t="shared" ref="M11:M18" si="0">+G11-L11</f>
        <v>0.12788527350811249</v>
      </c>
    </row>
    <row r="12" spans="2:24" x14ac:dyDescent="0.25">
      <c r="B12" s="22" t="s">
        <v>162</v>
      </c>
      <c r="C12" s="39">
        <v>1543503</v>
      </c>
      <c r="D12" s="39">
        <v>1201668</v>
      </c>
      <c r="E12">
        <v>1</v>
      </c>
      <c r="F12">
        <f t="shared" ref="F12:F19" si="1">+F11+E12</f>
        <v>3</v>
      </c>
      <c r="G12" s="391">
        <f>+F12/E20</f>
        <v>0.3</v>
      </c>
      <c r="H12">
        <f t="shared" ref="H12:H20" si="2">+D12+H11</f>
        <v>3063938</v>
      </c>
      <c r="L12">
        <f>+H12/H19</f>
        <v>0.1186482362160701</v>
      </c>
      <c r="M12" s="391">
        <f t="shared" si="0"/>
        <v>0.18135176378392989</v>
      </c>
    </row>
    <row r="13" spans="2:24" x14ac:dyDescent="0.25">
      <c r="B13" s="22" t="s">
        <v>163</v>
      </c>
      <c r="C13" s="39">
        <v>1488977</v>
      </c>
      <c r="D13" s="39">
        <v>1300234</v>
      </c>
      <c r="E13">
        <v>1</v>
      </c>
      <c r="F13">
        <f t="shared" si="1"/>
        <v>4</v>
      </c>
      <c r="G13" s="391">
        <f>+F13/E20</f>
        <v>0.4</v>
      </c>
      <c r="H13">
        <f t="shared" si="2"/>
        <v>4364172</v>
      </c>
      <c r="L13">
        <f>+H13/H19</f>
        <v>0.16899862541068358</v>
      </c>
      <c r="M13" s="391">
        <f t="shared" si="0"/>
        <v>0.23100137458931644</v>
      </c>
    </row>
    <row r="14" spans="2:24" x14ac:dyDescent="0.25">
      <c r="B14" s="22" t="s">
        <v>164</v>
      </c>
      <c r="C14" s="39">
        <v>1113587</v>
      </c>
      <c r="D14" s="39">
        <v>1488977</v>
      </c>
      <c r="E14">
        <v>1</v>
      </c>
      <c r="F14">
        <f t="shared" si="1"/>
        <v>5</v>
      </c>
      <c r="G14" s="391">
        <f>+F14/E20</f>
        <v>0.5</v>
      </c>
      <c r="H14">
        <f t="shared" si="2"/>
        <v>5853149</v>
      </c>
      <c r="L14">
        <f>+H14/H19</f>
        <v>0.22665791708574209</v>
      </c>
      <c r="M14" s="391">
        <f t="shared" si="0"/>
        <v>0.27334208291425788</v>
      </c>
    </row>
    <row r="15" spans="2:24" x14ac:dyDescent="0.25">
      <c r="B15" s="22" t="s">
        <v>165</v>
      </c>
      <c r="C15" s="39">
        <v>1201668</v>
      </c>
      <c r="D15" s="39">
        <v>1543503</v>
      </c>
      <c r="E15">
        <v>1</v>
      </c>
      <c r="F15">
        <f t="shared" si="1"/>
        <v>6</v>
      </c>
      <c r="G15" s="391">
        <f>+F15/E20</f>
        <v>0.6</v>
      </c>
      <c r="H15">
        <f t="shared" si="2"/>
        <v>7396652</v>
      </c>
      <c r="L15">
        <f>+H15/H19</f>
        <v>0.28642867894326429</v>
      </c>
      <c r="M15" s="391">
        <f t="shared" si="0"/>
        <v>0.31357132105673569</v>
      </c>
    </row>
    <row r="16" spans="2:24" x14ac:dyDescent="0.25">
      <c r="B16" s="22" t="s">
        <v>166</v>
      </c>
      <c r="C16" s="39">
        <v>748683</v>
      </c>
      <c r="D16" s="39">
        <v>1723247</v>
      </c>
      <c r="E16">
        <v>1</v>
      </c>
      <c r="F16">
        <f t="shared" si="1"/>
        <v>7</v>
      </c>
      <c r="G16" s="391">
        <f>+F16/E20</f>
        <v>0.7</v>
      </c>
      <c r="H16">
        <f t="shared" si="2"/>
        <v>9119899</v>
      </c>
      <c r="L16">
        <f>+H16/H19</f>
        <v>0.35315986512086778</v>
      </c>
      <c r="M16" s="391">
        <f t="shared" si="0"/>
        <v>0.34684013487913218</v>
      </c>
    </row>
    <row r="17" spans="2:13" x14ac:dyDescent="0.25">
      <c r="B17" s="22" t="s">
        <v>167</v>
      </c>
      <c r="C17" s="39">
        <v>4020240</v>
      </c>
      <c r="D17" s="39">
        <v>2122317</v>
      </c>
      <c r="E17">
        <v>1</v>
      </c>
      <c r="F17">
        <f t="shared" si="1"/>
        <v>8</v>
      </c>
      <c r="G17" s="391">
        <f>+F17/E20</f>
        <v>0.8</v>
      </c>
      <c r="H17">
        <f t="shared" si="2"/>
        <v>11242216</v>
      </c>
      <c r="L17">
        <f>+H17/H19</f>
        <v>0.43534467719649766</v>
      </c>
      <c r="M17" s="391">
        <f t="shared" si="0"/>
        <v>0.36465532280350238</v>
      </c>
    </row>
    <row r="18" spans="2:13" x14ac:dyDescent="0.25">
      <c r="B18" s="22" t="s">
        <v>168</v>
      </c>
      <c r="C18" s="39">
        <v>2122317</v>
      </c>
      <c r="D18" s="39">
        <v>4020240</v>
      </c>
      <c r="E18">
        <v>1</v>
      </c>
      <c r="F18">
        <f t="shared" si="1"/>
        <v>9</v>
      </c>
      <c r="G18" s="391">
        <f>+F18/E20</f>
        <v>0.9</v>
      </c>
      <c r="H18">
        <f t="shared" si="2"/>
        <v>15262456</v>
      </c>
      <c r="L18">
        <f>+H18/H19</f>
        <v>0.59102484603976202</v>
      </c>
      <c r="M18" s="391">
        <f t="shared" si="0"/>
        <v>0.308975153960238</v>
      </c>
    </row>
    <row r="19" spans="2:13" ht="15.75" thickBot="1" x14ac:dyDescent="0.3">
      <c r="B19" s="25" t="s">
        <v>169</v>
      </c>
      <c r="C19" s="40">
        <v>1723247</v>
      </c>
      <c r="D19" s="40">
        <v>10561257</v>
      </c>
      <c r="E19">
        <v>1</v>
      </c>
      <c r="F19">
        <f t="shared" si="1"/>
        <v>10</v>
      </c>
      <c r="G19">
        <f>+F19/E20</f>
        <v>1</v>
      </c>
      <c r="H19">
        <f t="shared" si="2"/>
        <v>25823713</v>
      </c>
      <c r="L19">
        <f>+H19/H19</f>
        <v>1</v>
      </c>
    </row>
    <row r="20" spans="2:13" x14ac:dyDescent="0.25">
      <c r="E20">
        <f>SUM(E10:E19)</f>
        <v>10</v>
      </c>
      <c r="H20">
        <f t="shared" si="2"/>
        <v>25823713</v>
      </c>
    </row>
    <row r="22" spans="2:13" x14ac:dyDescent="0.25">
      <c r="F22" t="s">
        <v>170</v>
      </c>
      <c r="G22">
        <f>SUM(M10:M18)</f>
        <v>2.2186303534274869</v>
      </c>
      <c r="H22">
        <f>SUM(G10:G18)</f>
        <v>4.5</v>
      </c>
      <c r="L22" s="392">
        <f>G22/H22</f>
        <v>0.49302896742833041</v>
      </c>
    </row>
  </sheetData>
  <sortState ref="D10:D19">
    <sortCondition ref="D10"/>
  </sortState>
  <mergeCells count="3">
    <mergeCell ref="B3:H3"/>
    <mergeCell ref="L3:R3"/>
    <mergeCell ref="B9:C9"/>
  </mergeCells>
  <pageMargins left="0.7" right="0.7" top="0.75" bottom="0.75" header="0.3" footer="0.3"/>
  <pageSetup orientation="portrait" horizontalDpi="4294967293" verticalDpi="4294967293"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T25"/>
  <sheetViews>
    <sheetView zoomScale="78" zoomScaleNormal="78" workbookViewId="0">
      <selection activeCell="C8" sqref="C8"/>
    </sheetView>
  </sheetViews>
  <sheetFormatPr defaultRowHeight="15" x14ac:dyDescent="0.25"/>
  <cols>
    <col min="3" max="9" width="9.140625" customWidth="1"/>
    <col min="15" max="15" width="11" customWidth="1"/>
    <col min="17" max="17" width="11.42578125" customWidth="1"/>
  </cols>
  <sheetData>
    <row r="2" spans="3:20" ht="15.75" thickBot="1" x14ac:dyDescent="0.3"/>
    <row r="3" spans="3:20" ht="15.75" thickBot="1" x14ac:dyDescent="0.3">
      <c r="C3" s="406" t="s">
        <v>13</v>
      </c>
      <c r="D3" s="408"/>
      <c r="E3" s="407" t="s">
        <v>15</v>
      </c>
      <c r="F3" s="407"/>
      <c r="G3" s="406" t="s">
        <v>6</v>
      </c>
      <c r="H3" s="408"/>
      <c r="I3" s="407" t="s">
        <v>7</v>
      </c>
      <c r="J3" s="407"/>
      <c r="K3" s="406" t="s">
        <v>104</v>
      </c>
      <c r="L3" s="408"/>
      <c r="M3" s="407" t="s">
        <v>86</v>
      </c>
      <c r="N3" s="407"/>
      <c r="O3" s="406" t="s">
        <v>82</v>
      </c>
      <c r="P3" s="408"/>
    </row>
    <row r="4" spans="3:20" ht="15.75" thickBot="1" x14ac:dyDescent="0.3">
      <c r="C4" s="235" t="s">
        <v>1</v>
      </c>
      <c r="D4" s="236" t="s">
        <v>83</v>
      </c>
      <c r="E4" s="237" t="s">
        <v>1</v>
      </c>
      <c r="F4" s="237" t="s">
        <v>83</v>
      </c>
      <c r="G4" s="235" t="s">
        <v>1</v>
      </c>
      <c r="H4" s="236" t="s">
        <v>83</v>
      </c>
      <c r="I4" s="237" t="s">
        <v>1</v>
      </c>
      <c r="J4" s="237" t="s">
        <v>83</v>
      </c>
      <c r="K4" s="235" t="s">
        <v>1</v>
      </c>
      <c r="L4" s="236" t="s">
        <v>83</v>
      </c>
      <c r="M4" s="237" t="s">
        <v>1</v>
      </c>
      <c r="N4" s="237" t="s">
        <v>83</v>
      </c>
      <c r="O4" s="235" t="s">
        <v>1</v>
      </c>
      <c r="P4" s="236" t="s">
        <v>83</v>
      </c>
    </row>
    <row r="5" spans="3:20" ht="15.75" thickBot="1" x14ac:dyDescent="0.3">
      <c r="C5" s="25">
        <v>9686.3044902469301</v>
      </c>
      <c r="D5" s="27">
        <v>29775623.015014127</v>
      </c>
      <c r="E5" s="26">
        <v>941.43106787249985</v>
      </c>
      <c r="F5" s="26">
        <v>34248.517336277982</v>
      </c>
      <c r="G5" s="25">
        <v>871.99822247525242</v>
      </c>
      <c r="H5" s="27">
        <v>27525.861935439712</v>
      </c>
      <c r="I5" s="26">
        <v>4.0879225911349044</v>
      </c>
      <c r="J5" s="26">
        <v>10.100055005350768</v>
      </c>
      <c r="K5" s="25">
        <v>2903.8648212339358</v>
      </c>
      <c r="L5" s="27">
        <v>5115548.2143887356</v>
      </c>
      <c r="M5" s="26">
        <v>2994.0102445456737</v>
      </c>
      <c r="N5" s="26">
        <v>5041641.7519574361</v>
      </c>
      <c r="O5" s="25">
        <v>3160.9733750504406</v>
      </c>
      <c r="P5" s="27">
        <v>4801423.8122410225</v>
      </c>
    </row>
    <row r="13" spans="3:20" ht="15.75" thickBot="1" x14ac:dyDescent="0.3"/>
    <row r="14" spans="3:20" ht="15.75" thickBot="1" x14ac:dyDescent="0.3">
      <c r="C14" s="406" t="s">
        <v>13</v>
      </c>
      <c r="D14" s="408"/>
      <c r="E14" s="407" t="s">
        <v>15</v>
      </c>
      <c r="F14" s="407"/>
      <c r="G14" s="406" t="s">
        <v>6</v>
      </c>
      <c r="H14" s="408"/>
      <c r="I14" s="407" t="s">
        <v>7</v>
      </c>
      <c r="J14" s="407"/>
      <c r="K14" s="406" t="s">
        <v>104</v>
      </c>
      <c r="L14" s="408"/>
      <c r="M14" s="407" t="s">
        <v>86</v>
      </c>
      <c r="N14" s="407"/>
      <c r="O14" s="406" t="s">
        <v>82</v>
      </c>
      <c r="P14" s="408"/>
      <c r="Q14" s="407" t="s">
        <v>121</v>
      </c>
      <c r="R14" s="407"/>
      <c r="S14" s="406" t="s">
        <v>126</v>
      </c>
      <c r="T14" s="408"/>
    </row>
    <row r="15" spans="3:20" ht="15.75" thickBot="1" x14ac:dyDescent="0.3">
      <c r="C15" s="235" t="s">
        <v>1</v>
      </c>
      <c r="D15" s="236" t="s">
        <v>83</v>
      </c>
      <c r="E15" s="237" t="s">
        <v>1</v>
      </c>
      <c r="F15" s="237" t="s">
        <v>83</v>
      </c>
      <c r="G15" s="235" t="s">
        <v>1</v>
      </c>
      <c r="H15" s="236" t="s">
        <v>83</v>
      </c>
      <c r="I15" s="237" t="s">
        <v>1</v>
      </c>
      <c r="J15" s="237" t="s">
        <v>83</v>
      </c>
      <c r="K15" s="235" t="s">
        <v>1</v>
      </c>
      <c r="L15" s="236" t="s">
        <v>83</v>
      </c>
      <c r="M15" s="237" t="s">
        <v>1</v>
      </c>
      <c r="N15" s="237" t="s">
        <v>83</v>
      </c>
      <c r="O15" s="235" t="s">
        <v>1</v>
      </c>
      <c r="P15" s="236" t="s">
        <v>83</v>
      </c>
      <c r="Q15" s="237" t="s">
        <v>1</v>
      </c>
      <c r="R15" s="237" t="s">
        <v>83</v>
      </c>
      <c r="S15" s="235" t="s">
        <v>1</v>
      </c>
      <c r="T15" s="236" t="s">
        <v>83</v>
      </c>
    </row>
    <row r="16" spans="3:20" ht="15.75" thickBot="1" x14ac:dyDescent="0.3">
      <c r="C16" s="25">
        <v>9686.3044902469301</v>
      </c>
      <c r="D16" s="27">
        <v>29775623.015014127</v>
      </c>
      <c r="E16" s="26">
        <v>941.43106787249985</v>
      </c>
      <c r="F16" s="26">
        <v>34248.517336277982</v>
      </c>
      <c r="G16" s="25">
        <v>871.99822247525242</v>
      </c>
      <c r="H16" s="27">
        <v>27525.861935439712</v>
      </c>
      <c r="I16" s="26">
        <v>4.0879225911349044</v>
      </c>
      <c r="J16" s="26">
        <v>10.100055005350768</v>
      </c>
      <c r="K16" s="25">
        <v>2903.8648212339358</v>
      </c>
      <c r="L16" s="27">
        <v>5115548.2143887356</v>
      </c>
      <c r="M16" s="26">
        <v>2994.0102445456737</v>
      </c>
      <c r="N16" s="26">
        <v>5041641.7519574361</v>
      </c>
      <c r="O16" s="313">
        <v>316097337505044</v>
      </c>
      <c r="P16" s="27">
        <v>4801423.8122410225</v>
      </c>
      <c r="Q16" s="314">
        <v>17210.094189167008</v>
      </c>
      <c r="R16" s="26">
        <v>2674659.1249858779</v>
      </c>
      <c r="S16" s="25">
        <v>15193.428748054932</v>
      </c>
      <c r="T16" s="27">
        <v>2944383.4316671859</v>
      </c>
    </row>
    <row r="22" spans="3:20" ht="15.75" thickBot="1" x14ac:dyDescent="0.3"/>
    <row r="23" spans="3:20" ht="15.75" thickBot="1" x14ac:dyDescent="0.3">
      <c r="C23" s="447" t="s">
        <v>1</v>
      </c>
      <c r="D23" s="448"/>
      <c r="E23" s="448"/>
      <c r="F23" s="448"/>
      <c r="G23" s="448"/>
      <c r="H23" s="448"/>
      <c r="I23" s="448"/>
      <c r="J23" s="448"/>
      <c r="K23" s="448"/>
      <c r="L23" s="448" t="s">
        <v>83</v>
      </c>
      <c r="M23" s="448"/>
      <c r="N23" s="448"/>
      <c r="O23" s="448"/>
      <c r="P23" s="448"/>
      <c r="Q23" s="448"/>
      <c r="R23" s="448"/>
      <c r="S23" s="448"/>
      <c r="T23" s="449"/>
    </row>
    <row r="24" spans="3:20" ht="15.75" thickBot="1" x14ac:dyDescent="0.3">
      <c r="C24" s="319" t="s">
        <v>105</v>
      </c>
      <c r="D24" s="320" t="s">
        <v>106</v>
      </c>
      <c r="E24" s="320" t="s">
        <v>107</v>
      </c>
      <c r="F24" s="320" t="s">
        <v>108</v>
      </c>
      <c r="G24" s="320" t="s">
        <v>110</v>
      </c>
      <c r="H24" s="320" t="s">
        <v>109</v>
      </c>
      <c r="I24" s="320" t="s">
        <v>111</v>
      </c>
      <c r="J24" s="321" t="s">
        <v>147</v>
      </c>
      <c r="K24" s="321" t="s">
        <v>148</v>
      </c>
      <c r="L24" s="320" t="s">
        <v>105</v>
      </c>
      <c r="M24" s="320" t="s">
        <v>106</v>
      </c>
      <c r="N24" s="320" t="s">
        <v>107</v>
      </c>
      <c r="O24" s="320" t="s">
        <v>108</v>
      </c>
      <c r="P24" s="320" t="s">
        <v>110</v>
      </c>
      <c r="Q24" s="320" t="s">
        <v>109</v>
      </c>
      <c r="R24" s="320" t="s">
        <v>111</v>
      </c>
      <c r="S24" s="321" t="s">
        <v>147</v>
      </c>
      <c r="T24" s="322" t="s">
        <v>148</v>
      </c>
    </row>
    <row r="25" spans="3:20" ht="15.75" thickBot="1" x14ac:dyDescent="0.3">
      <c r="C25" s="315">
        <v>9686.3044902469301</v>
      </c>
      <c r="D25" s="316">
        <v>941.43106787249985</v>
      </c>
      <c r="E25" s="316">
        <v>871.99822247525242</v>
      </c>
      <c r="F25" s="316">
        <v>4.0879225911349044</v>
      </c>
      <c r="G25" s="316">
        <v>2903.8648212339358</v>
      </c>
      <c r="H25" s="316">
        <v>2994.0102445456737</v>
      </c>
      <c r="I25" s="316">
        <v>3160.9733750504406</v>
      </c>
      <c r="J25" s="317">
        <v>17210.094189167008</v>
      </c>
      <c r="K25" s="316">
        <v>15193.428748054932</v>
      </c>
      <c r="L25" s="316">
        <v>29775623.015014127</v>
      </c>
      <c r="M25" s="316">
        <v>34248.517336277982</v>
      </c>
      <c r="N25" s="316">
        <v>27525.861935439712</v>
      </c>
      <c r="O25" s="316">
        <v>10.100055005350768</v>
      </c>
      <c r="P25" s="316">
        <v>5115548.2143887356</v>
      </c>
      <c r="Q25" s="316">
        <v>5041641.7519574361</v>
      </c>
      <c r="R25" s="316">
        <v>4801423.8122410225</v>
      </c>
      <c r="S25" s="316">
        <v>2674659.1249858779</v>
      </c>
      <c r="T25" s="318">
        <v>2944383.4316671859</v>
      </c>
    </row>
  </sheetData>
  <mergeCells count="18">
    <mergeCell ref="G3:H3"/>
    <mergeCell ref="I3:J3"/>
    <mergeCell ref="K3:L3"/>
    <mergeCell ref="M3:N3"/>
    <mergeCell ref="Q14:R14"/>
    <mergeCell ref="S14:T14"/>
    <mergeCell ref="C23:K23"/>
    <mergeCell ref="L23:T23"/>
    <mergeCell ref="O3:P3"/>
    <mergeCell ref="C14:D14"/>
    <mergeCell ref="E14:F14"/>
    <mergeCell ref="G14:H14"/>
    <mergeCell ref="I14:J14"/>
    <mergeCell ref="K14:L14"/>
    <mergeCell ref="M14:N14"/>
    <mergeCell ref="O14:P14"/>
    <mergeCell ref="C3:D3"/>
    <mergeCell ref="E3:F3"/>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35"/>
  <sheetViews>
    <sheetView topLeftCell="A4" zoomScale="78" zoomScaleNormal="78" workbookViewId="0">
      <selection activeCell="A4" sqref="A4:I12"/>
    </sheetView>
  </sheetViews>
  <sheetFormatPr defaultRowHeight="15" x14ac:dyDescent="0.25"/>
  <cols>
    <col min="1" max="1" width="18.28515625" customWidth="1"/>
    <col min="2" max="2" width="16.140625" customWidth="1"/>
    <col min="3" max="3" width="15.140625" customWidth="1"/>
    <col min="4" max="4" width="17.42578125" customWidth="1"/>
    <col min="5" max="5" width="15.42578125" customWidth="1"/>
    <col min="6" max="6" width="16.140625" customWidth="1"/>
    <col min="7" max="7" width="17.42578125" customWidth="1"/>
    <col min="8" max="8" width="16.85546875" customWidth="1"/>
    <col min="9" max="9" width="18.42578125" customWidth="1"/>
    <col min="10" max="10" width="18.28515625" customWidth="1"/>
    <col min="11" max="11" width="14.140625" customWidth="1"/>
  </cols>
  <sheetData>
    <row r="2" spans="1:9" ht="15.75" thickBot="1" x14ac:dyDescent="0.3">
      <c r="A2" s="409" t="s">
        <v>55</v>
      </c>
      <c r="B2" s="410"/>
      <c r="C2" s="410"/>
      <c r="D2" s="410"/>
      <c r="E2" s="410"/>
      <c r="F2" s="410"/>
      <c r="G2" s="410"/>
      <c r="H2" s="410"/>
      <c r="I2" s="410"/>
    </row>
    <row r="3" spans="1:9" ht="15.75" thickBot="1" x14ac:dyDescent="0.3">
      <c r="A3" s="126"/>
      <c r="B3" s="411" t="s">
        <v>1</v>
      </c>
      <c r="C3" s="412"/>
      <c r="D3" s="412"/>
      <c r="E3" s="413"/>
      <c r="F3" s="414" t="s">
        <v>2</v>
      </c>
      <c r="G3" s="415"/>
      <c r="H3" s="415"/>
      <c r="I3" s="416"/>
    </row>
    <row r="4" spans="1:9" ht="15.75" thickBot="1" x14ac:dyDescent="0.3">
      <c r="A4" s="127"/>
      <c r="B4" s="128" t="s">
        <v>0</v>
      </c>
      <c r="C4" s="129"/>
      <c r="D4" s="129" t="s">
        <v>3</v>
      </c>
      <c r="E4" s="130"/>
      <c r="F4" s="131" t="s">
        <v>0</v>
      </c>
      <c r="G4" s="132"/>
      <c r="H4" s="417" t="s">
        <v>3</v>
      </c>
      <c r="I4" s="418"/>
    </row>
    <row r="5" spans="1:9" ht="15.75" thickBot="1" x14ac:dyDescent="0.3">
      <c r="A5" s="120"/>
      <c r="B5" s="118" t="s">
        <v>67</v>
      </c>
      <c r="C5" s="119" t="s">
        <v>68</v>
      </c>
      <c r="D5" s="118" t="s">
        <v>67</v>
      </c>
      <c r="E5" s="119" t="s">
        <v>68</v>
      </c>
      <c r="F5" s="118" t="s">
        <v>67</v>
      </c>
      <c r="G5" s="119" t="s">
        <v>68</v>
      </c>
      <c r="H5" s="118" t="s">
        <v>67</v>
      </c>
      <c r="I5" s="119" t="s">
        <v>68</v>
      </c>
    </row>
    <row r="6" spans="1:9" x14ac:dyDescent="0.25">
      <c r="A6" s="39" t="s">
        <v>71</v>
      </c>
      <c r="B6" s="22">
        <v>81781</v>
      </c>
      <c r="C6" s="24">
        <v>0</v>
      </c>
      <c r="D6" s="43">
        <v>214936</v>
      </c>
      <c r="E6" s="21">
        <v>20</v>
      </c>
      <c r="F6" s="43">
        <v>1014562</v>
      </c>
      <c r="G6" s="21">
        <v>35</v>
      </c>
      <c r="H6" s="43">
        <v>1436656</v>
      </c>
      <c r="I6" s="21">
        <v>81</v>
      </c>
    </row>
    <row r="7" spans="1:9" x14ac:dyDescent="0.25">
      <c r="A7" s="39" t="s">
        <v>72</v>
      </c>
      <c r="B7" s="22">
        <v>50680</v>
      </c>
      <c r="C7" s="24">
        <v>0</v>
      </c>
      <c r="D7" s="22">
        <v>419620</v>
      </c>
      <c r="E7" s="24">
        <v>20</v>
      </c>
      <c r="F7" s="22">
        <v>2112353</v>
      </c>
      <c r="G7" s="24">
        <v>35</v>
      </c>
      <c r="H7" s="22">
        <v>2589861</v>
      </c>
      <c r="I7" s="24">
        <v>83</v>
      </c>
    </row>
    <row r="8" spans="1:9" x14ac:dyDescent="0.25">
      <c r="A8" s="39" t="s">
        <v>73</v>
      </c>
      <c r="B8" s="22">
        <v>50899</v>
      </c>
      <c r="C8" s="24">
        <v>0</v>
      </c>
      <c r="D8" s="22">
        <v>440885</v>
      </c>
      <c r="E8" s="24">
        <v>20</v>
      </c>
      <c r="F8" s="22">
        <v>1894904</v>
      </c>
      <c r="G8" s="24">
        <v>33</v>
      </c>
      <c r="H8" s="22">
        <v>2774880</v>
      </c>
      <c r="I8" s="24">
        <v>79</v>
      </c>
    </row>
    <row r="9" spans="1:9" x14ac:dyDescent="0.25">
      <c r="A9" s="39" t="s">
        <v>74</v>
      </c>
      <c r="B9">
        <v>147719</v>
      </c>
      <c r="C9" s="24">
        <v>0</v>
      </c>
      <c r="D9" s="22">
        <v>263533</v>
      </c>
      <c r="E9" s="24">
        <v>19</v>
      </c>
      <c r="F9" s="22">
        <v>2291302</v>
      </c>
      <c r="G9" s="24">
        <v>34</v>
      </c>
      <c r="H9" s="22">
        <v>3963300</v>
      </c>
      <c r="I9" s="24">
        <v>83</v>
      </c>
    </row>
    <row r="10" spans="1:9" x14ac:dyDescent="0.25">
      <c r="A10" s="39" t="s">
        <v>69</v>
      </c>
      <c r="B10" s="22">
        <v>48837</v>
      </c>
      <c r="C10" s="24">
        <v>0</v>
      </c>
      <c r="D10" s="22">
        <v>429296</v>
      </c>
      <c r="E10" s="24">
        <v>20</v>
      </c>
      <c r="F10" s="22">
        <v>1838943</v>
      </c>
      <c r="G10" s="24">
        <v>33</v>
      </c>
      <c r="H10" s="32">
        <v>1615693</v>
      </c>
      <c r="I10" s="24">
        <v>85</v>
      </c>
    </row>
    <row r="11" spans="1:9" x14ac:dyDescent="0.25">
      <c r="A11" s="39" t="s">
        <v>75</v>
      </c>
      <c r="B11" s="22">
        <v>49904</v>
      </c>
      <c r="C11" s="24">
        <v>0</v>
      </c>
      <c r="D11" s="22">
        <v>433697</v>
      </c>
      <c r="E11" s="24">
        <v>22</v>
      </c>
      <c r="F11" s="22">
        <v>2353420</v>
      </c>
      <c r="G11" s="24">
        <v>34</v>
      </c>
      <c r="H11" s="22">
        <v>2770521</v>
      </c>
      <c r="I11" s="24">
        <v>84</v>
      </c>
    </row>
    <row r="12" spans="1:9" ht="15.75" thickBot="1" x14ac:dyDescent="0.3">
      <c r="A12" s="40" t="s">
        <v>70</v>
      </c>
      <c r="B12" s="25">
        <v>51537</v>
      </c>
      <c r="C12" s="27">
        <v>0</v>
      </c>
      <c r="D12" s="25">
        <v>455745</v>
      </c>
      <c r="E12" s="27">
        <v>21</v>
      </c>
      <c r="F12" s="25">
        <v>2089641</v>
      </c>
      <c r="G12" s="27">
        <v>35</v>
      </c>
      <c r="H12" s="25">
        <v>2726950</v>
      </c>
      <c r="I12" s="27">
        <v>81</v>
      </c>
    </row>
    <row r="15" spans="1:9" ht="15.75" thickBot="1" x14ac:dyDescent="0.3">
      <c r="A15" s="409" t="s">
        <v>76</v>
      </c>
      <c r="B15" s="409"/>
      <c r="C15" s="409"/>
      <c r="D15" s="409"/>
      <c r="E15" s="409"/>
      <c r="F15" s="409"/>
      <c r="G15" s="409"/>
      <c r="H15" s="409"/>
      <c r="I15" s="409"/>
    </row>
    <row r="16" spans="1:9" ht="15.75" thickBot="1" x14ac:dyDescent="0.3">
      <c r="A16" s="126"/>
      <c r="B16" s="133" t="s">
        <v>1</v>
      </c>
      <c r="C16" s="134"/>
      <c r="D16" s="134"/>
      <c r="E16" s="135"/>
      <c r="F16" s="136" t="s">
        <v>2</v>
      </c>
      <c r="G16" s="137"/>
      <c r="H16" s="137"/>
      <c r="I16" s="138"/>
    </row>
    <row r="17" spans="1:9" ht="15.75" thickBot="1" x14ac:dyDescent="0.3">
      <c r="A17" s="127"/>
      <c r="B17" s="128" t="s">
        <v>0</v>
      </c>
      <c r="C17" s="129"/>
      <c r="D17" s="129" t="s">
        <v>3</v>
      </c>
      <c r="E17" s="130"/>
      <c r="F17" s="131" t="s">
        <v>0</v>
      </c>
      <c r="G17" s="132"/>
      <c r="H17" s="139" t="s">
        <v>3</v>
      </c>
      <c r="I17" s="140"/>
    </row>
    <row r="18" spans="1:9" ht="15.75" thickBot="1" x14ac:dyDescent="0.3">
      <c r="A18" s="120"/>
      <c r="B18" s="118" t="s">
        <v>67</v>
      </c>
      <c r="C18" s="119" t="s">
        <v>68</v>
      </c>
      <c r="D18" s="118" t="s">
        <v>67</v>
      </c>
      <c r="E18" s="119" t="s">
        <v>68</v>
      </c>
      <c r="F18" s="118" t="s">
        <v>67</v>
      </c>
      <c r="G18" s="119" t="s">
        <v>68</v>
      </c>
      <c r="H18" s="118" t="s">
        <v>67</v>
      </c>
      <c r="I18" s="119" t="s">
        <v>68</v>
      </c>
    </row>
    <row r="19" spans="1:9" x14ac:dyDescent="0.25">
      <c r="A19" s="41" t="s">
        <v>69</v>
      </c>
      <c r="B19" s="43">
        <v>20055</v>
      </c>
      <c r="C19" s="21">
        <v>0</v>
      </c>
      <c r="D19" s="43">
        <v>1211497</v>
      </c>
      <c r="E19" s="21">
        <v>24</v>
      </c>
      <c r="F19" s="43">
        <v>2296634</v>
      </c>
      <c r="G19" s="21">
        <v>35</v>
      </c>
      <c r="H19" s="43">
        <v>1991719</v>
      </c>
      <c r="I19" s="21">
        <v>70</v>
      </c>
    </row>
    <row r="20" spans="1:9" ht="15.75" thickBot="1" x14ac:dyDescent="0.3">
      <c r="A20" s="40" t="s">
        <v>70</v>
      </c>
      <c r="B20" s="25">
        <v>20133</v>
      </c>
      <c r="C20" s="27">
        <v>0</v>
      </c>
      <c r="D20" s="25">
        <v>1362325</v>
      </c>
      <c r="E20" s="27">
        <v>19</v>
      </c>
      <c r="F20" s="25">
        <v>2198502</v>
      </c>
      <c r="G20" s="27">
        <v>32</v>
      </c>
      <c r="H20" s="25">
        <v>1601633</v>
      </c>
      <c r="I20" s="27">
        <v>70</v>
      </c>
    </row>
    <row r="22" spans="1:9" ht="15.75" thickBot="1" x14ac:dyDescent="0.3"/>
    <row r="23" spans="1:9" ht="15.75" thickBot="1" x14ac:dyDescent="0.3">
      <c r="A23" s="406" t="s">
        <v>46</v>
      </c>
      <c r="B23" s="407"/>
      <c r="C23" s="407"/>
      <c r="D23" s="407"/>
      <c r="E23" s="407"/>
      <c r="F23" s="407"/>
      <c r="G23" s="407"/>
      <c r="H23" s="408"/>
    </row>
    <row r="24" spans="1:9" ht="15.75" thickBot="1" x14ac:dyDescent="0.3">
      <c r="A24" s="28"/>
      <c r="B24" s="403" t="s">
        <v>1</v>
      </c>
      <c r="C24" s="405"/>
      <c r="D24" s="403" t="s">
        <v>18</v>
      </c>
      <c r="E24" s="405"/>
      <c r="F24" s="403" t="s">
        <v>21</v>
      </c>
      <c r="G24" s="405"/>
      <c r="H24" s="42" t="s">
        <v>22</v>
      </c>
    </row>
    <row r="25" spans="1:9" ht="15.75" thickBot="1" x14ac:dyDescent="0.3">
      <c r="A25" s="43"/>
      <c r="B25" s="28" t="s">
        <v>11</v>
      </c>
      <c r="C25" s="47" t="s">
        <v>12</v>
      </c>
      <c r="D25" s="46" t="s">
        <v>11</v>
      </c>
      <c r="E25" s="46" t="s">
        <v>12</v>
      </c>
      <c r="F25" s="28" t="s">
        <v>11</v>
      </c>
      <c r="G25" s="47" t="s">
        <v>12</v>
      </c>
      <c r="H25" s="42"/>
    </row>
    <row r="26" spans="1:9" x14ac:dyDescent="0.25">
      <c r="A26" s="41" t="s">
        <v>69</v>
      </c>
      <c r="B26" s="32">
        <v>550</v>
      </c>
      <c r="C26" s="66">
        <v>6463</v>
      </c>
      <c r="D26" s="34">
        <v>4770</v>
      </c>
      <c r="E26" s="34">
        <v>11938</v>
      </c>
      <c r="F26" s="32"/>
      <c r="G26" s="66"/>
      <c r="H26" s="117"/>
    </row>
    <row r="27" spans="1:9" ht="15.75" thickBot="1" x14ac:dyDescent="0.3">
      <c r="A27" s="40" t="s">
        <v>70</v>
      </c>
      <c r="B27" s="33">
        <v>550</v>
      </c>
      <c r="C27" s="67">
        <v>6465</v>
      </c>
      <c r="D27" s="51">
        <v>4762</v>
      </c>
      <c r="E27" s="51">
        <v>11943</v>
      </c>
      <c r="F27" s="33"/>
      <c r="G27" s="67"/>
      <c r="H27" s="141"/>
    </row>
    <row r="30" spans="1:9" ht="15.75" thickBot="1" x14ac:dyDescent="0.3"/>
    <row r="31" spans="1:9" ht="15.75" thickBot="1" x14ac:dyDescent="0.3">
      <c r="A31" s="406" t="s">
        <v>47</v>
      </c>
      <c r="B31" s="407"/>
      <c r="C31" s="407"/>
      <c r="D31" s="407"/>
      <c r="E31" s="407"/>
      <c r="F31" s="407"/>
      <c r="G31" s="407"/>
      <c r="H31" s="408"/>
    </row>
    <row r="32" spans="1:9" ht="15.75" thickBot="1" x14ac:dyDescent="0.3">
      <c r="A32" s="28"/>
      <c r="B32" s="403" t="s">
        <v>1</v>
      </c>
      <c r="C32" s="405"/>
      <c r="D32" s="403" t="s">
        <v>18</v>
      </c>
      <c r="E32" s="405"/>
      <c r="F32" s="403" t="s">
        <v>21</v>
      </c>
      <c r="G32" s="405"/>
      <c r="H32" s="42" t="s">
        <v>22</v>
      </c>
    </row>
    <row r="33" spans="1:8" ht="15.75" thickBot="1" x14ac:dyDescent="0.3">
      <c r="A33" s="43"/>
      <c r="B33" s="28" t="s">
        <v>11</v>
      </c>
      <c r="C33" s="47" t="s">
        <v>12</v>
      </c>
      <c r="D33" s="46" t="s">
        <v>11</v>
      </c>
      <c r="E33" s="46" t="s">
        <v>12</v>
      </c>
      <c r="F33" s="28" t="s">
        <v>11</v>
      </c>
      <c r="G33" s="47" t="s">
        <v>12</v>
      </c>
      <c r="H33" s="42"/>
    </row>
    <row r="34" spans="1:8" x14ac:dyDescent="0.25">
      <c r="A34" s="41" t="s">
        <v>69</v>
      </c>
      <c r="B34" s="32">
        <v>354</v>
      </c>
      <c r="C34" s="66">
        <v>2576</v>
      </c>
      <c r="D34" s="34">
        <v>2230</v>
      </c>
      <c r="E34" s="34">
        <v>2825</v>
      </c>
      <c r="F34" s="32"/>
      <c r="G34" s="66"/>
      <c r="H34" s="117"/>
    </row>
    <row r="35" spans="1:8" ht="15.75" thickBot="1" x14ac:dyDescent="0.3">
      <c r="A35" s="40" t="s">
        <v>70</v>
      </c>
      <c r="B35" s="33">
        <v>354</v>
      </c>
      <c r="C35" s="67">
        <v>2577</v>
      </c>
      <c r="D35" s="51">
        <v>2230</v>
      </c>
      <c r="E35" s="51">
        <v>2827</v>
      </c>
      <c r="F35" s="33"/>
      <c r="G35" s="67"/>
      <c r="H35" s="141"/>
    </row>
  </sheetData>
  <mergeCells count="13">
    <mergeCell ref="B24:C24"/>
    <mergeCell ref="D24:E24"/>
    <mergeCell ref="F24:G24"/>
    <mergeCell ref="A31:H31"/>
    <mergeCell ref="B32:C32"/>
    <mergeCell ref="D32:E32"/>
    <mergeCell ref="F32:G32"/>
    <mergeCell ref="A23:H23"/>
    <mergeCell ref="A2:I2"/>
    <mergeCell ref="B3:E3"/>
    <mergeCell ref="F3:I3"/>
    <mergeCell ref="H4:I4"/>
    <mergeCell ref="A15:I1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6"/>
  <sheetViews>
    <sheetView topLeftCell="A29" workbookViewId="0">
      <selection activeCell="D27" sqref="D27"/>
    </sheetView>
  </sheetViews>
  <sheetFormatPr defaultRowHeight="15" x14ac:dyDescent="0.25"/>
  <cols>
    <col min="1" max="1" width="20.85546875" customWidth="1"/>
    <col min="2" max="2" width="20.7109375" customWidth="1"/>
    <col min="3" max="3" width="17.140625" customWidth="1"/>
    <col min="4" max="4" width="15.5703125" customWidth="1"/>
    <col min="5" max="5" width="14.7109375" customWidth="1"/>
    <col min="6" max="6" width="34.28515625" customWidth="1"/>
  </cols>
  <sheetData>
    <row r="1" spans="1:6" ht="15.75" thickBot="1" x14ac:dyDescent="0.3">
      <c r="A1" s="421" t="s">
        <v>57</v>
      </c>
      <c r="B1" s="422"/>
      <c r="C1" s="422"/>
      <c r="D1" s="422"/>
      <c r="E1" s="422"/>
      <c r="F1" s="422"/>
    </row>
    <row r="2" spans="1:6" ht="15.75" thickBot="1" x14ac:dyDescent="0.3">
      <c r="A2" s="120"/>
      <c r="B2" s="419" t="s">
        <v>77</v>
      </c>
      <c r="C2" s="420"/>
      <c r="D2" s="419" t="s">
        <v>78</v>
      </c>
      <c r="E2" s="423"/>
      <c r="F2" s="424"/>
    </row>
    <row r="3" spans="1:6" ht="15.75" thickBot="1" x14ac:dyDescent="0.3">
      <c r="A3" s="120"/>
      <c r="B3" s="118" t="s">
        <v>67</v>
      </c>
      <c r="C3" s="119" t="s">
        <v>68</v>
      </c>
      <c r="D3" s="118" t="s">
        <v>67</v>
      </c>
      <c r="E3" s="119" t="s">
        <v>68</v>
      </c>
      <c r="F3" s="157" t="s">
        <v>85</v>
      </c>
    </row>
    <row r="4" spans="1:6" x14ac:dyDescent="0.25">
      <c r="A4" s="39" t="s">
        <v>71</v>
      </c>
      <c r="B4" s="22">
        <v>1099177</v>
      </c>
      <c r="C4" s="24">
        <v>0</v>
      </c>
      <c r="D4" s="22">
        <v>6450637</v>
      </c>
      <c r="E4" s="24">
        <v>209</v>
      </c>
      <c r="F4" s="39">
        <v>44070637</v>
      </c>
    </row>
    <row r="5" spans="1:6" x14ac:dyDescent="0.25">
      <c r="A5" s="39" t="s">
        <v>72</v>
      </c>
      <c r="B5" s="22">
        <v>1056523</v>
      </c>
      <c r="C5" s="24">
        <v>0</v>
      </c>
      <c r="D5" s="22">
        <v>4426424</v>
      </c>
      <c r="E5" s="24">
        <v>162</v>
      </c>
      <c r="F5" s="39">
        <v>33586424</v>
      </c>
    </row>
    <row r="6" spans="1:6" x14ac:dyDescent="0.25">
      <c r="A6" s="39" t="s">
        <v>73</v>
      </c>
      <c r="B6" s="22">
        <v>1053381</v>
      </c>
      <c r="C6" s="24">
        <v>0</v>
      </c>
      <c r="D6" s="22">
        <v>1005565</v>
      </c>
      <c r="E6" s="24">
        <v>286</v>
      </c>
      <c r="F6" s="39">
        <v>52485565</v>
      </c>
    </row>
    <row r="7" spans="1:6" x14ac:dyDescent="0.25">
      <c r="A7" s="39" t="s">
        <v>74</v>
      </c>
      <c r="B7" s="23">
        <v>1040555</v>
      </c>
      <c r="C7" s="24">
        <v>0</v>
      </c>
      <c r="D7" s="22">
        <v>281839</v>
      </c>
      <c r="E7" s="24">
        <v>246</v>
      </c>
      <c r="F7" s="39">
        <v>44561839</v>
      </c>
    </row>
    <row r="8" spans="1:6" x14ac:dyDescent="0.25">
      <c r="A8" s="39" t="s">
        <v>69</v>
      </c>
      <c r="B8" s="22">
        <v>1051421</v>
      </c>
      <c r="C8" s="24">
        <v>0</v>
      </c>
      <c r="D8" s="22">
        <v>5218822</v>
      </c>
      <c r="E8" s="24">
        <v>188</v>
      </c>
      <c r="F8" s="39">
        <v>39058822</v>
      </c>
    </row>
    <row r="9" spans="1:6" x14ac:dyDescent="0.25">
      <c r="A9" s="39" t="s">
        <v>75</v>
      </c>
      <c r="B9" s="22">
        <v>1052657</v>
      </c>
      <c r="C9" s="24">
        <v>0</v>
      </c>
      <c r="D9" s="22">
        <v>4086627</v>
      </c>
      <c r="E9" s="24">
        <v>65</v>
      </c>
      <c r="F9" s="39">
        <v>15786627</v>
      </c>
    </row>
    <row r="10" spans="1:6" ht="15.75" thickBot="1" x14ac:dyDescent="0.3">
      <c r="A10" s="40" t="s">
        <v>70</v>
      </c>
      <c r="B10" s="25">
        <v>1052523</v>
      </c>
      <c r="C10" s="27">
        <v>0</v>
      </c>
      <c r="D10" s="25">
        <v>1105729</v>
      </c>
      <c r="E10" s="27">
        <v>298</v>
      </c>
      <c r="F10" s="40">
        <v>54745729</v>
      </c>
    </row>
    <row r="15" spans="1:6" x14ac:dyDescent="0.25">
      <c r="F15">
        <f>E4*180000</f>
        <v>37620000</v>
      </c>
    </row>
    <row r="16" spans="1:6" x14ac:dyDescent="0.25">
      <c r="F16">
        <f>F15+D4</f>
        <v>44070637</v>
      </c>
    </row>
  </sheetData>
  <mergeCells count="3">
    <mergeCell ref="B2:C2"/>
    <mergeCell ref="A1:F1"/>
    <mergeCell ref="D2:F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V131"/>
  <sheetViews>
    <sheetView topLeftCell="A84" zoomScale="77" zoomScaleNormal="77" workbookViewId="0">
      <selection activeCell="D131" sqref="D131:M131"/>
    </sheetView>
  </sheetViews>
  <sheetFormatPr defaultRowHeight="15" x14ac:dyDescent="0.25"/>
  <cols>
    <col min="2" max="2" width="7.85546875" customWidth="1"/>
    <col min="3" max="3" width="9.140625" hidden="1" customWidth="1"/>
    <col min="4" max="4" width="21.42578125" customWidth="1"/>
    <col min="5" max="5" width="13.28515625" bestFit="1" customWidth="1"/>
    <col min="6" max="6" width="13.140625" customWidth="1"/>
    <col min="7" max="7" width="12.5703125" bestFit="1" customWidth="1"/>
    <col min="8" max="8" width="20.42578125" customWidth="1"/>
    <col min="9" max="9" width="12.5703125" customWidth="1"/>
    <col min="10" max="10" width="14" customWidth="1"/>
    <col min="11" max="11" width="17" customWidth="1"/>
    <col min="13" max="13" width="14.7109375" customWidth="1"/>
    <col min="15" max="15" width="12.85546875" customWidth="1"/>
    <col min="19" max="19" width="9.140625" customWidth="1"/>
  </cols>
  <sheetData>
    <row r="3" spans="1:23" ht="15.75" thickBot="1" x14ac:dyDescent="0.3">
      <c r="G3" t="s">
        <v>29</v>
      </c>
    </row>
    <row r="4" spans="1:23" ht="15.75" thickBot="1" x14ac:dyDescent="0.3">
      <c r="D4" s="48" t="s">
        <v>14</v>
      </c>
      <c r="E4" s="49"/>
      <c r="F4" s="49"/>
      <c r="G4" s="46"/>
      <c r="H4" s="46"/>
      <c r="I4" s="47"/>
      <c r="J4" s="46"/>
      <c r="K4" s="47"/>
    </row>
    <row r="5" spans="1:23" ht="15.75" thickBot="1" x14ac:dyDescent="0.3">
      <c r="D5" s="28"/>
      <c r="E5" s="403" t="s">
        <v>1</v>
      </c>
      <c r="F5" s="405"/>
      <c r="G5" s="403" t="s">
        <v>18</v>
      </c>
      <c r="H5" s="404"/>
      <c r="I5" s="403" t="s">
        <v>49</v>
      </c>
      <c r="J5" s="405"/>
      <c r="K5" s="42" t="s">
        <v>48</v>
      </c>
      <c r="M5" s="28"/>
      <c r="N5" s="403" t="s">
        <v>28</v>
      </c>
      <c r="O5" s="404"/>
      <c r="P5" s="404"/>
      <c r="Q5" s="404"/>
      <c r="R5" s="405"/>
      <c r="S5" s="403" t="s">
        <v>30</v>
      </c>
      <c r="T5" s="404"/>
      <c r="U5" s="404"/>
      <c r="V5" s="404"/>
      <c r="W5" s="405"/>
    </row>
    <row r="6" spans="1:23" x14ac:dyDescent="0.25">
      <c r="D6" s="43"/>
      <c r="E6" s="43" t="s">
        <v>11</v>
      </c>
      <c r="F6" s="21" t="s">
        <v>12</v>
      </c>
      <c r="G6" s="43" t="s">
        <v>11</v>
      </c>
      <c r="H6" s="21" t="s">
        <v>12</v>
      </c>
      <c r="I6" s="43" t="s">
        <v>11</v>
      </c>
      <c r="J6" s="21" t="s">
        <v>12</v>
      </c>
      <c r="K6" s="21"/>
      <c r="M6" s="43"/>
      <c r="N6" s="31" t="s">
        <v>23</v>
      </c>
      <c r="O6" s="37" t="s">
        <v>24</v>
      </c>
      <c r="P6" s="61" t="s">
        <v>25</v>
      </c>
      <c r="Q6" s="65" t="s">
        <v>26</v>
      </c>
      <c r="R6" s="57" t="s">
        <v>27</v>
      </c>
      <c r="T6" s="23"/>
      <c r="U6" s="23"/>
      <c r="V6" s="56"/>
      <c r="W6" s="57"/>
    </row>
    <row r="7" spans="1:23" x14ac:dyDescent="0.25">
      <c r="D7" s="22" t="s">
        <v>13</v>
      </c>
      <c r="E7" s="22">
        <f>11368/(1000*60)</f>
        <v>0.18946666666666667</v>
      </c>
      <c r="F7" s="24">
        <f>7466875/(1000*60)</f>
        <v>124.44791666666667</v>
      </c>
      <c r="G7" s="22">
        <f>11977991/(1000*60)</f>
        <v>199.63318333333333</v>
      </c>
      <c r="H7" s="24">
        <f>14408012/(1000*60)</f>
        <v>240.13353333333333</v>
      </c>
      <c r="I7" s="22">
        <f>11989359/(1000*60)</f>
        <v>199.82265000000001</v>
      </c>
      <c r="J7" s="24">
        <f>21874887/(1000*60)</f>
        <v>364.58145000000002</v>
      </c>
      <c r="K7" s="24">
        <f>33864246/(1000*60)</f>
        <v>564.40409999999997</v>
      </c>
      <c r="M7" s="22" t="s">
        <v>13</v>
      </c>
      <c r="N7" s="32">
        <v>2</v>
      </c>
      <c r="O7" s="34">
        <v>0</v>
      </c>
      <c r="P7" s="34">
        <v>0</v>
      </c>
      <c r="Q7" s="68">
        <v>0</v>
      </c>
      <c r="R7" s="66">
        <v>2</v>
      </c>
      <c r="S7" s="32" t="s">
        <v>31</v>
      </c>
      <c r="T7" s="34"/>
      <c r="U7" s="34"/>
      <c r="V7" s="23"/>
      <c r="W7" s="29"/>
    </row>
    <row r="8" spans="1:23" x14ac:dyDescent="0.25">
      <c r="D8" s="22" t="s">
        <v>15</v>
      </c>
      <c r="E8" s="22">
        <f>20065/(1000*60)</f>
        <v>0.33441666666666664</v>
      </c>
      <c r="F8" s="24">
        <f>5546421/(1000*60)</f>
        <v>92.440349999999995</v>
      </c>
      <c r="G8" s="22">
        <f>7958118/(1000*60)</f>
        <v>132.6353</v>
      </c>
      <c r="H8" s="24">
        <f>15104743/(1000*60)</f>
        <v>251.74571666666668</v>
      </c>
      <c r="I8" s="22">
        <f>7978183/(1000*60)</f>
        <v>132.96971666666667</v>
      </c>
      <c r="J8" s="24">
        <f>20651164/(1000*60)</f>
        <v>344.18606666666665</v>
      </c>
      <c r="K8" s="24">
        <f>28629347/(1000*60)</f>
        <v>477.15578333333332</v>
      </c>
      <c r="M8" s="22" t="s">
        <v>15</v>
      </c>
      <c r="N8" s="32">
        <v>0</v>
      </c>
      <c r="O8" s="34">
        <v>2</v>
      </c>
      <c r="P8" s="34">
        <v>1</v>
      </c>
      <c r="Q8" s="68">
        <v>1</v>
      </c>
      <c r="R8" s="66">
        <v>0</v>
      </c>
      <c r="S8" s="32" t="s">
        <v>32</v>
      </c>
      <c r="T8" s="34"/>
      <c r="U8" s="34"/>
      <c r="V8" s="37"/>
      <c r="W8" s="24"/>
    </row>
    <row r="9" spans="1:23" x14ac:dyDescent="0.25">
      <c r="D9" s="22" t="s">
        <v>6</v>
      </c>
      <c r="E9" s="22">
        <f>20823/(1000*60)</f>
        <v>0.34705000000000003</v>
      </c>
      <c r="F9" s="24">
        <f>6246050/(1000*60)</f>
        <v>104.10083333333333</v>
      </c>
      <c r="G9" s="22">
        <f>7892823/(1000*60)</f>
        <v>131.54705000000001</v>
      </c>
      <c r="H9" s="24">
        <f>14707791/(1000*60)</f>
        <v>245.12985</v>
      </c>
      <c r="I9" s="22">
        <f>7913646/(1000*60)</f>
        <v>131.89410000000001</v>
      </c>
      <c r="J9" s="24">
        <f>20953841/(1000*60)</f>
        <v>349.23068333333333</v>
      </c>
      <c r="K9" s="24">
        <f>28867487/(1000*60)</f>
        <v>481.12478333333331</v>
      </c>
      <c r="M9" s="22" t="s">
        <v>6</v>
      </c>
      <c r="N9" s="32">
        <v>1</v>
      </c>
      <c r="O9" s="34">
        <v>1</v>
      </c>
      <c r="P9" s="34">
        <v>1</v>
      </c>
      <c r="Q9" s="68">
        <v>0</v>
      </c>
      <c r="R9" s="66">
        <v>1</v>
      </c>
      <c r="S9" s="32" t="s">
        <v>33</v>
      </c>
      <c r="T9" s="34"/>
      <c r="U9" s="34"/>
      <c r="V9" s="30"/>
      <c r="W9" s="36"/>
    </row>
    <row r="10" spans="1:23" x14ac:dyDescent="0.25">
      <c r="D10" s="22" t="s">
        <v>16</v>
      </c>
      <c r="E10" s="22">
        <f>17129/(1000*60)</f>
        <v>0.28548333333333331</v>
      </c>
      <c r="F10" s="24">
        <f>3367801/(1000*60)</f>
        <v>56.13001666666667</v>
      </c>
      <c r="G10" s="22">
        <f>8287456/(1000*60)</f>
        <v>138.12426666666667</v>
      </c>
      <c r="H10" s="24">
        <f>14866288/(1000*60)</f>
        <v>247.77146666666667</v>
      </c>
      <c r="I10" s="22">
        <f>8304585/(1000*60)</f>
        <v>138.40975</v>
      </c>
      <c r="J10" s="24">
        <f>18234089/(1000*60)</f>
        <v>303.90148333333332</v>
      </c>
      <c r="K10" s="24">
        <f>26538674/(1000*60)</f>
        <v>442.31123333333335</v>
      </c>
      <c r="M10" s="22" t="s">
        <v>16</v>
      </c>
      <c r="N10" s="32">
        <v>1</v>
      </c>
      <c r="O10" s="34">
        <v>1</v>
      </c>
      <c r="P10" s="68">
        <v>2</v>
      </c>
      <c r="Q10" s="68">
        <v>0</v>
      </c>
      <c r="R10" s="66">
        <v>0</v>
      </c>
      <c r="S10" s="32" t="s">
        <v>34</v>
      </c>
      <c r="T10" s="34"/>
      <c r="U10" s="34"/>
      <c r="V10" s="23"/>
      <c r="W10" s="24"/>
    </row>
    <row r="11" spans="1:23" ht="15.75" thickBot="1" x14ac:dyDescent="0.3">
      <c r="D11" s="25" t="s">
        <v>17</v>
      </c>
      <c r="E11" s="25">
        <f>20413/(1000*60)</f>
        <v>0.34021666666666667</v>
      </c>
      <c r="F11" s="27">
        <f>6597553/(1000*60)</f>
        <v>109.95921666666666</v>
      </c>
      <c r="G11" s="25">
        <f>8686275/(1000*60)</f>
        <v>144.77125000000001</v>
      </c>
      <c r="H11" s="27">
        <f>15178582/(1000*60)</f>
        <v>252.97636666666668</v>
      </c>
      <c r="I11" s="25">
        <f>8706688/(1000*60)</f>
        <v>145.11146666666667</v>
      </c>
      <c r="J11" s="27">
        <f>21776135/(1000*60)</f>
        <v>362.93558333333334</v>
      </c>
      <c r="K11" s="27">
        <f>30482823/(1000*60)</f>
        <v>508.04705000000001</v>
      </c>
      <c r="M11" s="25" t="s">
        <v>17</v>
      </c>
      <c r="N11" s="33">
        <v>0</v>
      </c>
      <c r="O11" s="51">
        <v>0</v>
      </c>
      <c r="P11" s="51">
        <v>0</v>
      </c>
      <c r="Q11" s="51">
        <v>3</v>
      </c>
      <c r="R11" s="67">
        <v>1</v>
      </c>
      <c r="S11" s="33" t="s">
        <v>35</v>
      </c>
      <c r="T11" s="51"/>
      <c r="U11" s="51"/>
      <c r="V11" s="26"/>
      <c r="W11" s="27"/>
    </row>
    <row r="13" spans="1:23" x14ac:dyDescent="0.25">
      <c r="E13">
        <v>11368</v>
      </c>
      <c r="F13">
        <v>3367801</v>
      </c>
      <c r="G13">
        <v>7892823</v>
      </c>
      <c r="H13">
        <v>14408012</v>
      </c>
      <c r="I13">
        <v>7913646</v>
      </c>
      <c r="J13">
        <v>18234089</v>
      </c>
      <c r="K13">
        <v>26538674</v>
      </c>
    </row>
    <row r="14" spans="1:23" ht="15.75" thickBot="1" x14ac:dyDescent="0.3"/>
    <row r="15" spans="1:23" ht="15.75" thickBot="1" x14ac:dyDescent="0.3">
      <c r="A15" s="24"/>
      <c r="D15" s="406" t="s">
        <v>20</v>
      </c>
      <c r="E15" s="407"/>
      <c r="F15" s="407"/>
      <c r="G15" s="407"/>
      <c r="H15" s="407"/>
      <c r="I15" s="408"/>
      <c r="J15" s="46"/>
      <c r="K15" s="47"/>
    </row>
    <row r="16" spans="1:23" ht="15.75" thickBot="1" x14ac:dyDescent="0.3">
      <c r="D16" s="28"/>
      <c r="E16" s="403" t="s">
        <v>1</v>
      </c>
      <c r="F16" s="405"/>
      <c r="G16" s="403" t="s">
        <v>18</v>
      </c>
      <c r="H16" s="404"/>
      <c r="I16" s="403" t="s">
        <v>21</v>
      </c>
      <c r="J16" s="405"/>
      <c r="K16" s="42" t="s">
        <v>22</v>
      </c>
      <c r="M16" s="28"/>
      <c r="N16" s="403" t="s">
        <v>36</v>
      </c>
      <c r="O16" s="404"/>
      <c r="P16" s="404"/>
      <c r="Q16" s="404"/>
      <c r="R16" s="405"/>
      <c r="S16" s="403" t="s">
        <v>30</v>
      </c>
      <c r="T16" s="404"/>
      <c r="U16" s="404"/>
      <c r="V16" s="404"/>
      <c r="W16" s="405"/>
    </row>
    <row r="17" spans="4:23" x14ac:dyDescent="0.25">
      <c r="D17" s="22"/>
      <c r="E17" s="22" t="s">
        <v>11</v>
      </c>
      <c r="F17" s="24" t="s">
        <v>12</v>
      </c>
      <c r="G17" s="23" t="s">
        <v>11</v>
      </c>
      <c r="H17" s="23" t="s">
        <v>12</v>
      </c>
      <c r="I17" s="43" t="s">
        <v>11</v>
      </c>
      <c r="J17" s="21" t="s">
        <v>12</v>
      </c>
      <c r="K17" s="41"/>
      <c r="M17" s="43"/>
      <c r="N17" s="31" t="s">
        <v>23</v>
      </c>
      <c r="O17" s="37" t="s">
        <v>24</v>
      </c>
      <c r="P17" s="61" t="s">
        <v>25</v>
      </c>
      <c r="Q17" s="65" t="s">
        <v>26</v>
      </c>
      <c r="R17" s="57" t="s">
        <v>27</v>
      </c>
      <c r="T17" s="23"/>
      <c r="U17" s="23"/>
      <c r="V17" s="56"/>
      <c r="W17" s="57"/>
    </row>
    <row r="18" spans="4:23" x14ac:dyDescent="0.25">
      <c r="D18" s="22" t="s">
        <v>13</v>
      </c>
      <c r="E18" s="32">
        <v>0</v>
      </c>
      <c r="F18" s="24">
        <v>35</v>
      </c>
      <c r="G18" s="64">
        <v>32</v>
      </c>
      <c r="H18" s="64">
        <v>73</v>
      </c>
      <c r="I18" s="22">
        <v>32</v>
      </c>
      <c r="J18" s="24">
        <v>108</v>
      </c>
      <c r="K18" s="39">
        <v>140</v>
      </c>
      <c r="M18" s="22" t="s">
        <v>13</v>
      </c>
      <c r="N18" s="32">
        <v>0</v>
      </c>
      <c r="O18" s="34">
        <v>0</v>
      </c>
      <c r="P18" s="34">
        <v>0</v>
      </c>
      <c r="Q18" s="68">
        <v>2</v>
      </c>
      <c r="R18" s="66">
        <v>1</v>
      </c>
      <c r="S18" s="32" t="s">
        <v>37</v>
      </c>
      <c r="T18" s="34"/>
      <c r="U18" s="34"/>
      <c r="V18" s="23"/>
      <c r="W18" s="29"/>
    </row>
    <row r="19" spans="4:23" x14ac:dyDescent="0.25">
      <c r="D19" s="22" t="s">
        <v>15</v>
      </c>
      <c r="E19" s="32">
        <v>0</v>
      </c>
      <c r="F19" s="36">
        <v>24</v>
      </c>
      <c r="G19" s="37">
        <v>29</v>
      </c>
      <c r="H19" s="30">
        <v>69</v>
      </c>
      <c r="I19" s="35">
        <v>29</v>
      </c>
      <c r="J19" s="36">
        <v>93</v>
      </c>
      <c r="K19" s="45">
        <v>122</v>
      </c>
      <c r="M19" s="22" t="s">
        <v>15</v>
      </c>
      <c r="N19" s="32">
        <v>1</v>
      </c>
      <c r="O19" s="34">
        <v>2</v>
      </c>
      <c r="P19" s="34">
        <v>0</v>
      </c>
      <c r="Q19" s="68">
        <v>0</v>
      </c>
      <c r="R19" s="66">
        <v>0</v>
      </c>
      <c r="S19" s="32" t="s">
        <v>38</v>
      </c>
      <c r="T19" s="34"/>
      <c r="U19" s="34"/>
      <c r="V19" s="37"/>
      <c r="W19" s="24"/>
    </row>
    <row r="20" spans="4:23" x14ac:dyDescent="0.25">
      <c r="D20" s="22" t="s">
        <v>6</v>
      </c>
      <c r="E20" s="32">
        <v>0</v>
      </c>
      <c r="F20" s="60">
        <v>28</v>
      </c>
      <c r="G20" s="30">
        <v>28</v>
      </c>
      <c r="H20" s="37">
        <v>70</v>
      </c>
      <c r="I20" s="31">
        <v>28</v>
      </c>
      <c r="J20" s="24">
        <v>98</v>
      </c>
      <c r="K20" s="39">
        <v>126</v>
      </c>
      <c r="M20" s="22" t="s">
        <v>6</v>
      </c>
      <c r="N20" s="32">
        <v>1</v>
      </c>
      <c r="O20" s="34">
        <v>1</v>
      </c>
      <c r="P20" s="34">
        <v>1</v>
      </c>
      <c r="Q20" s="68">
        <v>0</v>
      </c>
      <c r="R20" s="66">
        <v>0</v>
      </c>
      <c r="S20" s="32" t="s">
        <v>39</v>
      </c>
      <c r="T20" s="34"/>
      <c r="U20" s="34"/>
      <c r="V20" s="30"/>
      <c r="W20" s="36"/>
    </row>
    <row r="21" spans="4:23" x14ac:dyDescent="0.25">
      <c r="D21" s="22" t="s">
        <v>16</v>
      </c>
      <c r="E21" s="32">
        <v>0</v>
      </c>
      <c r="F21" s="29">
        <v>12</v>
      </c>
      <c r="G21" s="61">
        <v>31</v>
      </c>
      <c r="H21" s="61">
        <v>73</v>
      </c>
      <c r="I21" s="22">
        <v>31</v>
      </c>
      <c r="J21" s="29">
        <v>85</v>
      </c>
      <c r="K21" s="44">
        <v>116</v>
      </c>
      <c r="M21" s="22" t="s">
        <v>16</v>
      </c>
      <c r="N21" s="32">
        <v>1</v>
      </c>
      <c r="O21" s="68">
        <v>0</v>
      </c>
      <c r="P21" s="68">
        <v>2</v>
      </c>
      <c r="Q21" s="68">
        <v>0</v>
      </c>
      <c r="R21" s="66">
        <v>0</v>
      </c>
      <c r="S21" s="32" t="s">
        <v>40</v>
      </c>
      <c r="T21" s="34"/>
      <c r="U21" s="34"/>
      <c r="V21" s="23"/>
      <c r="W21" s="24"/>
    </row>
    <row r="22" spans="4:23" ht="15.75" thickBot="1" x14ac:dyDescent="0.3">
      <c r="D22" s="25" t="s">
        <v>17</v>
      </c>
      <c r="E22" s="33">
        <v>0</v>
      </c>
      <c r="F22" s="62">
        <v>30</v>
      </c>
      <c r="G22" s="26">
        <v>35</v>
      </c>
      <c r="H22" s="26">
        <v>74</v>
      </c>
      <c r="I22" s="25">
        <v>35</v>
      </c>
      <c r="J22" s="27">
        <v>104</v>
      </c>
      <c r="K22" s="40">
        <v>139</v>
      </c>
      <c r="M22" s="25" t="s">
        <v>17</v>
      </c>
      <c r="N22" s="33">
        <v>0</v>
      </c>
      <c r="O22" s="51">
        <v>0</v>
      </c>
      <c r="P22" s="51">
        <v>0</v>
      </c>
      <c r="Q22" s="51">
        <v>1</v>
      </c>
      <c r="R22" s="67">
        <v>2</v>
      </c>
      <c r="S22" s="33" t="s">
        <v>37</v>
      </c>
      <c r="T22" s="51"/>
      <c r="U22" s="51"/>
      <c r="V22" s="26"/>
      <c r="W22" s="27"/>
    </row>
    <row r="23" spans="4:23" x14ac:dyDescent="0.25">
      <c r="F23">
        <v>12</v>
      </c>
      <c r="G23">
        <v>28</v>
      </c>
      <c r="H23">
        <v>69</v>
      </c>
      <c r="I23">
        <v>28</v>
      </c>
      <c r="J23">
        <v>85</v>
      </c>
      <c r="K23">
        <v>116</v>
      </c>
    </row>
    <row r="27" spans="4:23" ht="15.75" thickBot="1" x14ac:dyDescent="0.3"/>
    <row r="28" spans="4:23" ht="15.75" thickBot="1" x14ac:dyDescent="0.3">
      <c r="D28" s="48" t="s">
        <v>45</v>
      </c>
      <c r="E28" s="49"/>
      <c r="F28" s="49"/>
      <c r="G28" s="46"/>
      <c r="H28" s="46"/>
      <c r="I28" s="47"/>
      <c r="J28" s="46"/>
      <c r="K28" s="47"/>
    </row>
    <row r="29" spans="4:23" ht="15.75" thickBot="1" x14ac:dyDescent="0.3">
      <c r="D29" s="28"/>
      <c r="E29" s="403" t="s">
        <v>1</v>
      </c>
      <c r="F29" s="405"/>
      <c r="G29" s="403" t="s">
        <v>18</v>
      </c>
      <c r="H29" s="405"/>
      <c r="I29" s="403" t="s">
        <v>21</v>
      </c>
      <c r="J29" s="405"/>
      <c r="K29" s="42" t="s">
        <v>22</v>
      </c>
      <c r="M29" s="28"/>
      <c r="N29" s="403" t="s">
        <v>28</v>
      </c>
      <c r="O29" s="404"/>
      <c r="P29" s="404"/>
      <c r="Q29" s="404"/>
      <c r="R29" s="405"/>
      <c r="S29" s="403" t="s">
        <v>30</v>
      </c>
      <c r="T29" s="404"/>
      <c r="U29" s="404"/>
      <c r="V29" s="404"/>
      <c r="W29" s="405"/>
    </row>
    <row r="30" spans="4:23" x14ac:dyDescent="0.25">
      <c r="D30" s="22"/>
      <c r="E30" s="22" t="s">
        <v>11</v>
      </c>
      <c r="F30" s="24" t="s">
        <v>12</v>
      </c>
      <c r="G30" s="23" t="s">
        <v>11</v>
      </c>
      <c r="H30" s="23" t="s">
        <v>12</v>
      </c>
      <c r="I30" s="43" t="s">
        <v>11</v>
      </c>
      <c r="J30" s="21" t="s">
        <v>12</v>
      </c>
      <c r="K30" s="41"/>
      <c r="M30" s="43"/>
      <c r="N30" s="31" t="s">
        <v>23</v>
      </c>
      <c r="O30" s="37" t="s">
        <v>24</v>
      </c>
      <c r="P30" s="61" t="s">
        <v>25</v>
      </c>
      <c r="Q30" s="65" t="s">
        <v>26</v>
      </c>
      <c r="R30" s="57" t="s">
        <v>27</v>
      </c>
      <c r="T30" s="23"/>
      <c r="U30" s="23"/>
      <c r="V30" s="56"/>
      <c r="W30" s="57"/>
    </row>
    <row r="31" spans="4:23" x14ac:dyDescent="0.25">
      <c r="D31" s="22" t="s">
        <v>13</v>
      </c>
      <c r="E31">
        <v>37.893333333333331</v>
      </c>
      <c r="F31" s="36">
        <v>4403.3018867924529</v>
      </c>
      <c r="G31" s="23">
        <v>23201.458955223879</v>
      </c>
      <c r="H31" s="30">
        <v>5585.9559471365637</v>
      </c>
      <c r="I31" s="22">
        <v>34569.458955223876</v>
      </c>
      <c r="J31" s="29">
        <v>9989.2578339290158</v>
      </c>
      <c r="K31" s="39">
        <v>44558.716789152895</v>
      </c>
      <c r="M31" s="22" t="s">
        <v>13</v>
      </c>
      <c r="N31" s="32">
        <v>2</v>
      </c>
      <c r="O31" s="34">
        <v>1</v>
      </c>
      <c r="P31" s="34">
        <v>0</v>
      </c>
      <c r="Q31" s="68">
        <v>0</v>
      </c>
      <c r="R31" s="66">
        <v>1</v>
      </c>
      <c r="S31" s="32" t="s">
        <v>43</v>
      </c>
      <c r="T31" s="34"/>
      <c r="U31" s="34"/>
      <c r="V31" s="23"/>
      <c r="W31" s="29"/>
    </row>
    <row r="32" spans="4:23" x14ac:dyDescent="0.25">
      <c r="D32" s="22" t="s">
        <v>15</v>
      </c>
      <c r="E32">
        <v>66.88333333333334</v>
      </c>
      <c r="F32" s="24">
        <v>4443.554347826087</v>
      </c>
      <c r="G32" s="61">
        <v>10103.756457564576</v>
      </c>
      <c r="H32" s="34">
        <v>11622.264069264069</v>
      </c>
      <c r="I32" s="22">
        <v>30168.756457564574</v>
      </c>
      <c r="J32" s="24">
        <v>16065.818417090155</v>
      </c>
      <c r="K32" s="39">
        <v>46234.574874654732</v>
      </c>
      <c r="M32" s="22" t="s">
        <v>15</v>
      </c>
      <c r="N32" s="32">
        <v>0</v>
      </c>
      <c r="O32" s="34">
        <v>0</v>
      </c>
      <c r="P32" s="34">
        <v>2</v>
      </c>
      <c r="Q32" s="68">
        <v>0</v>
      </c>
      <c r="R32" s="66">
        <v>2</v>
      </c>
      <c r="S32" s="32" t="s">
        <v>44</v>
      </c>
      <c r="T32" s="34"/>
      <c r="U32" s="34"/>
      <c r="V32" s="37"/>
      <c r="W32" s="24"/>
    </row>
    <row r="33" spans="3:48" x14ac:dyDescent="0.25">
      <c r="D33" s="22" t="s">
        <v>6</v>
      </c>
      <c r="E33">
        <v>69.41</v>
      </c>
      <c r="F33" s="60">
        <v>4434.0073529411766</v>
      </c>
      <c r="G33" s="64">
        <v>10488.319852941177</v>
      </c>
      <c r="H33" s="64">
        <v>9164.3086956521747</v>
      </c>
      <c r="I33" s="22">
        <v>31311.319852941175</v>
      </c>
      <c r="J33" s="24">
        <v>13598.316048593351</v>
      </c>
      <c r="K33" s="39">
        <v>44909.635901534522</v>
      </c>
      <c r="M33" s="22" t="s">
        <v>6</v>
      </c>
      <c r="N33" s="32">
        <v>0</v>
      </c>
      <c r="O33" s="34">
        <v>0</v>
      </c>
      <c r="P33" s="34">
        <v>1</v>
      </c>
      <c r="Q33" s="68">
        <v>2</v>
      </c>
      <c r="R33" s="66">
        <v>1</v>
      </c>
      <c r="S33" s="32" t="s">
        <v>41</v>
      </c>
      <c r="T33" s="34"/>
      <c r="U33" s="34"/>
      <c r="V33" s="30"/>
      <c r="W33" s="36"/>
    </row>
    <row r="34" spans="3:48" x14ac:dyDescent="0.25">
      <c r="D34" s="22" t="s">
        <v>16</v>
      </c>
      <c r="E34">
        <v>57.096666666666664</v>
      </c>
      <c r="F34" s="29">
        <v>4193.7534722222226</v>
      </c>
      <c r="G34" s="37">
        <v>10064.892193308549</v>
      </c>
      <c r="H34" s="37">
        <v>7604.79295154185</v>
      </c>
      <c r="I34" s="31">
        <v>27193.892193308551</v>
      </c>
      <c r="J34" s="36">
        <v>11798.546423764074</v>
      </c>
      <c r="K34" s="44">
        <v>38992.438617072621</v>
      </c>
      <c r="M34" s="22" t="s">
        <v>16</v>
      </c>
      <c r="N34" s="32">
        <v>1</v>
      </c>
      <c r="O34" s="68">
        <v>3</v>
      </c>
      <c r="P34" s="68">
        <v>0</v>
      </c>
      <c r="Q34" s="68">
        <v>0</v>
      </c>
      <c r="R34" s="66">
        <v>0</v>
      </c>
      <c r="S34" s="32" t="s">
        <v>34</v>
      </c>
      <c r="T34" s="34"/>
      <c r="U34" s="34"/>
      <c r="V34" s="23"/>
      <c r="W34" s="24"/>
    </row>
    <row r="35" spans="3:48" ht="15.75" thickBot="1" x14ac:dyDescent="0.3">
      <c r="D35" s="25" t="s">
        <v>17</v>
      </c>
      <c r="E35">
        <v>68.043333333333337</v>
      </c>
      <c r="F35" s="62">
        <v>4435.3814814814814</v>
      </c>
      <c r="G35" s="50">
        <v>9004.8113207547176</v>
      </c>
      <c r="H35" s="69">
        <v>8223.8141592920347</v>
      </c>
      <c r="I35" s="54">
        <v>29417.811320754718</v>
      </c>
      <c r="J35" s="27">
        <v>12659.195640773516</v>
      </c>
      <c r="K35" s="55">
        <v>42077.006961528234</v>
      </c>
      <c r="M35" s="25" t="s">
        <v>17</v>
      </c>
      <c r="N35" s="33">
        <v>1</v>
      </c>
      <c r="O35" s="51">
        <v>0</v>
      </c>
      <c r="P35" s="51">
        <v>1</v>
      </c>
      <c r="Q35" s="51">
        <v>2</v>
      </c>
      <c r="R35" s="67">
        <v>0</v>
      </c>
      <c r="S35" s="33" t="s">
        <v>42</v>
      </c>
      <c r="T35" s="51"/>
      <c r="U35" s="51"/>
      <c r="V35" s="26"/>
      <c r="W35" s="27"/>
    </row>
    <row r="36" spans="3:48" x14ac:dyDescent="0.25">
      <c r="E36">
        <v>11368</v>
      </c>
      <c r="F36">
        <v>4193.7534722222226</v>
      </c>
      <c r="G36">
        <v>9004.8113207547176</v>
      </c>
      <c r="H36">
        <v>5585.9559471365637</v>
      </c>
      <c r="I36">
        <v>27193.892193308551</v>
      </c>
      <c r="J36">
        <v>9989.2578339290158</v>
      </c>
      <c r="K36">
        <v>38992.438617072621</v>
      </c>
    </row>
    <row r="37" spans="3:48" x14ac:dyDescent="0.25">
      <c r="C37">
        <v>300</v>
      </c>
    </row>
    <row r="39" spans="3:48" ht="15.75" thickBot="1" x14ac:dyDescent="0.3">
      <c r="N39" s="430" t="s">
        <v>51</v>
      </c>
      <c r="O39" s="430"/>
      <c r="P39" s="430"/>
      <c r="Q39" s="430"/>
      <c r="R39" s="430"/>
      <c r="S39" s="430"/>
      <c r="T39" s="430"/>
      <c r="U39" s="430"/>
      <c r="V39" s="430"/>
      <c r="W39" s="430"/>
      <c r="X39" s="430"/>
      <c r="Y39" s="430"/>
      <c r="Z39" s="430"/>
      <c r="AA39" s="430"/>
      <c r="AB39" s="430"/>
      <c r="AC39" s="430"/>
      <c r="AD39" s="430"/>
      <c r="AE39" s="430"/>
    </row>
    <row r="40" spans="3:48" ht="15.75" thickBot="1" x14ac:dyDescent="0.3">
      <c r="D40" s="48" t="s">
        <v>46</v>
      </c>
      <c r="E40" s="49"/>
      <c r="F40" s="49"/>
      <c r="G40" s="46"/>
      <c r="H40" s="46"/>
      <c r="I40" s="47"/>
      <c r="J40" s="46"/>
      <c r="K40" s="47"/>
      <c r="AH40" s="92"/>
      <c r="AI40" s="84"/>
      <c r="AJ40" s="83"/>
      <c r="AK40" s="89"/>
      <c r="AL40" s="86"/>
      <c r="AM40" s="87"/>
      <c r="AN40" s="88"/>
      <c r="AO40" s="94"/>
      <c r="AP40" s="90"/>
      <c r="AQ40" s="85"/>
      <c r="AR40" s="91"/>
      <c r="AS40" s="89"/>
      <c r="AT40" s="90"/>
      <c r="AU40" s="85"/>
      <c r="AV40" s="93"/>
    </row>
    <row r="41" spans="3:48" ht="15.75" thickBot="1" x14ac:dyDescent="0.3">
      <c r="D41" s="28"/>
      <c r="E41" s="52" t="s">
        <v>1</v>
      </c>
      <c r="F41" s="53"/>
      <c r="G41" s="52" t="s">
        <v>18</v>
      </c>
      <c r="H41" s="38"/>
      <c r="I41" s="52" t="s">
        <v>21</v>
      </c>
      <c r="J41" s="53"/>
      <c r="K41" s="42" t="s">
        <v>22</v>
      </c>
    </row>
    <row r="42" spans="3:48" x14ac:dyDescent="0.25">
      <c r="D42" s="22"/>
      <c r="E42" s="22" t="s">
        <v>11</v>
      </c>
      <c r="F42" s="24" t="s">
        <v>12</v>
      </c>
      <c r="G42" s="23" t="s">
        <v>11</v>
      </c>
      <c r="H42" s="23" t="s">
        <v>12</v>
      </c>
      <c r="I42" s="43" t="s">
        <v>11</v>
      </c>
      <c r="J42" s="21" t="s">
        <v>12</v>
      </c>
      <c r="K42" s="41"/>
    </row>
    <row r="43" spans="3:48" x14ac:dyDescent="0.25">
      <c r="D43" s="22" t="s">
        <v>13</v>
      </c>
      <c r="E43" s="35">
        <v>1688</v>
      </c>
      <c r="F43" s="29">
        <v>3966</v>
      </c>
      <c r="G43" s="30">
        <v>1180</v>
      </c>
      <c r="H43" s="30">
        <v>3959</v>
      </c>
      <c r="I43" s="31">
        <f t="shared" ref="I43:J47" si="0">E43+G43</f>
        <v>2868</v>
      </c>
      <c r="J43" s="29">
        <f t="shared" si="0"/>
        <v>7925</v>
      </c>
      <c r="K43" s="44">
        <f>I43+J43</f>
        <v>10793</v>
      </c>
    </row>
    <row r="44" spans="3:48" x14ac:dyDescent="0.25">
      <c r="D44" s="22" t="s">
        <v>15</v>
      </c>
      <c r="E44" s="31">
        <v>550</v>
      </c>
      <c r="F44" s="79">
        <v>6458</v>
      </c>
      <c r="G44" s="64">
        <v>4830</v>
      </c>
      <c r="H44" s="61">
        <v>11976</v>
      </c>
      <c r="I44" s="80">
        <f t="shared" si="0"/>
        <v>5380</v>
      </c>
      <c r="J44" s="60">
        <f t="shared" si="0"/>
        <v>18434</v>
      </c>
      <c r="K44" s="78">
        <f>I44+J44</f>
        <v>23814</v>
      </c>
    </row>
    <row r="45" spans="3:48" x14ac:dyDescent="0.25">
      <c r="D45" s="22" t="s">
        <v>6</v>
      </c>
      <c r="E45" s="31">
        <v>550</v>
      </c>
      <c r="F45" s="71">
        <v>6468</v>
      </c>
      <c r="G45" s="37">
        <v>4828</v>
      </c>
      <c r="H45" s="64">
        <v>11985</v>
      </c>
      <c r="I45" s="58">
        <f t="shared" si="0"/>
        <v>5378</v>
      </c>
      <c r="J45" s="79">
        <f t="shared" si="0"/>
        <v>18453</v>
      </c>
      <c r="K45" s="81">
        <f>I45+J45</f>
        <v>23831</v>
      </c>
    </row>
    <row r="46" spans="3:48" x14ac:dyDescent="0.25">
      <c r="D46" s="22" t="s">
        <v>16</v>
      </c>
      <c r="E46" s="58">
        <v>1935</v>
      </c>
      <c r="F46" s="36">
        <v>6325</v>
      </c>
      <c r="G46" s="72">
        <v>4946</v>
      </c>
      <c r="H46" s="72">
        <v>12448</v>
      </c>
      <c r="I46" s="70">
        <f t="shared" si="0"/>
        <v>6881</v>
      </c>
      <c r="J46" s="71">
        <f t="shared" si="0"/>
        <v>18773</v>
      </c>
      <c r="K46" s="73">
        <f>I46+J46</f>
        <v>25654</v>
      </c>
    </row>
    <row r="47" spans="3:48" ht="15.75" thickBot="1" x14ac:dyDescent="0.3">
      <c r="D47" s="25" t="s">
        <v>17</v>
      </c>
      <c r="E47" s="74">
        <v>550</v>
      </c>
      <c r="F47" s="77">
        <v>6445</v>
      </c>
      <c r="G47" s="69">
        <v>4766</v>
      </c>
      <c r="H47" s="75">
        <v>11929</v>
      </c>
      <c r="I47" s="54">
        <f t="shared" si="0"/>
        <v>5316</v>
      </c>
      <c r="J47" s="76">
        <f t="shared" si="0"/>
        <v>18374</v>
      </c>
      <c r="K47" s="55">
        <f>I47+J47</f>
        <v>23690</v>
      </c>
    </row>
    <row r="48" spans="3:48" x14ac:dyDescent="0.25">
      <c r="E48">
        <f t="shared" ref="E48:K48" si="1">MIN(E43:E47)</f>
        <v>550</v>
      </c>
      <c r="F48">
        <f t="shared" si="1"/>
        <v>3966</v>
      </c>
      <c r="G48">
        <f t="shared" si="1"/>
        <v>1180</v>
      </c>
      <c r="H48">
        <f t="shared" si="1"/>
        <v>3959</v>
      </c>
      <c r="I48">
        <f t="shared" si="1"/>
        <v>2868</v>
      </c>
      <c r="J48">
        <f t="shared" si="1"/>
        <v>7925</v>
      </c>
      <c r="K48">
        <f t="shared" si="1"/>
        <v>10793</v>
      </c>
    </row>
    <row r="51" spans="3:31" ht="15.75" thickBot="1" x14ac:dyDescent="0.3"/>
    <row r="52" spans="3:31" ht="15.75" thickBot="1" x14ac:dyDescent="0.3">
      <c r="D52" s="48" t="s">
        <v>47</v>
      </c>
      <c r="E52" s="49"/>
      <c r="F52" s="49"/>
      <c r="G52" s="46"/>
      <c r="H52" s="46"/>
      <c r="I52" s="47"/>
      <c r="J52" s="46"/>
      <c r="K52" s="47"/>
    </row>
    <row r="53" spans="3:31" ht="15.75" thickBot="1" x14ac:dyDescent="0.3">
      <c r="D53" s="28"/>
      <c r="E53" s="52" t="s">
        <v>1</v>
      </c>
      <c r="F53" s="53"/>
      <c r="G53" s="52" t="s">
        <v>18</v>
      </c>
      <c r="H53" s="38"/>
      <c r="I53" s="52" t="s">
        <v>21</v>
      </c>
      <c r="J53" s="53"/>
      <c r="K53" s="42" t="s">
        <v>22</v>
      </c>
      <c r="N53" s="31">
        <v>354</v>
      </c>
      <c r="O53" s="30">
        <v>964</v>
      </c>
      <c r="P53" s="35">
        <v>1541</v>
      </c>
      <c r="Q53" s="60">
        <v>1752</v>
      </c>
      <c r="R53" s="30">
        <v>1815</v>
      </c>
      <c r="S53" s="37">
        <v>2230</v>
      </c>
      <c r="T53" s="58">
        <v>2234</v>
      </c>
      <c r="U53" s="79">
        <v>2235</v>
      </c>
      <c r="V53" s="72">
        <v>2352</v>
      </c>
      <c r="W53" s="30">
        <v>2436</v>
      </c>
      <c r="X53" s="35">
        <v>2574</v>
      </c>
      <c r="Y53" s="60">
        <v>2577</v>
      </c>
      <c r="Z53" s="72">
        <v>2578</v>
      </c>
      <c r="AA53" s="72">
        <v>2685</v>
      </c>
      <c r="AB53" s="54">
        <v>2824</v>
      </c>
      <c r="AC53" s="77">
        <v>2830</v>
      </c>
      <c r="AD53" s="63">
        <v>2832</v>
      </c>
      <c r="AE53" s="95">
        <v>2873</v>
      </c>
    </row>
    <row r="54" spans="3:31" x14ac:dyDescent="0.25">
      <c r="D54" s="22"/>
      <c r="E54" s="22" t="s">
        <v>11</v>
      </c>
      <c r="F54" s="24" t="s">
        <v>12</v>
      </c>
      <c r="G54" s="23" t="s">
        <v>11</v>
      </c>
      <c r="H54" s="23" t="s">
        <v>12</v>
      </c>
      <c r="I54" s="43" t="s">
        <v>11</v>
      </c>
      <c r="J54" s="21" t="s">
        <v>12</v>
      </c>
      <c r="K54" s="41"/>
      <c r="M54" s="22" t="s">
        <v>13</v>
      </c>
      <c r="N54" s="56" t="s">
        <v>52</v>
      </c>
      <c r="O54">
        <f>11977991/(1000*60)</f>
        <v>199.63318333333333</v>
      </c>
      <c r="P54">
        <f>11368/(1000*60)</f>
        <v>0.18946666666666667</v>
      </c>
      <c r="Q54" t="s">
        <v>52</v>
      </c>
      <c r="R54">
        <f>14408012/(1000*60)</f>
        <v>240.13353333333333</v>
      </c>
      <c r="S54" t="s">
        <v>52</v>
      </c>
      <c r="T54" t="s">
        <v>52</v>
      </c>
      <c r="U54" t="s">
        <v>52</v>
      </c>
      <c r="V54" t="s">
        <v>52</v>
      </c>
      <c r="W54">
        <f>7466875/(1000*60)</f>
        <v>124.44791666666667</v>
      </c>
      <c r="X54" t="s">
        <v>52</v>
      </c>
      <c r="Y54" t="s">
        <v>52</v>
      </c>
      <c r="Z54" t="s">
        <v>52</v>
      </c>
      <c r="AA54" t="s">
        <v>52</v>
      </c>
      <c r="AB54" t="s">
        <v>52</v>
      </c>
      <c r="AC54" t="s">
        <v>52</v>
      </c>
      <c r="AD54" t="s">
        <v>52</v>
      </c>
      <c r="AE54" t="s">
        <v>52</v>
      </c>
    </row>
    <row r="55" spans="3:31" x14ac:dyDescent="0.25">
      <c r="D55" s="22" t="s">
        <v>13</v>
      </c>
      <c r="E55" s="35">
        <v>1541</v>
      </c>
      <c r="F55" s="29">
        <v>2436</v>
      </c>
      <c r="G55" s="30">
        <v>964</v>
      </c>
      <c r="H55" s="30">
        <v>1815</v>
      </c>
      <c r="I55" s="31">
        <f t="shared" ref="I55:J59" si="2">E55+G55</f>
        <v>2505</v>
      </c>
      <c r="J55" s="29">
        <f t="shared" si="2"/>
        <v>4251</v>
      </c>
      <c r="K55" s="44">
        <f>I55+J55</f>
        <v>6756</v>
      </c>
      <c r="L55" s="82"/>
      <c r="M55" s="22" t="s">
        <v>15</v>
      </c>
      <c r="N55">
        <f>20065/(1000*60)</f>
        <v>0.33441666666666664</v>
      </c>
      <c r="O55" t="s">
        <v>52</v>
      </c>
      <c r="P55" t="s">
        <v>52</v>
      </c>
      <c r="Q55" t="s">
        <v>52</v>
      </c>
      <c r="R55" t="s">
        <v>52</v>
      </c>
      <c r="S55" t="s">
        <v>52</v>
      </c>
      <c r="T55">
        <f>7958118/(1000*60)</f>
        <v>132.6353</v>
      </c>
      <c r="U55" t="s">
        <v>52</v>
      </c>
      <c r="V55" t="s">
        <v>52</v>
      </c>
      <c r="W55" t="s">
        <v>52</v>
      </c>
      <c r="X55" t="s">
        <v>52</v>
      </c>
      <c r="Y55" t="s">
        <v>52</v>
      </c>
      <c r="Z55">
        <f>5546421/(1000*60)</f>
        <v>92.440349999999995</v>
      </c>
      <c r="AA55" t="s">
        <v>52</v>
      </c>
      <c r="AB55" t="s">
        <v>52</v>
      </c>
      <c r="AC55">
        <f>15104743/(1000*60)</f>
        <v>251.74571666666668</v>
      </c>
      <c r="AD55" t="s">
        <v>52</v>
      </c>
      <c r="AE55" t="s">
        <v>52</v>
      </c>
    </row>
    <row r="56" spans="3:31" x14ac:dyDescent="0.25">
      <c r="D56" s="22" t="s">
        <v>15</v>
      </c>
      <c r="E56" s="31">
        <v>354</v>
      </c>
      <c r="F56" s="71">
        <v>2578</v>
      </c>
      <c r="G56" s="61">
        <v>2234</v>
      </c>
      <c r="H56" s="61">
        <v>2830</v>
      </c>
      <c r="I56" s="58">
        <f t="shared" si="2"/>
        <v>2588</v>
      </c>
      <c r="J56" s="60">
        <f t="shared" si="2"/>
        <v>5408</v>
      </c>
      <c r="K56" s="78">
        <f>I56+J56</f>
        <v>7996</v>
      </c>
      <c r="M56" s="22" t="s">
        <v>6</v>
      </c>
      <c r="N56">
        <f>20823/(1000*60)</f>
        <v>0.34705000000000003</v>
      </c>
      <c r="O56" t="s">
        <v>52</v>
      </c>
      <c r="P56" t="s">
        <v>52</v>
      </c>
      <c r="Q56" t="s">
        <v>52</v>
      </c>
      <c r="R56" t="s">
        <v>52</v>
      </c>
      <c r="S56" t="s">
        <v>52</v>
      </c>
      <c r="T56" t="s">
        <v>52</v>
      </c>
      <c r="U56">
        <f>7892823/(1000*60)</f>
        <v>131.54705000000001</v>
      </c>
      <c r="V56" t="s">
        <v>52</v>
      </c>
      <c r="W56" t="s">
        <v>52</v>
      </c>
      <c r="X56" t="s">
        <v>52</v>
      </c>
      <c r="Y56">
        <f>6246050/(1000*60)</f>
        <v>104.10083333333333</v>
      </c>
      <c r="Z56" t="s">
        <v>52</v>
      </c>
      <c r="AA56" t="s">
        <v>52</v>
      </c>
      <c r="AB56" t="s">
        <v>52</v>
      </c>
      <c r="AC56" t="s">
        <v>52</v>
      </c>
      <c r="AD56">
        <f>14707791/(1000*60)</f>
        <v>245.12985</v>
      </c>
      <c r="AE56" t="s">
        <v>52</v>
      </c>
    </row>
    <row r="57" spans="3:31" x14ac:dyDescent="0.25">
      <c r="C57" s="82"/>
      <c r="D57" s="22" t="s">
        <v>6</v>
      </c>
      <c r="E57" s="31">
        <v>354</v>
      </c>
      <c r="F57" s="60">
        <v>2577</v>
      </c>
      <c r="G57" s="64">
        <v>2235</v>
      </c>
      <c r="H57" s="64">
        <v>2832</v>
      </c>
      <c r="I57" s="80">
        <f t="shared" si="2"/>
        <v>2589</v>
      </c>
      <c r="J57" s="79">
        <f t="shared" si="2"/>
        <v>5409</v>
      </c>
      <c r="K57" s="81">
        <f>I57+J57</f>
        <v>7998</v>
      </c>
      <c r="M57" s="22" t="s">
        <v>16</v>
      </c>
      <c r="N57" t="s">
        <v>52</v>
      </c>
      <c r="O57" t="s">
        <v>52</v>
      </c>
      <c r="P57" t="s">
        <v>52</v>
      </c>
      <c r="Q57">
        <f>17129/(1000*60)</f>
        <v>0.28548333333333331</v>
      </c>
      <c r="R57" t="s">
        <v>52</v>
      </c>
      <c r="S57" t="s">
        <v>52</v>
      </c>
      <c r="T57" t="s">
        <v>52</v>
      </c>
      <c r="U57" t="s">
        <v>52</v>
      </c>
      <c r="V57">
        <f>8287456/(1000*60)</f>
        <v>138.12426666666667</v>
      </c>
      <c r="W57" t="s">
        <v>52</v>
      </c>
      <c r="X57" t="s">
        <v>52</v>
      </c>
      <c r="Y57" t="s">
        <v>52</v>
      </c>
      <c r="Z57" t="s">
        <v>52</v>
      </c>
      <c r="AA57">
        <f>3367801/(1000*60)</f>
        <v>56.13001666666667</v>
      </c>
      <c r="AB57" t="s">
        <v>52</v>
      </c>
      <c r="AC57" t="s">
        <v>52</v>
      </c>
      <c r="AD57" t="s">
        <v>52</v>
      </c>
      <c r="AE57">
        <f>14866288/(1000*60)</f>
        <v>247.77146666666667</v>
      </c>
    </row>
    <row r="58" spans="3:31" ht="15.75" thickBot="1" x14ac:dyDescent="0.3">
      <c r="D58" s="22" t="s">
        <v>16</v>
      </c>
      <c r="E58" s="58">
        <v>1752</v>
      </c>
      <c r="F58" s="71">
        <v>2685</v>
      </c>
      <c r="G58" s="72">
        <v>2352</v>
      </c>
      <c r="H58" s="72">
        <v>2873</v>
      </c>
      <c r="I58" s="70">
        <f t="shared" si="2"/>
        <v>4104</v>
      </c>
      <c r="J58" s="71">
        <f t="shared" si="2"/>
        <v>5558</v>
      </c>
      <c r="K58" s="73">
        <f>I58+J58</f>
        <v>9662</v>
      </c>
      <c r="M58" s="25" t="s">
        <v>17</v>
      </c>
      <c r="N58">
        <f>20413/(1000*60)</f>
        <v>0.34021666666666667</v>
      </c>
      <c r="O58" t="s">
        <v>52</v>
      </c>
      <c r="P58" t="s">
        <v>52</v>
      </c>
      <c r="Q58" t="s">
        <v>52</v>
      </c>
      <c r="R58" t="s">
        <v>52</v>
      </c>
      <c r="S58">
        <f>8686275/(1000*60)</f>
        <v>144.77125000000001</v>
      </c>
      <c r="T58" t="s">
        <v>52</v>
      </c>
      <c r="U58" t="s">
        <v>52</v>
      </c>
      <c r="V58" t="s">
        <v>52</v>
      </c>
      <c r="W58" t="s">
        <v>52</v>
      </c>
      <c r="X58">
        <f>6597553/(1000*60)</f>
        <v>109.95921666666666</v>
      </c>
      <c r="Y58" t="s">
        <v>52</v>
      </c>
      <c r="Z58" t="s">
        <v>52</v>
      </c>
      <c r="AA58" t="s">
        <v>52</v>
      </c>
      <c r="AB58">
        <f>15178582/(1000*60)</f>
        <v>252.97636666666668</v>
      </c>
      <c r="AC58" t="s">
        <v>52</v>
      </c>
      <c r="AD58" t="s">
        <v>52</v>
      </c>
      <c r="AE58" t="s">
        <v>52</v>
      </c>
    </row>
    <row r="59" spans="3:31" ht="15.75" thickBot="1" x14ac:dyDescent="0.3">
      <c r="D59" s="25" t="s">
        <v>17</v>
      </c>
      <c r="E59" s="74">
        <v>354</v>
      </c>
      <c r="F59" s="76">
        <v>2574</v>
      </c>
      <c r="G59" s="75">
        <v>2230</v>
      </c>
      <c r="H59" s="75">
        <v>2824</v>
      </c>
      <c r="I59" s="54">
        <f t="shared" si="2"/>
        <v>2584</v>
      </c>
      <c r="J59" s="76">
        <f t="shared" si="2"/>
        <v>5398</v>
      </c>
      <c r="K59" s="55">
        <f>I59+J59</f>
        <v>7982</v>
      </c>
    </row>
    <row r="60" spans="3:31" x14ac:dyDescent="0.25">
      <c r="E60">
        <f>MIN(E55:E59)</f>
        <v>354</v>
      </c>
      <c r="F60">
        <f>MIN(F55:F59)</f>
        <v>2436</v>
      </c>
      <c r="G60">
        <f>MIN(G55:G59)</f>
        <v>964</v>
      </c>
      <c r="I60">
        <f>MIN(I55:I59)</f>
        <v>2505</v>
      </c>
      <c r="J60">
        <f>MIN(J55:J59)</f>
        <v>4251</v>
      </c>
      <c r="K60">
        <f>MIN(K55:K59)</f>
        <v>6756</v>
      </c>
    </row>
    <row r="61" spans="3:31" x14ac:dyDescent="0.25">
      <c r="D61" s="429" t="s">
        <v>54</v>
      </c>
      <c r="E61" s="429"/>
      <c r="F61" s="429"/>
      <c r="G61" s="429"/>
      <c r="H61" s="429"/>
    </row>
    <row r="62" spans="3:31" ht="15.75" thickBot="1" x14ac:dyDescent="0.3">
      <c r="D62" s="275"/>
      <c r="E62" s="428"/>
      <c r="F62" s="428"/>
      <c r="G62" s="428"/>
      <c r="H62" s="428"/>
    </row>
    <row r="63" spans="3:31" ht="15.75" thickBot="1" x14ac:dyDescent="0.3">
      <c r="D63" s="42"/>
      <c r="E63" s="28" t="s">
        <v>90</v>
      </c>
      <c r="F63" s="47" t="s">
        <v>91</v>
      </c>
      <c r="G63" s="46" t="s">
        <v>89</v>
      </c>
      <c r="H63" s="47" t="s">
        <v>88</v>
      </c>
      <c r="I63" s="171" t="s">
        <v>92</v>
      </c>
      <c r="J63" s="255" t="s">
        <v>119</v>
      </c>
    </row>
    <row r="64" spans="3:31" ht="15.75" thickBot="1" x14ac:dyDescent="0.3">
      <c r="D64" s="28" t="s">
        <v>105</v>
      </c>
      <c r="E64" s="155">
        <f>(11368/(1000*60))*60</f>
        <v>11.368</v>
      </c>
      <c r="F64" s="251">
        <f>(7466875/(1000*60))*60</f>
        <v>7466.875</v>
      </c>
      <c r="G64" s="155">
        <f>(11977991/(1000*60))*60</f>
        <v>11977.991</v>
      </c>
      <c r="H64" s="168">
        <f>(14408012/(1000*60))*60</f>
        <v>14408.012000000001</v>
      </c>
      <c r="I64" s="170">
        <v>33864.245999999999</v>
      </c>
      <c r="J64">
        <v>7</v>
      </c>
    </row>
    <row r="65" spans="1:15" ht="15.75" thickBot="1" x14ac:dyDescent="0.3">
      <c r="D65" s="46" t="s">
        <v>106</v>
      </c>
      <c r="E65" s="154">
        <f>(20065/(1000*60))*60</f>
        <v>20.064999999999998</v>
      </c>
      <c r="F65" s="252">
        <f>(5546421/(1000*60))*60</f>
        <v>5546.4209999999994</v>
      </c>
      <c r="G65" s="154">
        <f>(7958118/(1000*60))*60</f>
        <v>7958.1180000000004</v>
      </c>
      <c r="H65" s="166">
        <f>(15104743/(1000*60))*60</f>
        <v>15104.743</v>
      </c>
      <c r="I65" s="173">
        <v>26962.593000000001</v>
      </c>
      <c r="J65">
        <v>2</v>
      </c>
    </row>
    <row r="66" spans="1:15" ht="15.75" thickBot="1" x14ac:dyDescent="0.3">
      <c r="D66" s="46" t="s">
        <v>107</v>
      </c>
      <c r="E66" s="154">
        <f>(20823/(1000*60))*60</f>
        <v>20.823</v>
      </c>
      <c r="F66" s="252">
        <f>(6246050/(1000*60))*60</f>
        <v>6246.0499999999993</v>
      </c>
      <c r="G66" s="154">
        <f>(7892823/(1000*60))*60</f>
        <v>7892.8230000000003</v>
      </c>
      <c r="H66" s="166">
        <f>(14707791/(1000*60))*60</f>
        <v>14707.791000000001</v>
      </c>
      <c r="I66" s="175">
        <v>28629.347000000002</v>
      </c>
      <c r="J66">
        <v>3</v>
      </c>
    </row>
    <row r="67" spans="1:15" ht="15.75" thickBot="1" x14ac:dyDescent="0.3">
      <c r="D67" s="46" t="s">
        <v>108</v>
      </c>
      <c r="E67" s="154">
        <f>(17129/(1000*60))*60</f>
        <v>17.128999999999998</v>
      </c>
      <c r="F67" s="252">
        <f>(3367801/(1000*60))*60</f>
        <v>3367.8010000000004</v>
      </c>
      <c r="G67" s="154">
        <f>(8287456/(1000*60))*60</f>
        <v>8287.4560000000001</v>
      </c>
      <c r="H67" s="166">
        <f>(14866288/(1000*60))*60</f>
        <v>14866.288</v>
      </c>
      <c r="I67" s="174">
        <v>28867.487000000001</v>
      </c>
      <c r="J67">
        <v>5</v>
      </c>
    </row>
    <row r="68" spans="1:15" ht="15.75" thickBot="1" x14ac:dyDescent="0.3">
      <c r="A68" s="23"/>
      <c r="B68" s="23"/>
      <c r="C68" s="23"/>
      <c r="D68" s="46" t="s">
        <v>110</v>
      </c>
      <c r="E68" s="154">
        <f>(20055/(1000*60))*60</f>
        <v>20.055</v>
      </c>
      <c r="F68" s="252">
        <f>(5531497/(1000*60))*60</f>
        <v>5531.4969999999994</v>
      </c>
      <c r="G68" s="154">
        <f>(8596634/(1000*60))*60</f>
        <v>8596.634</v>
      </c>
      <c r="H68" s="166">
        <f>(14591719/(1000*60))*60</f>
        <v>14591.718999999999</v>
      </c>
      <c r="I68" s="266">
        <f>SUM(E68:H68)</f>
        <v>28739.904999999999</v>
      </c>
    </row>
    <row r="69" spans="1:15" ht="15.75" thickBot="1" x14ac:dyDescent="0.3">
      <c r="D69" s="46" t="s">
        <v>109</v>
      </c>
      <c r="E69" s="154">
        <f>(20413/(1000*60))*60</f>
        <v>20.413</v>
      </c>
      <c r="F69" s="252">
        <f>(6597553/(1000*60))*60</f>
        <v>6597.5529999999999</v>
      </c>
      <c r="G69" s="154">
        <f>(8686275/(1000*60))*60</f>
        <v>8686.2750000000015</v>
      </c>
      <c r="H69" s="166">
        <f>(15178582/(1000*60))*60</f>
        <v>15178.582</v>
      </c>
      <c r="I69" s="172">
        <v>26538.673999999999</v>
      </c>
      <c r="J69">
        <v>1</v>
      </c>
    </row>
    <row r="70" spans="1:15" ht="15.75" thickBot="1" x14ac:dyDescent="0.3">
      <c r="D70" s="47" t="s">
        <v>111</v>
      </c>
      <c r="E70" s="156">
        <f>(20133/(1000*60))*60</f>
        <v>20.133000000000003</v>
      </c>
      <c r="F70" s="253">
        <f>(4782325/(1000*60))*60</f>
        <v>4782.3249999999998</v>
      </c>
      <c r="G70" s="156">
        <f>(7958502/(1000*60))*60</f>
        <v>7958.5019999999995</v>
      </c>
      <c r="H70" s="167">
        <f>(14201633/(1000*60))*60</f>
        <v>14201.633</v>
      </c>
      <c r="I70" s="176">
        <v>30482.823000000004</v>
      </c>
      <c r="J70">
        <v>6</v>
      </c>
    </row>
    <row r="71" spans="1:15" ht="15.75" thickBot="1" x14ac:dyDescent="0.3">
      <c r="A71" s="97"/>
      <c r="B71" s="98"/>
      <c r="C71" s="98"/>
      <c r="D71" s="267" t="s">
        <v>121</v>
      </c>
      <c r="E71" s="268">
        <f>15954/1000</f>
        <v>15.954000000000001</v>
      </c>
      <c r="F71" s="268">
        <f>4902985/1000</f>
        <v>4902.9849999999997</v>
      </c>
      <c r="G71" s="269">
        <f>8839166/1000</f>
        <v>8839.1659999999993</v>
      </c>
      <c r="H71" s="270">
        <f>14218470/1000</f>
        <v>14218.47</v>
      </c>
      <c r="I71" s="119"/>
    </row>
    <row r="72" spans="1:15" x14ac:dyDescent="0.25">
      <c r="A72" s="23"/>
      <c r="B72" s="23"/>
      <c r="C72" s="23"/>
      <c r="D72" s="23"/>
      <c r="E72" s="96">
        <f>MIN(E64:E70)</f>
        <v>11.368</v>
      </c>
      <c r="F72" s="96">
        <f t="shared" ref="F72:H72" si="3">MIN(F64:F70)</f>
        <v>3367.8010000000004</v>
      </c>
      <c r="G72" s="96">
        <f t="shared" si="3"/>
        <v>7892.8230000000003</v>
      </c>
      <c r="H72" s="96">
        <f t="shared" si="3"/>
        <v>14201.633</v>
      </c>
      <c r="I72" s="23"/>
    </row>
    <row r="73" spans="1:15" x14ac:dyDescent="0.25">
      <c r="A73" s="23"/>
      <c r="B73" s="23"/>
      <c r="C73" s="23"/>
      <c r="D73" s="23">
        <v>60</v>
      </c>
      <c r="E73" s="23"/>
      <c r="F73" s="23"/>
      <c r="G73" s="23"/>
      <c r="H73" s="23"/>
      <c r="I73" s="23"/>
    </row>
    <row r="74" spans="1:15" x14ac:dyDescent="0.25">
      <c r="A74" s="23"/>
      <c r="B74" s="23"/>
      <c r="C74" s="23"/>
      <c r="D74" s="30" t="s">
        <v>123</v>
      </c>
      <c r="E74" s="23">
        <v>15954</v>
      </c>
      <c r="F74" s="30">
        <v>1302985</v>
      </c>
      <c r="G74" s="30">
        <v>1639166</v>
      </c>
      <c r="H74">
        <v>1978470</v>
      </c>
      <c r="I74" s="23"/>
    </row>
    <row r="75" spans="1:15" x14ac:dyDescent="0.25">
      <c r="A75" s="23"/>
      <c r="B75" s="23"/>
      <c r="C75" s="23"/>
      <c r="D75" s="30" t="s">
        <v>122</v>
      </c>
      <c r="E75" s="34">
        <v>0</v>
      </c>
      <c r="F75" s="30">
        <v>20</v>
      </c>
      <c r="G75" s="30">
        <v>40</v>
      </c>
      <c r="H75">
        <v>68</v>
      </c>
      <c r="I75" s="34"/>
    </row>
    <row r="76" spans="1:15" x14ac:dyDescent="0.25">
      <c r="A76" s="23"/>
      <c r="B76" s="23"/>
      <c r="C76" s="23"/>
      <c r="D76" s="23"/>
      <c r="E76" s="23">
        <f>(E75*180000)</f>
        <v>0</v>
      </c>
      <c r="F76" s="23">
        <f t="shared" ref="F76:H76" si="4">(F75*180000)</f>
        <v>3600000</v>
      </c>
      <c r="G76" s="23">
        <f t="shared" si="4"/>
        <v>7200000</v>
      </c>
      <c r="H76" s="23">
        <f t="shared" si="4"/>
        <v>12240000</v>
      </c>
      <c r="I76" s="23"/>
    </row>
    <row r="77" spans="1:15" x14ac:dyDescent="0.25">
      <c r="E77">
        <f>E74+E76</f>
        <v>15954</v>
      </c>
      <c r="F77">
        <f t="shared" ref="F77:H77" si="5">F74+F76</f>
        <v>4902985</v>
      </c>
      <c r="G77">
        <f t="shared" si="5"/>
        <v>8839166</v>
      </c>
      <c r="H77">
        <f t="shared" si="5"/>
        <v>14218470</v>
      </c>
    </row>
    <row r="79" spans="1:15" ht="15.75" thickBot="1" x14ac:dyDescent="0.3">
      <c r="D79" s="422" t="s">
        <v>55</v>
      </c>
      <c r="E79" s="431"/>
      <c r="F79" s="431"/>
      <c r="G79" s="431"/>
      <c r="H79" s="431"/>
    </row>
    <row r="80" spans="1:15" ht="15.75" thickBot="1" x14ac:dyDescent="0.3">
      <c r="D80" s="42"/>
      <c r="E80" s="28" t="s">
        <v>90</v>
      </c>
      <c r="F80" s="47" t="s">
        <v>91</v>
      </c>
      <c r="G80" s="20" t="s">
        <v>89</v>
      </c>
      <c r="H80" s="21" t="s">
        <v>88</v>
      </c>
      <c r="I80" s="177" t="s">
        <v>92</v>
      </c>
      <c r="J80" s="255" t="s">
        <v>119</v>
      </c>
      <c r="K80">
        <v>3814936</v>
      </c>
      <c r="M80">
        <v>7314562</v>
      </c>
      <c r="O80">
        <v>16016656</v>
      </c>
    </row>
    <row r="81" spans="1:15" ht="15.75" thickBot="1" x14ac:dyDescent="0.3">
      <c r="D81" s="28" t="s">
        <v>105</v>
      </c>
      <c r="E81" s="155">
        <f>(81781/(1000*60))*60</f>
        <v>81.781000000000006</v>
      </c>
      <c r="F81" s="168">
        <f t="shared" ref="F81:F87" si="6">(K80/(1000*60))*60</f>
        <v>3814.9360000000001</v>
      </c>
      <c r="G81" s="251">
        <f t="shared" ref="G81:G87" si="7">(M80/(1000*60))*60</f>
        <v>7314.5619999999999</v>
      </c>
      <c r="H81" s="168">
        <f t="shared" ref="H81:H87" si="8">(O80/(1000*60))*60</f>
        <v>16016.656000000001</v>
      </c>
      <c r="I81" s="178">
        <f>SUM(E81:H81)</f>
        <v>27227.935000000001</v>
      </c>
      <c r="J81">
        <v>1</v>
      </c>
      <c r="K81">
        <v>4019620</v>
      </c>
      <c r="M81">
        <v>8412353</v>
      </c>
      <c r="O81">
        <v>17529861</v>
      </c>
    </row>
    <row r="82" spans="1:15" ht="15.75" thickBot="1" x14ac:dyDescent="0.3">
      <c r="D82" s="46" t="s">
        <v>106</v>
      </c>
      <c r="E82" s="154">
        <f>(50680/(1000*60))*60</f>
        <v>50.68</v>
      </c>
      <c r="F82" s="166">
        <f t="shared" si="6"/>
        <v>4019.6200000000003</v>
      </c>
      <c r="G82" s="252">
        <f t="shared" si="7"/>
        <v>8412.3529999999992</v>
      </c>
      <c r="H82" s="166">
        <f t="shared" si="8"/>
        <v>17529.861000000001</v>
      </c>
      <c r="I82" s="182">
        <f t="shared" ref="I82:I87" si="9">SUM(E82:H82)</f>
        <v>30012.513999999999</v>
      </c>
      <c r="J82">
        <v>5</v>
      </c>
      <c r="K82">
        <v>4040885</v>
      </c>
      <c r="M82">
        <v>7834904</v>
      </c>
      <c r="O82">
        <v>16994880</v>
      </c>
    </row>
    <row r="83" spans="1:15" ht="15.75" thickBot="1" x14ac:dyDescent="0.3">
      <c r="D83" s="46" t="s">
        <v>107</v>
      </c>
      <c r="E83" s="154">
        <f>(50899/(1000*60))*60</f>
        <v>50.899000000000001</v>
      </c>
      <c r="F83" s="166">
        <f t="shared" si="6"/>
        <v>4040.8850000000002</v>
      </c>
      <c r="G83" s="252">
        <f t="shared" si="7"/>
        <v>7834.9040000000005</v>
      </c>
      <c r="H83" s="166">
        <f t="shared" si="8"/>
        <v>16994.88</v>
      </c>
      <c r="I83" s="180">
        <f t="shared" si="9"/>
        <v>28921.567999999999</v>
      </c>
      <c r="J83">
        <v>3</v>
      </c>
      <c r="K83">
        <v>3683533</v>
      </c>
      <c r="M83">
        <v>8411302</v>
      </c>
      <c r="O83">
        <v>18903300</v>
      </c>
    </row>
    <row r="84" spans="1:15" ht="15.75" thickBot="1" x14ac:dyDescent="0.3">
      <c r="D84" s="46" t="s">
        <v>108</v>
      </c>
      <c r="E84" s="154">
        <f>(147719/(1000*60))*60</f>
        <v>147.71899999999999</v>
      </c>
      <c r="F84" s="166">
        <f t="shared" si="6"/>
        <v>3683.5330000000004</v>
      </c>
      <c r="G84" s="252">
        <f t="shared" si="7"/>
        <v>8411.3019999999997</v>
      </c>
      <c r="H84" s="166">
        <f t="shared" si="8"/>
        <v>18903.3</v>
      </c>
      <c r="I84" s="169">
        <f t="shared" si="9"/>
        <v>31145.853999999999</v>
      </c>
      <c r="J84">
        <v>7</v>
      </c>
      <c r="K84">
        <v>4029296</v>
      </c>
      <c r="M84">
        <v>7778943</v>
      </c>
      <c r="O84">
        <v>16915693</v>
      </c>
    </row>
    <row r="85" spans="1:15" ht="15.75" thickBot="1" x14ac:dyDescent="0.3">
      <c r="D85" s="46" t="s">
        <v>110</v>
      </c>
      <c r="E85" s="154">
        <f>(48837/(1000*60))*60</f>
        <v>48.836999999999996</v>
      </c>
      <c r="F85" s="166">
        <f t="shared" si="6"/>
        <v>4029.2959999999998</v>
      </c>
      <c r="G85" s="252">
        <f t="shared" si="7"/>
        <v>7778.9429999999993</v>
      </c>
      <c r="H85" s="166">
        <f t="shared" si="8"/>
        <v>16915.692999999999</v>
      </c>
      <c r="I85" s="179">
        <f t="shared" si="9"/>
        <v>28772.769</v>
      </c>
      <c r="J85">
        <v>2</v>
      </c>
      <c r="K85">
        <v>4393697</v>
      </c>
      <c r="M85">
        <v>8473420</v>
      </c>
      <c r="O85">
        <v>17890521</v>
      </c>
    </row>
    <row r="86" spans="1:15" ht="15.75" thickBot="1" x14ac:dyDescent="0.3">
      <c r="D86" s="46" t="s">
        <v>109</v>
      </c>
      <c r="E86" s="154">
        <f>(49904/(1000*60))*60</f>
        <v>49.903999999999996</v>
      </c>
      <c r="F86" s="166">
        <f t="shared" si="6"/>
        <v>4393.6970000000001</v>
      </c>
      <c r="G86" s="252">
        <f t="shared" si="7"/>
        <v>8473.42</v>
      </c>
      <c r="H86" s="166">
        <f t="shared" si="8"/>
        <v>17890.521000000001</v>
      </c>
      <c r="I86" s="183">
        <f t="shared" si="9"/>
        <v>30807.542000000001</v>
      </c>
      <c r="J86">
        <v>6</v>
      </c>
      <c r="K86">
        <v>4235745</v>
      </c>
      <c r="M86">
        <v>8389641</v>
      </c>
      <c r="O86">
        <v>17306950</v>
      </c>
    </row>
    <row r="87" spans="1:15" ht="15.75" thickBot="1" x14ac:dyDescent="0.3">
      <c r="D87" s="47" t="s">
        <v>111</v>
      </c>
      <c r="E87" s="156">
        <f>(51537/(1000*60))*60</f>
        <v>51.536999999999999</v>
      </c>
      <c r="F87" s="167">
        <f t="shared" si="6"/>
        <v>4235.7449999999999</v>
      </c>
      <c r="G87" s="253">
        <f t="shared" si="7"/>
        <v>8389.6409999999996</v>
      </c>
      <c r="H87" s="167">
        <f t="shared" si="8"/>
        <v>17306.95</v>
      </c>
      <c r="I87" s="181">
        <f t="shared" si="9"/>
        <v>29983.873</v>
      </c>
      <c r="J87">
        <v>4</v>
      </c>
    </row>
    <row r="88" spans="1:15" ht="15.75" thickBot="1" x14ac:dyDescent="0.3">
      <c r="C88" s="23"/>
      <c r="D88" s="260" t="s">
        <v>121</v>
      </c>
      <c r="E88" s="273">
        <f>174404/1000</f>
        <v>174.404</v>
      </c>
      <c r="F88" s="273">
        <f>2420929/1000</f>
        <v>2420.9290000000001</v>
      </c>
      <c r="G88" s="273">
        <f>6722787/1000</f>
        <v>6722.7870000000003</v>
      </c>
      <c r="H88" s="259">
        <f>12748358/1000</f>
        <v>12748.358</v>
      </c>
      <c r="I88" s="23"/>
    </row>
    <row r="89" spans="1:15" x14ac:dyDescent="0.25">
      <c r="B89" s="23"/>
      <c r="C89" s="23"/>
      <c r="D89" s="23"/>
      <c r="E89" s="96">
        <f>MIN(E81:E87)</f>
        <v>48.836999999999996</v>
      </c>
      <c r="F89" s="96">
        <f t="shared" ref="F89:H89" si="10">MIN(F81:F87)</f>
        <v>3683.5330000000004</v>
      </c>
      <c r="G89" s="96">
        <f t="shared" si="10"/>
        <v>7314.5619999999999</v>
      </c>
      <c r="H89" s="96">
        <f t="shared" si="10"/>
        <v>16016.656000000001</v>
      </c>
    </row>
    <row r="90" spans="1:15" x14ac:dyDescent="0.25">
      <c r="B90" s="23"/>
      <c r="C90" s="23"/>
      <c r="D90" s="30"/>
      <c r="G90" s="23"/>
      <c r="H90" s="23"/>
    </row>
    <row r="91" spans="1:15" x14ac:dyDescent="0.25">
      <c r="A91" s="23"/>
      <c r="B91" s="23"/>
      <c r="C91" s="23"/>
      <c r="D91" s="30"/>
      <c r="E91" s="23"/>
      <c r="F91" s="23"/>
      <c r="G91" s="23"/>
      <c r="H91" s="56"/>
      <c r="I91" s="23"/>
      <c r="J91" s="23"/>
      <c r="K91" s="23"/>
      <c r="L91" s="23"/>
    </row>
    <row r="92" spans="1:15" x14ac:dyDescent="0.25">
      <c r="A92" s="23"/>
      <c r="B92" s="23"/>
      <c r="C92" s="23"/>
      <c r="E92" s="23"/>
      <c r="F92" s="23"/>
      <c r="G92" s="23"/>
      <c r="H92" s="23"/>
      <c r="I92" s="23"/>
      <c r="K92">
        <v>34622002</v>
      </c>
      <c r="L92" s="23"/>
      <c r="M92">
        <f>26342002+J97</f>
        <v>34622002</v>
      </c>
      <c r="O92">
        <v>26342002</v>
      </c>
    </row>
    <row r="93" spans="1:15" ht="15.75" thickBot="1" x14ac:dyDescent="0.3">
      <c r="A93" s="23"/>
      <c r="B93" s="23"/>
      <c r="C93" s="23"/>
      <c r="D93" s="428" t="s">
        <v>57</v>
      </c>
      <c r="E93" s="428"/>
      <c r="F93" s="428"/>
      <c r="G93" s="23"/>
      <c r="H93" s="104"/>
      <c r="I93" s="23"/>
      <c r="K93">
        <v>34582951</v>
      </c>
      <c r="L93" s="23"/>
      <c r="M93">
        <f>26302951+J97</f>
        <v>34582951</v>
      </c>
      <c r="O93">
        <v>26302951</v>
      </c>
    </row>
    <row r="94" spans="1:15" ht="15.75" thickBot="1" x14ac:dyDescent="0.3">
      <c r="A94" s="23"/>
      <c r="B94" s="23"/>
      <c r="C94" s="23"/>
      <c r="D94" s="42"/>
      <c r="E94" s="102" t="s">
        <v>90</v>
      </c>
      <c r="F94" s="103" t="s">
        <v>89</v>
      </c>
      <c r="G94" s="185" t="s">
        <v>92</v>
      </c>
      <c r="H94" s="255" t="s">
        <v>119</v>
      </c>
      <c r="I94" s="23"/>
      <c r="K94">
        <v>34546678</v>
      </c>
      <c r="L94" s="23"/>
      <c r="M94">
        <f>26266678+J97</f>
        <v>34546678</v>
      </c>
      <c r="O94">
        <v>26266678</v>
      </c>
    </row>
    <row r="95" spans="1:15" ht="15.75" thickBot="1" x14ac:dyDescent="0.3">
      <c r="A95" s="23"/>
      <c r="B95" s="23"/>
      <c r="C95" s="23"/>
      <c r="D95" s="28" t="s">
        <v>105</v>
      </c>
      <c r="E95" s="155">
        <f>(1099177/(1000*60))*60</f>
        <v>1099.1770000000001</v>
      </c>
      <c r="F95" s="168">
        <f>(44070637/(1000*60))*60</f>
        <v>44070.637000000002</v>
      </c>
      <c r="G95" s="189">
        <f t="shared" ref="G95:G101" si="11">SUM(E95:F95)</f>
        <v>45169.814000000006</v>
      </c>
      <c r="H95">
        <v>4</v>
      </c>
      <c r="I95" s="23"/>
      <c r="J95">
        <f>46*180000</f>
        <v>8280000</v>
      </c>
      <c r="K95">
        <v>34391756</v>
      </c>
      <c r="L95" s="23"/>
      <c r="M95">
        <f>26111756+J97</f>
        <v>34391756</v>
      </c>
      <c r="O95">
        <v>26111756</v>
      </c>
    </row>
    <row r="96" spans="1:15" ht="15.75" thickBot="1" x14ac:dyDescent="0.3">
      <c r="A96" s="23"/>
      <c r="B96" s="23"/>
      <c r="C96" s="23"/>
      <c r="D96" s="46" t="s">
        <v>106</v>
      </c>
      <c r="E96" s="154">
        <f>(1056523/(1000*60))*60</f>
        <v>1056.5229999999999</v>
      </c>
      <c r="F96" s="166">
        <f>(33586424/(1000*60))*60</f>
        <v>33586.423999999999</v>
      </c>
      <c r="G96" s="187">
        <f t="shared" si="11"/>
        <v>34642.947</v>
      </c>
      <c r="H96">
        <v>2</v>
      </c>
      <c r="I96" s="23"/>
      <c r="K96">
        <v>34468833</v>
      </c>
      <c r="L96" s="23"/>
      <c r="M96">
        <f>26188833+J97</f>
        <v>34468833</v>
      </c>
      <c r="O96">
        <v>26188833</v>
      </c>
    </row>
    <row r="97" spans="1:15" ht="15.75" thickBot="1" x14ac:dyDescent="0.3">
      <c r="A97" s="23"/>
      <c r="B97" s="23"/>
      <c r="C97" s="23"/>
      <c r="D97" s="46" t="s">
        <v>107</v>
      </c>
      <c r="E97" s="154">
        <f>(1053381/(1000*60))*60</f>
        <v>1053.3809999999999</v>
      </c>
      <c r="F97" s="166">
        <f>(52485565/(1000*60))*60</f>
        <v>52485.565000000002</v>
      </c>
      <c r="G97" s="191">
        <f t="shared" si="11"/>
        <v>53538.946000000004</v>
      </c>
      <c r="H97">
        <v>6</v>
      </c>
      <c r="I97" s="23"/>
      <c r="J97">
        <v>8280000</v>
      </c>
      <c r="K97">
        <v>34429510</v>
      </c>
      <c r="L97" s="23"/>
      <c r="M97">
        <f>26149510+J97</f>
        <v>34429510</v>
      </c>
      <c r="O97">
        <v>26149510</v>
      </c>
    </row>
    <row r="98" spans="1:15" ht="15.75" thickBot="1" x14ac:dyDescent="0.3">
      <c r="A98" s="23"/>
      <c r="B98" s="23"/>
      <c r="C98" s="23"/>
      <c r="D98" s="46" t="s">
        <v>108</v>
      </c>
      <c r="E98" s="154">
        <f>(1040555/(1000*60))*60</f>
        <v>1040.5550000000001</v>
      </c>
      <c r="F98" s="166">
        <f>(44561839/(1000*60))*60</f>
        <v>44561.839</v>
      </c>
      <c r="G98" s="190">
        <f t="shared" si="11"/>
        <v>45602.394</v>
      </c>
      <c r="H98">
        <v>5</v>
      </c>
      <c r="I98" s="23"/>
      <c r="J98" s="23"/>
      <c r="K98" s="23">
        <v>34506972</v>
      </c>
      <c r="L98" s="23"/>
      <c r="M98">
        <f>26226972+J97</f>
        <v>34506972</v>
      </c>
      <c r="O98">
        <v>26226972</v>
      </c>
    </row>
    <row r="99" spans="1:15" ht="15.75" thickBot="1" x14ac:dyDescent="0.3">
      <c r="A99" s="23"/>
      <c r="B99" s="23"/>
      <c r="C99" s="23"/>
      <c r="D99" s="46" t="s">
        <v>110</v>
      </c>
      <c r="E99" s="154">
        <f>(1051421/(1000*60))*60</f>
        <v>1051.421</v>
      </c>
      <c r="F99" s="166">
        <f>(39058822/(1000*60))*60</f>
        <v>39058.822</v>
      </c>
      <c r="G99" s="188">
        <f t="shared" si="11"/>
        <v>40110.243000000002</v>
      </c>
      <c r="H99">
        <v>3</v>
      </c>
      <c r="I99" s="23"/>
      <c r="J99" s="23"/>
      <c r="K99" s="23"/>
      <c r="L99" s="23"/>
    </row>
    <row r="100" spans="1:15" ht="15.75" thickBot="1" x14ac:dyDescent="0.3">
      <c r="A100" s="23"/>
      <c r="B100" s="23"/>
      <c r="C100" s="23"/>
      <c r="D100" s="46" t="s">
        <v>109</v>
      </c>
      <c r="E100" s="154">
        <f>(1052657/(1000*60))*60</f>
        <v>1052.6569999999999</v>
      </c>
      <c r="F100" s="166">
        <f>(15786627/(1000*60))*60</f>
        <v>15786.627</v>
      </c>
      <c r="G100" s="186">
        <f t="shared" si="11"/>
        <v>16839.284</v>
      </c>
      <c r="H100">
        <v>1</v>
      </c>
      <c r="I100" s="23"/>
      <c r="J100" s="23"/>
    </row>
    <row r="101" spans="1:15" ht="15.75" thickBot="1" x14ac:dyDescent="0.3">
      <c r="A101" s="23"/>
      <c r="B101" s="23"/>
      <c r="C101" s="23"/>
      <c r="D101" s="47" t="s">
        <v>111</v>
      </c>
      <c r="E101" s="156">
        <f>(1052523/(1000*60))*60</f>
        <v>1052.5229999999999</v>
      </c>
      <c r="F101" s="167">
        <f>(54745729/(1000*60))*60</f>
        <v>54745.728999999999</v>
      </c>
      <c r="G101" s="184">
        <f t="shared" si="11"/>
        <v>55798.252</v>
      </c>
      <c r="H101">
        <v>7</v>
      </c>
      <c r="I101" s="23"/>
      <c r="J101" s="23"/>
    </row>
    <row r="102" spans="1:15" ht="15.75" thickBot="1" x14ac:dyDescent="0.3">
      <c r="A102" s="23"/>
      <c r="B102" s="23"/>
      <c r="C102" s="23"/>
      <c r="D102" s="42" t="s">
        <v>121</v>
      </c>
      <c r="E102" s="261">
        <f>(1144831/(1000*60))*60</f>
        <v>1144.8310000000001</v>
      </c>
      <c r="F102" s="259">
        <f>(38271864/(1000*60))*60</f>
        <v>38271.864000000001</v>
      </c>
      <c r="G102" s="262">
        <f>SUM(E102:F102)</f>
        <v>39416.695</v>
      </c>
      <c r="H102" s="23"/>
      <c r="I102" s="23"/>
      <c r="J102" s="23"/>
    </row>
    <row r="103" spans="1:15" x14ac:dyDescent="0.25">
      <c r="A103" s="23"/>
      <c r="E103" s="256">
        <f>MIN(E95:E101)</f>
        <v>1040.5550000000001</v>
      </c>
      <c r="F103" s="256">
        <f>MIN(F95:F101)</f>
        <v>15786.627</v>
      </c>
      <c r="I103" s="23"/>
      <c r="J103" s="23"/>
    </row>
    <row r="104" spans="1:15" x14ac:dyDescent="0.25">
      <c r="A104" s="23"/>
      <c r="I104" s="23"/>
      <c r="J104" s="23"/>
    </row>
    <row r="105" spans="1:15" x14ac:dyDescent="0.25">
      <c r="A105" s="23"/>
      <c r="I105" s="23"/>
      <c r="J105" s="23"/>
    </row>
    <row r="106" spans="1:15" x14ac:dyDescent="0.25">
      <c r="A106" s="23"/>
      <c r="I106" s="23"/>
      <c r="J106" s="23"/>
    </row>
    <row r="110" spans="1:15" x14ac:dyDescent="0.25">
      <c r="D110" s="426" t="s">
        <v>54</v>
      </c>
      <c r="E110" s="426"/>
      <c r="F110" s="426"/>
      <c r="G110" s="426"/>
      <c r="H110" s="426"/>
      <c r="I110" s="426"/>
      <c r="J110" s="426"/>
      <c r="K110" s="426"/>
      <c r="L110" s="426"/>
    </row>
    <row r="111" spans="1:15" ht="15.75" thickBot="1" x14ac:dyDescent="0.3">
      <c r="D111" s="276"/>
      <c r="E111" s="289" t="s">
        <v>105</v>
      </c>
      <c r="F111" s="289" t="s">
        <v>106</v>
      </c>
      <c r="G111" s="289" t="s">
        <v>107</v>
      </c>
      <c r="H111" s="289" t="s">
        <v>108</v>
      </c>
      <c r="I111" s="289" t="s">
        <v>110</v>
      </c>
      <c r="J111" s="289" t="s">
        <v>109</v>
      </c>
      <c r="K111" s="289" t="s">
        <v>111</v>
      </c>
      <c r="L111" s="289" t="s">
        <v>121</v>
      </c>
      <c r="M111" s="276" t="s">
        <v>126</v>
      </c>
    </row>
    <row r="112" spans="1:15" ht="15.75" thickBot="1" x14ac:dyDescent="0.3">
      <c r="D112" s="288" t="s">
        <v>135</v>
      </c>
      <c r="E112" s="277">
        <f>(11368/(1000*60))*60</f>
        <v>11.368</v>
      </c>
      <c r="F112" s="277">
        <f>(20065/(1000*60))*60</f>
        <v>20.064999999999998</v>
      </c>
      <c r="G112" s="277">
        <f>(20823/(1000*60))*60</f>
        <v>20.823</v>
      </c>
      <c r="H112" s="277">
        <f>(17129/(1000*60))*60</f>
        <v>17.128999999999998</v>
      </c>
      <c r="I112" s="277">
        <f>(20055/(1000*60))*60</f>
        <v>20.055</v>
      </c>
      <c r="J112" s="277">
        <f>(20413/(1000*60))*60</f>
        <v>20.413</v>
      </c>
      <c r="K112" s="277">
        <f>(20133/(1000*60))*60</f>
        <v>20.133000000000003</v>
      </c>
      <c r="L112" s="292">
        <f>15954/1000</f>
        <v>15.954000000000001</v>
      </c>
      <c r="M112" s="290">
        <v>3.1379999999999999</v>
      </c>
    </row>
    <row r="113" spans="4:13" ht="15.75" thickBot="1" x14ac:dyDescent="0.3">
      <c r="D113" s="288" t="s">
        <v>136</v>
      </c>
      <c r="E113" s="277">
        <f>(7466875/(1000*60))*60</f>
        <v>7466.875</v>
      </c>
      <c r="F113" s="277">
        <f>(5546421/(1000*60))*60</f>
        <v>5546.4209999999994</v>
      </c>
      <c r="G113" s="277">
        <f>(6246050/(1000*60))*60</f>
        <v>6246.0499999999993</v>
      </c>
      <c r="H113" s="277">
        <f>(3367801/(1000*60))*60</f>
        <v>3367.8010000000004</v>
      </c>
      <c r="I113" s="277">
        <f>(5531497/(1000*60))*60</f>
        <v>5531.4969999999994</v>
      </c>
      <c r="J113" s="277">
        <f>(6597553/(1000*60))*60</f>
        <v>6597.5529999999999</v>
      </c>
      <c r="K113" s="277">
        <f>(4782325/(1000*60))*60</f>
        <v>4782.3249999999998</v>
      </c>
      <c r="L113" s="292">
        <f>4902985/1000</f>
        <v>4902.9849999999997</v>
      </c>
      <c r="M113" s="282">
        <v>244.71</v>
      </c>
    </row>
    <row r="114" spans="4:13" ht="15.75" thickBot="1" x14ac:dyDescent="0.3">
      <c r="D114" s="288" t="s">
        <v>137</v>
      </c>
      <c r="E114" s="277">
        <f>(11977991/(1000*60))*60</f>
        <v>11977.991</v>
      </c>
      <c r="F114" s="277">
        <f>(7958118/(1000*60))*60</f>
        <v>7958.1180000000004</v>
      </c>
      <c r="G114" s="277">
        <f>(7892823/(1000*60))*60</f>
        <v>7892.8230000000003</v>
      </c>
      <c r="H114" s="277">
        <f>(8287456/(1000*60))*60</f>
        <v>8287.4560000000001</v>
      </c>
      <c r="I114" s="277">
        <f>(8596634/(1000*60))*60</f>
        <v>8596.634</v>
      </c>
      <c r="J114" s="277">
        <f>(8686275/(1000*60))*60</f>
        <v>8686.2750000000015</v>
      </c>
      <c r="K114" s="277">
        <f>(7958502/(1000*60))*60</f>
        <v>7958.5019999999995</v>
      </c>
      <c r="L114" s="292">
        <f>8839166/1000</f>
        <v>8839.1659999999993</v>
      </c>
      <c r="M114" s="291">
        <v>10947.03</v>
      </c>
    </row>
    <row r="115" spans="4:13" ht="15.75" thickBot="1" x14ac:dyDescent="0.3">
      <c r="D115" s="288" t="s">
        <v>138</v>
      </c>
      <c r="E115" s="277">
        <f>(14408012/(1000*60))*60</f>
        <v>14408.012000000001</v>
      </c>
      <c r="F115" s="277">
        <f>(15104743/(1000*60))*60</f>
        <v>15104.743</v>
      </c>
      <c r="G115" s="277">
        <f>(14707791/(1000*60))*60</f>
        <v>14707.791000000001</v>
      </c>
      <c r="H115" s="277">
        <f>(14866288/(1000*60))*60</f>
        <v>14866.288</v>
      </c>
      <c r="I115" s="277">
        <f>(14591719/(1000*60))*60</f>
        <v>14591.718999999999</v>
      </c>
      <c r="J115" s="277">
        <f>(15178582/(1000*60))*60</f>
        <v>15178.582</v>
      </c>
      <c r="K115" s="277">
        <f>(14201633/(1000*60))*60</f>
        <v>14201.633</v>
      </c>
      <c r="L115" s="292">
        <f>14218470/1000</f>
        <v>14218.47</v>
      </c>
      <c r="M115" s="283">
        <v>15203.023999999999</v>
      </c>
    </row>
    <row r="119" spans="4:13" x14ac:dyDescent="0.25">
      <c r="D119" s="427" t="s">
        <v>124</v>
      </c>
      <c r="E119" s="427"/>
      <c r="F119" s="427"/>
      <c r="G119" s="427"/>
      <c r="H119" s="427"/>
      <c r="I119" s="427"/>
      <c r="J119" s="427"/>
      <c r="K119" s="427"/>
      <c r="L119" s="427"/>
    </row>
    <row r="120" spans="4:13" ht="15.75" thickBot="1" x14ac:dyDescent="0.3">
      <c r="D120" s="276"/>
      <c r="E120" s="276" t="s">
        <v>105</v>
      </c>
      <c r="F120" s="276" t="s">
        <v>106</v>
      </c>
      <c r="G120" s="276" t="s">
        <v>107</v>
      </c>
      <c r="H120" s="276" t="s">
        <v>108</v>
      </c>
      <c r="I120" s="276" t="s">
        <v>110</v>
      </c>
      <c r="J120" s="276" t="s">
        <v>109</v>
      </c>
      <c r="K120" s="276" t="s">
        <v>111</v>
      </c>
      <c r="L120" s="276" t="s">
        <v>121</v>
      </c>
      <c r="M120" s="276" t="s">
        <v>126</v>
      </c>
    </row>
    <row r="121" spans="4:13" ht="15.75" thickBot="1" x14ac:dyDescent="0.3">
      <c r="D121" s="288" t="s">
        <v>135</v>
      </c>
      <c r="E121" s="277">
        <f>(81781/(1000*60))*60</f>
        <v>81.781000000000006</v>
      </c>
      <c r="F121" s="277">
        <f>(50680/(1000*60))*60</f>
        <v>50.68</v>
      </c>
      <c r="G121" s="277">
        <f>(50899/(1000*60))*60</f>
        <v>50.899000000000001</v>
      </c>
      <c r="H121" s="277">
        <f>(147719/(1000*60))*60</f>
        <v>147.71899999999999</v>
      </c>
      <c r="I121" s="277">
        <f>(48837/(1000*60))*60</f>
        <v>48.836999999999996</v>
      </c>
      <c r="J121" s="277">
        <f>(49904/(1000*60))*60</f>
        <v>49.903999999999996</v>
      </c>
      <c r="K121" s="277">
        <f>(51537/(1000*60))*60</f>
        <v>51.536999999999999</v>
      </c>
      <c r="L121" s="277">
        <f>174404/1000</f>
        <v>174.404</v>
      </c>
      <c r="M121" s="281">
        <f>115250/1000</f>
        <v>115.25</v>
      </c>
    </row>
    <row r="122" spans="4:13" ht="15.75" thickBot="1" x14ac:dyDescent="0.3">
      <c r="D122" s="288" t="s">
        <v>136</v>
      </c>
      <c r="E122" s="276">
        <v>3814.9360000000001</v>
      </c>
      <c r="F122" s="276">
        <v>4019.6200000000003</v>
      </c>
      <c r="G122" s="276">
        <v>4040.8850000000002</v>
      </c>
      <c r="H122" s="276">
        <v>3683.5330000000004</v>
      </c>
      <c r="I122" s="276">
        <v>4029.2959999999998</v>
      </c>
      <c r="J122" s="276">
        <v>4393.6970000000001</v>
      </c>
      <c r="K122" s="276">
        <v>4235.7449999999999</v>
      </c>
      <c r="L122" s="276">
        <v>2420.9290000000001</v>
      </c>
      <c r="M122" s="281">
        <f>491789/1000</f>
        <v>491.78899999999999</v>
      </c>
    </row>
    <row r="123" spans="4:13" ht="15.75" thickBot="1" x14ac:dyDescent="0.3">
      <c r="D123" s="288" t="s">
        <v>137</v>
      </c>
      <c r="E123" s="276">
        <v>7314.5619999999999</v>
      </c>
      <c r="F123" s="276">
        <v>8412.3529999999992</v>
      </c>
      <c r="G123" s="276">
        <v>7834.9040000000005</v>
      </c>
      <c r="H123" s="276">
        <v>8411.3019999999997</v>
      </c>
      <c r="I123" s="276">
        <v>7778.9429999999993</v>
      </c>
      <c r="J123" s="276">
        <v>8473.42</v>
      </c>
      <c r="K123" s="276">
        <v>8389.6409999999996</v>
      </c>
      <c r="L123" s="276">
        <v>6722.7870000000003</v>
      </c>
      <c r="M123" s="281">
        <f>6527843/1000</f>
        <v>6527.8429999999998</v>
      </c>
    </row>
    <row r="124" spans="4:13" ht="15.75" thickBot="1" x14ac:dyDescent="0.3">
      <c r="D124" s="288" t="s">
        <v>138</v>
      </c>
      <c r="E124" s="276">
        <v>16016.656000000001</v>
      </c>
      <c r="F124" s="276">
        <v>17529.861000000001</v>
      </c>
      <c r="G124" s="276">
        <v>16994.88</v>
      </c>
      <c r="H124" s="276">
        <v>18903.3</v>
      </c>
      <c r="I124" s="276">
        <v>16915.692999999999</v>
      </c>
      <c r="J124" s="276">
        <v>17890.521000000001</v>
      </c>
      <c r="K124" s="276">
        <v>17306.95</v>
      </c>
      <c r="L124" s="276">
        <v>12748.358</v>
      </c>
      <c r="M124" s="281">
        <f>11354628/1000</f>
        <v>11354.628000000001</v>
      </c>
    </row>
    <row r="128" spans="4:13" x14ac:dyDescent="0.25">
      <c r="D128" s="425" t="s">
        <v>125</v>
      </c>
      <c r="E128" s="425"/>
      <c r="F128" s="425"/>
      <c r="G128" s="425"/>
      <c r="H128" s="425"/>
      <c r="I128" s="425"/>
      <c r="J128" s="425"/>
      <c r="K128" s="425"/>
      <c r="L128" s="425"/>
      <c r="M128" s="276"/>
    </row>
    <row r="129" spans="4:13" ht="15.75" thickBot="1" x14ac:dyDescent="0.3">
      <c r="D129" s="276"/>
      <c r="E129" s="276" t="s">
        <v>105</v>
      </c>
      <c r="F129" s="276" t="s">
        <v>106</v>
      </c>
      <c r="G129" s="276" t="s">
        <v>107</v>
      </c>
      <c r="H129" s="276" t="s">
        <v>108</v>
      </c>
      <c r="I129" s="276" t="s">
        <v>110</v>
      </c>
      <c r="J129" s="276" t="s">
        <v>109</v>
      </c>
      <c r="K129" s="276" t="s">
        <v>111</v>
      </c>
      <c r="L129" s="276" t="s">
        <v>121</v>
      </c>
      <c r="M129" s="276" t="s">
        <v>126</v>
      </c>
    </row>
    <row r="130" spans="4:13" ht="15.75" thickBot="1" x14ac:dyDescent="0.3">
      <c r="D130" s="288" t="s">
        <v>135</v>
      </c>
      <c r="E130" s="277">
        <f>(1099177/(1000*60))*60</f>
        <v>1099.1770000000001</v>
      </c>
      <c r="F130" s="277">
        <f>(1056523/(1000*60))*60</f>
        <v>1056.5229999999999</v>
      </c>
      <c r="G130" s="277">
        <f>(1053381/(1000*60))*60</f>
        <v>1053.3809999999999</v>
      </c>
      <c r="H130" s="277">
        <f>(1040555/(1000*60))*60</f>
        <v>1040.5550000000001</v>
      </c>
      <c r="I130" s="277">
        <f>(1051421/(1000*60))*60</f>
        <v>1051.421</v>
      </c>
      <c r="J130" s="277">
        <f>(1052657/(1000*60))*60</f>
        <v>1052.6569999999999</v>
      </c>
      <c r="K130" s="277">
        <f>(1052523/(1000*60))*60</f>
        <v>1052.5229999999999</v>
      </c>
      <c r="L130" s="277">
        <f>(1144831/(1000*60))*60</f>
        <v>1144.8310000000001</v>
      </c>
      <c r="M130" s="281">
        <v>987</v>
      </c>
    </row>
    <row r="131" spans="4:13" ht="15.75" thickBot="1" x14ac:dyDescent="0.3">
      <c r="D131" s="288" t="s">
        <v>137</v>
      </c>
      <c r="E131" s="277">
        <f>(44070637/(1000*60))*60</f>
        <v>44070.637000000002</v>
      </c>
      <c r="F131" s="277">
        <f>(33586424/(1000*60))*60</f>
        <v>33586.423999999999</v>
      </c>
      <c r="G131" s="277">
        <f>(52485565/(1000*60))*60</f>
        <v>52485.565000000002</v>
      </c>
      <c r="H131" s="277">
        <f>(44561839/(1000*60))*60</f>
        <v>44561.839</v>
      </c>
      <c r="I131" s="277">
        <f>(39058822/(1000*60))*60</f>
        <v>39058.822</v>
      </c>
      <c r="J131" s="277">
        <f>(15786627/(1000*60))*60</f>
        <v>15786.627</v>
      </c>
      <c r="K131" s="277">
        <f>(54745729/(1000*60))*60</f>
        <v>54745.728999999999</v>
      </c>
      <c r="L131" s="277">
        <f>(38271864/(1000*60))*60</f>
        <v>38271.864000000001</v>
      </c>
      <c r="M131" s="281">
        <v>15895.214</v>
      </c>
    </row>
  </sheetData>
  <sortState ref="D65:E71">
    <sortCondition ref="D64"/>
  </sortState>
  <mergeCells count="25">
    <mergeCell ref="S5:W5"/>
    <mergeCell ref="S16:W16"/>
    <mergeCell ref="I29:J29"/>
    <mergeCell ref="D15:I15"/>
    <mergeCell ref="E16:F16"/>
    <mergeCell ref="G16:H16"/>
    <mergeCell ref="S29:W29"/>
    <mergeCell ref="I16:J16"/>
    <mergeCell ref="N16:R16"/>
    <mergeCell ref="D128:L128"/>
    <mergeCell ref="I5:J5"/>
    <mergeCell ref="G29:H29"/>
    <mergeCell ref="N29:R29"/>
    <mergeCell ref="D110:L110"/>
    <mergeCell ref="D119:L119"/>
    <mergeCell ref="E29:F29"/>
    <mergeCell ref="D93:F93"/>
    <mergeCell ref="E5:F5"/>
    <mergeCell ref="G5:H5"/>
    <mergeCell ref="N5:R5"/>
    <mergeCell ref="D61:H61"/>
    <mergeCell ref="N39:AE39"/>
    <mergeCell ref="D79:H79"/>
    <mergeCell ref="E62:F62"/>
    <mergeCell ref="G62:H62"/>
  </mergeCells>
  <pageMargins left="0.7" right="0.7" top="0.75" bottom="0.75" header="0.3" footer="0.3"/>
  <pageSetup orientation="portrait" horizontalDpi="4294967293" verticalDpi="4294967293"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74"/>
  <sheetViews>
    <sheetView topLeftCell="A37" zoomScale="50" zoomScaleNormal="50" workbookViewId="0">
      <selection activeCell="A73" sqref="A73:A74"/>
    </sheetView>
  </sheetViews>
  <sheetFormatPr defaultRowHeight="15" x14ac:dyDescent="0.25"/>
  <cols>
    <col min="1" max="1" width="20.42578125" customWidth="1"/>
    <col min="2" max="2" width="17.85546875" customWidth="1"/>
    <col min="3" max="3" width="13.7109375" customWidth="1"/>
    <col min="4" max="4" width="14.7109375" customWidth="1"/>
    <col min="5" max="5" width="14" customWidth="1"/>
    <col min="6" max="6" width="13.28515625" customWidth="1"/>
    <col min="7" max="7" width="14.140625" customWidth="1"/>
    <col min="8" max="8" width="20.28515625" customWidth="1"/>
    <col min="9" max="9" width="15.7109375" customWidth="1"/>
    <col min="19" max="19" width="9.140625" customWidth="1"/>
  </cols>
  <sheetData>
    <row r="1" spans="1:18" ht="15.75" thickBot="1" x14ac:dyDescent="0.3">
      <c r="A1" s="432" t="s">
        <v>54</v>
      </c>
      <c r="B1" s="432"/>
      <c r="C1" s="432"/>
      <c r="D1" s="432"/>
      <c r="E1" s="432"/>
      <c r="F1" s="432"/>
      <c r="G1" s="432"/>
      <c r="H1" s="432"/>
    </row>
    <row r="2" spans="1:18" ht="15.75" thickBot="1" x14ac:dyDescent="0.3">
      <c r="A2" s="48" t="s">
        <v>45</v>
      </c>
      <c r="B2" s="49"/>
      <c r="C2" s="49"/>
      <c r="D2" s="46"/>
      <c r="E2" s="46"/>
      <c r="F2" s="47"/>
      <c r="G2" s="46"/>
      <c r="H2" s="47"/>
    </row>
    <row r="3" spans="1:18" ht="15.75" thickBot="1" x14ac:dyDescent="0.3">
      <c r="A3" s="43"/>
      <c r="B3" s="433" t="s">
        <v>1</v>
      </c>
      <c r="C3" s="434"/>
      <c r="D3" s="433" t="s">
        <v>18</v>
      </c>
      <c r="E3" s="434"/>
      <c r="F3" s="433" t="s">
        <v>21</v>
      </c>
      <c r="G3" s="434"/>
      <c r="H3" s="41" t="s">
        <v>22</v>
      </c>
      <c r="I3" s="35"/>
    </row>
    <row r="4" spans="1:18" ht="15.75" thickBot="1" x14ac:dyDescent="0.3">
      <c r="A4" s="121"/>
      <c r="B4" s="28" t="s">
        <v>90</v>
      </c>
      <c r="C4" s="47" t="s">
        <v>91</v>
      </c>
      <c r="D4" s="28" t="s">
        <v>89</v>
      </c>
      <c r="E4" s="47" t="s">
        <v>88</v>
      </c>
      <c r="F4" s="122" t="s">
        <v>11</v>
      </c>
      <c r="G4" s="121" t="s">
        <v>12</v>
      </c>
      <c r="H4" s="123"/>
    </row>
    <row r="5" spans="1:18" ht="15.75" thickBot="1" x14ac:dyDescent="0.3">
      <c r="A5" s="28" t="s">
        <v>105</v>
      </c>
      <c r="B5" s="243">
        <v>3.7893333333333327E-2</v>
      </c>
      <c r="C5" s="244">
        <v>4.4033018867924527</v>
      </c>
      <c r="D5" s="245">
        <v>23.201458955223881</v>
      </c>
      <c r="E5" s="244">
        <v>5.5859559471365641</v>
      </c>
      <c r="F5" s="125">
        <f>B5+D5</f>
        <v>23.239352288557214</v>
      </c>
      <c r="G5" s="121">
        <f>C5+E5</f>
        <v>9.9892578339290168</v>
      </c>
      <c r="H5" s="123">
        <f>F5+G5</f>
        <v>33.228610122486231</v>
      </c>
      <c r="I5" s="192"/>
    </row>
    <row r="6" spans="1:18" ht="15.75" thickBot="1" x14ac:dyDescent="0.3">
      <c r="A6" s="46" t="s">
        <v>106</v>
      </c>
      <c r="B6" s="246">
        <v>6.6883333333333336E-2</v>
      </c>
      <c r="C6" s="247">
        <v>4.4435543478260868</v>
      </c>
      <c r="D6" s="96">
        <v>10.103756457564575</v>
      </c>
      <c r="E6" s="247">
        <v>11.62226406926407</v>
      </c>
      <c r="F6" s="70">
        <f t="shared" ref="F6:F12" si="0">B6+D6</f>
        <v>10.170639790897908</v>
      </c>
      <c r="G6" s="73">
        <f t="shared" ref="G6:G11" si="1">C6+E6</f>
        <v>16.065818417090156</v>
      </c>
      <c r="H6" s="199">
        <f t="shared" ref="H6:H11" si="2">F6+G6</f>
        <v>26.236458207988065</v>
      </c>
      <c r="R6" s="151">
        <v>4403.3018867924529</v>
      </c>
    </row>
    <row r="7" spans="1:18" ht="15.75" thickBot="1" x14ac:dyDescent="0.3">
      <c r="A7" s="46" t="s">
        <v>107</v>
      </c>
      <c r="B7" s="246">
        <v>6.9409999999999999E-2</v>
      </c>
      <c r="C7" s="247">
        <v>4.434007352941177</v>
      </c>
      <c r="D7" s="96">
        <v>10.488319852941176</v>
      </c>
      <c r="E7" s="247">
        <v>9.1643086956521742</v>
      </c>
      <c r="F7" s="70">
        <f t="shared" si="0"/>
        <v>10.557729852941176</v>
      </c>
      <c r="G7" s="73">
        <f t="shared" si="1"/>
        <v>13.59831604859335</v>
      </c>
      <c r="H7" s="198">
        <f t="shared" si="2"/>
        <v>24.156045901534526</v>
      </c>
      <c r="J7">
        <f>B8+C8</f>
        <v>4.2508501388888886</v>
      </c>
      <c r="R7" s="152">
        <v>4443.554347826087</v>
      </c>
    </row>
    <row r="8" spans="1:18" ht="15.75" thickBot="1" x14ac:dyDescent="0.3">
      <c r="A8" s="46" t="s">
        <v>108</v>
      </c>
      <c r="B8" s="246">
        <v>5.7096666666666664E-2</v>
      </c>
      <c r="C8" s="247">
        <v>4.1937534722222223</v>
      </c>
      <c r="D8" s="96">
        <v>10.06489219330855</v>
      </c>
      <c r="E8" s="247">
        <v>7.6047929515418504</v>
      </c>
      <c r="F8" s="70">
        <f t="shared" si="0"/>
        <v>10.121988859975216</v>
      </c>
      <c r="G8" s="73">
        <f t="shared" si="1"/>
        <v>11.798546423764073</v>
      </c>
      <c r="H8" s="197">
        <f>F8+G8</f>
        <v>21.920535283739291</v>
      </c>
      <c r="J8">
        <f>F8-B8</f>
        <v>10.06489219330855</v>
      </c>
      <c r="R8" s="152">
        <v>4434.0073529411766</v>
      </c>
    </row>
    <row r="9" spans="1:18" ht="15.75" thickBot="1" x14ac:dyDescent="0.3">
      <c r="A9" s="46" t="s">
        <v>110</v>
      </c>
      <c r="B9" s="246">
        <f>(20055/300)/1000</f>
        <v>6.6849999999999993E-2</v>
      </c>
      <c r="C9" s="247">
        <f>(1211497/276)/1000</f>
        <v>4.3894818840579708</v>
      </c>
      <c r="D9" s="96">
        <f>(2296634/265)/1000</f>
        <v>8.6665433962264142</v>
      </c>
      <c r="E9" s="247">
        <f>(1991719/230)/1000</f>
        <v>8.6596478260869567</v>
      </c>
      <c r="F9" s="70">
        <f t="shared" si="0"/>
        <v>8.7333933962264148</v>
      </c>
      <c r="G9" s="73">
        <f t="shared" si="1"/>
        <v>13.049129710144928</v>
      </c>
      <c r="H9" s="196">
        <f t="shared" si="2"/>
        <v>21.782523106371343</v>
      </c>
      <c r="R9" s="152">
        <v>4193.7534722222226</v>
      </c>
    </row>
    <row r="10" spans="1:18" ht="15.75" thickBot="1" x14ac:dyDescent="0.3">
      <c r="A10" s="46" t="s">
        <v>109</v>
      </c>
      <c r="B10" s="246">
        <v>6.8043333333333331E-2</v>
      </c>
      <c r="C10" s="247">
        <v>4.4353814814814818</v>
      </c>
      <c r="D10" s="96">
        <v>9.0048113207547171</v>
      </c>
      <c r="E10" s="247">
        <v>8.2238141592920346</v>
      </c>
      <c r="F10" s="70">
        <f t="shared" si="0"/>
        <v>9.0728546540880508</v>
      </c>
      <c r="G10" s="73">
        <f>C10+E10</f>
        <v>12.659195640773516</v>
      </c>
      <c r="H10" s="195">
        <f t="shared" si="2"/>
        <v>21.732050294861565</v>
      </c>
      <c r="R10" s="152">
        <f>1211497/276</f>
        <v>4389.481884057971</v>
      </c>
    </row>
    <row r="11" spans="1:18" ht="15.75" thickBot="1" x14ac:dyDescent="0.3">
      <c r="A11" s="47" t="s">
        <v>111</v>
      </c>
      <c r="B11" s="248">
        <f>(20133/300)/1000</f>
        <v>6.7110000000000003E-2</v>
      </c>
      <c r="C11" s="249">
        <f>(1362325/281)/1000</f>
        <v>4.8481316725978649</v>
      </c>
      <c r="D11" s="250">
        <f>(2198502/268)/1000</f>
        <v>8.2033656716417926</v>
      </c>
      <c r="E11" s="249">
        <f>(1601633/230)/1000</f>
        <v>6.963621739130434</v>
      </c>
      <c r="F11" s="124">
        <f t="shared" si="0"/>
        <v>8.2704756716417922</v>
      </c>
      <c r="G11" s="113">
        <f t="shared" si="1"/>
        <v>11.811753411728299</v>
      </c>
      <c r="H11" s="194">
        <f t="shared" si="2"/>
        <v>20.082229083370091</v>
      </c>
      <c r="J11">
        <f>300-E14</f>
        <v>-9179700</v>
      </c>
      <c r="K11">
        <f>300-G14</f>
        <v>300</v>
      </c>
      <c r="L11">
        <f>300-I14</f>
        <v>300</v>
      </c>
      <c r="R11" s="152">
        <v>4435.3814814814814</v>
      </c>
    </row>
    <row r="12" spans="1:18" ht="15.75" thickBot="1" x14ac:dyDescent="0.3">
      <c r="A12" s="260" t="s">
        <v>121</v>
      </c>
      <c r="B12" s="274">
        <f>(15954/300)/1000</f>
        <v>5.3179999999999998E-2</v>
      </c>
      <c r="C12" s="272">
        <f>(1302985/280)/1000</f>
        <v>4.653517857142857</v>
      </c>
      <c r="D12" s="271">
        <f>(1639166/260)/1000</f>
        <v>6.3044846153846157</v>
      </c>
      <c r="E12" s="271">
        <f>(1978470/232)/1000</f>
        <v>8.5278879310344813</v>
      </c>
      <c r="F12" s="42">
        <f t="shared" si="0"/>
        <v>6.3576646153846159</v>
      </c>
      <c r="G12" s="46"/>
      <c r="H12" s="42"/>
      <c r="J12">
        <f>300-E15</f>
        <v>300</v>
      </c>
      <c r="K12">
        <f>300-G15</f>
        <v>300</v>
      </c>
      <c r="L12">
        <f>300-I15</f>
        <v>300</v>
      </c>
      <c r="R12" s="153">
        <f>1362325/281</f>
        <v>4848.131672597865</v>
      </c>
    </row>
    <row r="14" spans="1:18" x14ac:dyDescent="0.25">
      <c r="B14">
        <v>1000</v>
      </c>
      <c r="D14">
        <v>12748358</v>
      </c>
      <c r="E14">
        <f>51*180000</f>
        <v>9180000</v>
      </c>
      <c r="F14">
        <f>D14-E14</f>
        <v>3568358</v>
      </c>
      <c r="I14">
        <v>0</v>
      </c>
    </row>
    <row r="16" spans="1:18" x14ac:dyDescent="0.25">
      <c r="A16" s="23"/>
    </row>
    <row r="17" spans="1:8" ht="15.75" thickBot="1" x14ac:dyDescent="0.3">
      <c r="A17" s="432" t="s">
        <v>55</v>
      </c>
      <c r="B17" s="432"/>
      <c r="C17" s="432"/>
      <c r="D17" s="432"/>
      <c r="E17" s="432"/>
      <c r="F17" s="432"/>
      <c r="G17" s="432"/>
      <c r="H17" s="432"/>
    </row>
    <row r="18" spans="1:8" ht="15.75" thickBot="1" x14ac:dyDescent="0.3">
      <c r="A18" s="48" t="s">
        <v>45</v>
      </c>
      <c r="B18" s="49"/>
      <c r="C18" s="49"/>
      <c r="D18" s="46"/>
      <c r="E18" s="46"/>
      <c r="F18" s="47"/>
      <c r="G18" s="46"/>
      <c r="H18" s="47"/>
    </row>
    <row r="19" spans="1:8" ht="15.75" thickBot="1" x14ac:dyDescent="0.3">
      <c r="A19" s="43"/>
      <c r="B19" s="433" t="s">
        <v>1</v>
      </c>
      <c r="C19" s="434"/>
      <c r="D19" s="433" t="s">
        <v>18</v>
      </c>
      <c r="E19" s="434"/>
      <c r="F19" s="433" t="s">
        <v>21</v>
      </c>
      <c r="G19" s="434"/>
      <c r="H19" s="41" t="s">
        <v>22</v>
      </c>
    </row>
    <row r="20" spans="1:8" ht="15.75" thickBot="1" x14ac:dyDescent="0.3">
      <c r="A20" s="121"/>
      <c r="B20" s="28" t="s">
        <v>90</v>
      </c>
      <c r="C20" s="47" t="s">
        <v>91</v>
      </c>
      <c r="D20" s="28" t="s">
        <v>89</v>
      </c>
      <c r="E20" s="47" t="s">
        <v>88</v>
      </c>
      <c r="F20" s="122" t="s">
        <v>11</v>
      </c>
      <c r="G20" s="121" t="s">
        <v>12</v>
      </c>
      <c r="H20" s="121"/>
    </row>
    <row r="21" spans="1:8" ht="15.75" thickBot="1" x14ac:dyDescent="0.3">
      <c r="A21" s="28" t="s">
        <v>105</v>
      </c>
      <c r="B21" s="243">
        <f>(81781/300)/1000</f>
        <v>0.27260333333333336</v>
      </c>
      <c r="C21" s="244">
        <f>(214936/280)/1000</f>
        <v>0.76762857142857133</v>
      </c>
      <c r="D21" s="243">
        <f>(1014562/265)/1000</f>
        <v>3.8285358490566037</v>
      </c>
      <c r="E21" s="244">
        <f>(1436656/219)/1000</f>
        <v>6.5600730593607306</v>
      </c>
      <c r="F21" s="72"/>
      <c r="G21" s="73"/>
      <c r="H21" s="200">
        <f>SUM(B21:G21)</f>
        <v>11.428840813179239</v>
      </c>
    </row>
    <row r="22" spans="1:8" ht="15.75" thickBot="1" x14ac:dyDescent="0.3">
      <c r="A22" s="46" t="s">
        <v>106</v>
      </c>
      <c r="B22" s="246">
        <f>(50680/300)/1000</f>
        <v>0.16893333333333332</v>
      </c>
      <c r="C22" s="247">
        <f>(419620/280)/1000</f>
        <v>1.4986428571428572</v>
      </c>
      <c r="D22" s="246">
        <f>(2112353/265)/1000</f>
        <v>7.9711433962264158</v>
      </c>
      <c r="E22" s="247">
        <f>(2589861/217)/1000</f>
        <v>11.934843317972351</v>
      </c>
      <c r="F22" s="72"/>
      <c r="G22" s="73"/>
      <c r="H22" s="203">
        <f t="shared" ref="H22:H27" si="3">SUM(B22:G22)</f>
        <v>21.573562904674958</v>
      </c>
    </row>
    <row r="23" spans="1:8" ht="15.75" thickBot="1" x14ac:dyDescent="0.3">
      <c r="A23" s="46" t="s">
        <v>107</v>
      </c>
      <c r="B23" s="246">
        <f>(50899/300)/1000</f>
        <v>0.16966333333333333</v>
      </c>
      <c r="C23" s="247">
        <f>(440885/280)/1000</f>
        <v>1.5745892857142858</v>
      </c>
      <c r="D23" s="246">
        <f>(1894904/267)/1000</f>
        <v>7.0970187265917604</v>
      </c>
      <c r="E23" s="247">
        <f>(2774880/221)/1000</f>
        <v>12.556018099547511</v>
      </c>
      <c r="F23" s="72"/>
      <c r="G23" s="73"/>
      <c r="H23" s="202">
        <f t="shared" si="3"/>
        <v>21.397289445186892</v>
      </c>
    </row>
    <row r="24" spans="1:8" ht="15.75" thickBot="1" x14ac:dyDescent="0.3">
      <c r="A24" s="46" t="s">
        <v>108</v>
      </c>
      <c r="B24" s="246">
        <f>(147719/300)/1000</f>
        <v>0.49239666666666665</v>
      </c>
      <c r="C24" s="247">
        <f>(263533/281)/1000</f>
        <v>0.93783985765124556</v>
      </c>
      <c r="D24" s="246">
        <f>(2291302/266)/1000</f>
        <v>8.613917293233083</v>
      </c>
      <c r="E24" s="247">
        <f>(3963300/217)/1000</f>
        <v>18.264055299539169</v>
      </c>
      <c r="F24" s="72"/>
      <c r="G24" s="73"/>
      <c r="H24" s="193">
        <f t="shared" si="3"/>
        <v>28.308209117090165</v>
      </c>
    </row>
    <row r="25" spans="1:8" ht="15.75" thickBot="1" x14ac:dyDescent="0.3">
      <c r="A25" s="46" t="s">
        <v>110</v>
      </c>
      <c r="B25" s="246">
        <f>(48837/300)/1000</f>
        <v>0.16278999999999999</v>
      </c>
      <c r="C25" s="247">
        <f>(429296/280)/1000</f>
        <v>1.5332000000000001</v>
      </c>
      <c r="D25" s="246">
        <f>(1838943/267)/1000</f>
        <v>6.8874269662921348</v>
      </c>
      <c r="E25" s="247">
        <f>(1615693/215)/1000</f>
        <v>7.5148511627906975</v>
      </c>
      <c r="F25" s="72"/>
      <c r="G25" s="73"/>
      <c r="H25" s="201">
        <f t="shared" si="3"/>
        <v>16.098268129082832</v>
      </c>
    </row>
    <row r="26" spans="1:8" ht="15.75" thickBot="1" x14ac:dyDescent="0.3">
      <c r="A26" s="46" t="s">
        <v>109</v>
      </c>
      <c r="B26" s="246">
        <f>(49904/300)/1000</f>
        <v>0.16634666666666667</v>
      </c>
      <c r="C26" s="247">
        <f>(433697/278)/1000</f>
        <v>1.5600611510791367</v>
      </c>
      <c r="D26" s="246">
        <f>(2353420/266)/1000</f>
        <v>8.847443609022557</v>
      </c>
      <c r="E26" s="247">
        <f>(2770521/216)/1000</f>
        <v>12.826486111111111</v>
      </c>
      <c r="F26" s="72"/>
      <c r="G26" s="73"/>
      <c r="H26" s="205">
        <f t="shared" si="3"/>
        <v>23.400337537879473</v>
      </c>
    </row>
    <row r="27" spans="1:8" ht="15.75" thickBot="1" x14ac:dyDescent="0.3">
      <c r="A27" s="47" t="s">
        <v>111</v>
      </c>
      <c r="B27" s="248">
        <f>(51537/300)/1000</f>
        <v>0.17179</v>
      </c>
      <c r="C27" s="249">
        <f>(455745/279)/1000</f>
        <v>1.633494623655914</v>
      </c>
      <c r="D27" s="248">
        <f>(2089641/265)/1000</f>
        <v>7.8854377358490568</v>
      </c>
      <c r="E27" s="249">
        <f>(2726950/219)/1000</f>
        <v>12.451826484018266</v>
      </c>
      <c r="F27" s="95"/>
      <c r="G27" s="113"/>
      <c r="H27" s="204">
        <f t="shared" si="3"/>
        <v>22.142548843523237</v>
      </c>
    </row>
    <row r="28" spans="1:8" ht="15.75" thickBot="1" x14ac:dyDescent="0.3">
      <c r="A28" s="260" t="s">
        <v>121</v>
      </c>
      <c r="B28" s="271">
        <f>(174404/300)/1000</f>
        <v>0.58134666666666668</v>
      </c>
      <c r="C28" s="271">
        <f>(440929/289)/1000</f>
        <v>1.5257058823529412</v>
      </c>
      <c r="D28" s="274">
        <f>(3122787/280)/1000</f>
        <v>11.152810714285714</v>
      </c>
      <c r="E28" s="272">
        <f>(3568358/249)/1000</f>
        <v>14.330755020080321</v>
      </c>
      <c r="F28" s="46"/>
      <c r="G28" s="42"/>
      <c r="H28" s="47"/>
    </row>
    <row r="34" spans="1:10" ht="15.75" thickBot="1" x14ac:dyDescent="0.3">
      <c r="A34" s="432" t="s">
        <v>57</v>
      </c>
      <c r="B34" s="432"/>
      <c r="C34" s="432"/>
    </row>
    <row r="35" spans="1:10" ht="15.75" thickBot="1" x14ac:dyDescent="0.3">
      <c r="A35" s="48" t="s">
        <v>45</v>
      </c>
    </row>
    <row r="36" spans="1:10" ht="15.75" thickBot="1" x14ac:dyDescent="0.3">
      <c r="A36" s="42"/>
      <c r="B36" s="28" t="s">
        <v>90</v>
      </c>
      <c r="C36" s="42" t="s">
        <v>89</v>
      </c>
      <c r="D36" s="185" t="s">
        <v>92</v>
      </c>
      <c r="E36" s="23"/>
    </row>
    <row r="37" spans="1:10" ht="15.75" thickBot="1" x14ac:dyDescent="0.3">
      <c r="A37" s="28" t="s">
        <v>105</v>
      </c>
      <c r="B37" s="242">
        <f>(1099177/300)/1000</f>
        <v>3.663923333333333</v>
      </c>
      <c r="C37" s="242">
        <f>(6450637/90)/1000</f>
        <v>71.673744444444438</v>
      </c>
      <c r="D37" s="210">
        <f t="shared" ref="D37:D43" si="4">SUM(B37:C37)</f>
        <v>75.337667777777767</v>
      </c>
      <c r="E37" s="23"/>
    </row>
    <row r="38" spans="1:10" ht="15.75" thickBot="1" x14ac:dyDescent="0.3">
      <c r="A38" s="46" t="s">
        <v>106</v>
      </c>
      <c r="B38" s="170">
        <f>(1056523/300)/1000</f>
        <v>3.5217433333333332</v>
      </c>
      <c r="C38" s="170">
        <f>(4426424/137)/1000</f>
        <v>32.30966423357664</v>
      </c>
      <c r="D38" s="208">
        <f t="shared" si="4"/>
        <v>35.831407566909974</v>
      </c>
      <c r="E38" s="23"/>
    </row>
    <row r="39" spans="1:10" ht="15.75" thickBot="1" x14ac:dyDescent="0.3">
      <c r="A39" s="46" t="s">
        <v>107</v>
      </c>
      <c r="B39" s="170">
        <f>(1053381/300)/1000</f>
        <v>3.5112700000000001</v>
      </c>
      <c r="C39" s="170">
        <f>(1005565/13)/1000</f>
        <v>77.351153846153849</v>
      </c>
      <c r="D39" s="211">
        <f t="shared" si="4"/>
        <v>80.862423846153845</v>
      </c>
      <c r="E39" s="23"/>
    </row>
    <row r="40" spans="1:10" ht="15.75" thickBot="1" x14ac:dyDescent="0.3">
      <c r="A40" s="46" t="s">
        <v>108</v>
      </c>
      <c r="B40" s="170">
        <f>(1040555/300)/1000</f>
        <v>3.4685166666666669</v>
      </c>
      <c r="C40" s="170">
        <f>(281839/53)/1000</f>
        <v>5.3177169811320759</v>
      </c>
      <c r="D40" s="206">
        <f t="shared" si="4"/>
        <v>8.7862336477987419</v>
      </c>
      <c r="E40" s="23"/>
    </row>
    <row r="41" spans="1:10" ht="15.75" thickBot="1" x14ac:dyDescent="0.3">
      <c r="A41" s="46" t="s">
        <v>110</v>
      </c>
      <c r="B41" s="170">
        <f>(1051421/300)/1000</f>
        <v>3.5047366666666666</v>
      </c>
      <c r="C41" s="170">
        <f>(5218822/111)/1000</f>
        <v>47.016414414414413</v>
      </c>
      <c r="D41" s="209">
        <f t="shared" si="4"/>
        <v>50.521151081081079</v>
      </c>
      <c r="E41" s="23"/>
    </row>
    <row r="42" spans="1:10" ht="15.75" thickBot="1" x14ac:dyDescent="0.3">
      <c r="A42" s="46" t="s">
        <v>109</v>
      </c>
      <c r="B42" s="170">
        <f>(1052657/300)/1000</f>
        <v>3.5088566666666665</v>
      </c>
      <c r="C42" s="170">
        <f>(4086627/234)/1000</f>
        <v>17.464217948717948</v>
      </c>
      <c r="D42" s="207">
        <f t="shared" si="4"/>
        <v>20.973074615384615</v>
      </c>
      <c r="E42" s="23">
        <v>15786627</v>
      </c>
    </row>
    <row r="43" spans="1:10" ht="15.75" thickBot="1" x14ac:dyDescent="0.3">
      <c r="A43" s="47" t="s">
        <v>111</v>
      </c>
      <c r="B43" s="239">
        <f>(1144831/300)/1000</f>
        <v>3.8161033333333334</v>
      </c>
      <c r="C43" s="184">
        <f>(1105729/1)/1000</f>
        <v>1105.729</v>
      </c>
      <c r="D43" s="239">
        <f t="shared" si="4"/>
        <v>1109.5451033333334</v>
      </c>
      <c r="E43" s="23">
        <f>(65*180000)</f>
        <v>11700000</v>
      </c>
    </row>
    <row r="44" spans="1:10" ht="15.75" thickBot="1" x14ac:dyDescent="0.3">
      <c r="A44" s="260" t="s">
        <v>121</v>
      </c>
      <c r="B44" s="263">
        <f>(1144831/300)/1000</f>
        <v>3.8161033333333334</v>
      </c>
      <c r="C44" s="264">
        <f>(4611864/112)/1000</f>
        <v>41.177357142857147</v>
      </c>
      <c r="D44" s="265">
        <f>SUM(B44:C44)</f>
        <v>44.993460476190478</v>
      </c>
      <c r="E44" s="23">
        <f>E42-E43</f>
        <v>4086627</v>
      </c>
    </row>
    <row r="47" spans="1:10" x14ac:dyDescent="0.25">
      <c r="D47" s="23"/>
      <c r="E47" s="23"/>
      <c r="F47" s="23"/>
      <c r="G47" s="23"/>
      <c r="H47" s="23"/>
      <c r="I47" s="23"/>
      <c r="J47" s="23"/>
    </row>
    <row r="48" spans="1:10" x14ac:dyDescent="0.25">
      <c r="D48" s="23"/>
      <c r="E48" s="98"/>
      <c r="F48" s="98"/>
      <c r="G48" s="98"/>
      <c r="H48" s="98"/>
      <c r="I48" s="23"/>
      <c r="J48" s="23"/>
    </row>
    <row r="49" spans="1:10" x14ac:dyDescent="0.25">
      <c r="D49" s="23"/>
      <c r="E49" s="23"/>
      <c r="F49" s="23"/>
      <c r="G49" s="23"/>
      <c r="H49" s="23"/>
      <c r="I49" s="23"/>
      <c r="J49" s="23"/>
    </row>
    <row r="50" spans="1:10" x14ac:dyDescent="0.25">
      <c r="D50" s="23"/>
      <c r="E50" s="23"/>
      <c r="F50" s="23"/>
      <c r="G50" s="23"/>
      <c r="H50" s="23"/>
      <c r="I50" s="23"/>
      <c r="J50" s="23"/>
    </row>
    <row r="51" spans="1:10" x14ac:dyDescent="0.25">
      <c r="D51" s="23"/>
      <c r="E51" s="23"/>
      <c r="F51" s="23"/>
      <c r="G51" s="23"/>
      <c r="H51" s="23"/>
      <c r="I51" s="23"/>
      <c r="J51" s="23"/>
    </row>
    <row r="52" spans="1:10" x14ac:dyDescent="0.25">
      <c r="D52" s="23"/>
      <c r="E52" s="23"/>
      <c r="F52" s="23"/>
      <c r="G52" s="23"/>
      <c r="H52" s="23"/>
      <c r="I52" s="23"/>
      <c r="J52" s="23"/>
    </row>
    <row r="53" spans="1:10" x14ac:dyDescent="0.25">
      <c r="A53" s="426" t="s">
        <v>54</v>
      </c>
      <c r="B53" s="426"/>
      <c r="C53" s="426"/>
      <c r="D53" s="426"/>
      <c r="E53" s="426"/>
      <c r="F53" s="426"/>
      <c r="G53" s="426"/>
      <c r="H53" s="426"/>
      <c r="I53" s="426"/>
      <c r="J53" s="23"/>
    </row>
    <row r="54" spans="1:10" ht="15.75" thickBot="1" x14ac:dyDescent="0.3">
      <c r="A54" s="276"/>
      <c r="B54" s="276" t="s">
        <v>105</v>
      </c>
      <c r="C54" s="276" t="s">
        <v>106</v>
      </c>
      <c r="D54" s="276" t="s">
        <v>107</v>
      </c>
      <c r="E54" s="276" t="s">
        <v>108</v>
      </c>
      <c r="F54" s="276" t="s">
        <v>110</v>
      </c>
      <c r="G54" s="276" t="s">
        <v>109</v>
      </c>
      <c r="H54" s="276" t="s">
        <v>111</v>
      </c>
      <c r="I54" s="276" t="s">
        <v>121</v>
      </c>
      <c r="J54" s="276" t="s">
        <v>127</v>
      </c>
    </row>
    <row r="55" spans="1:10" ht="15.75" thickBot="1" x14ac:dyDescent="0.3">
      <c r="A55" s="288" t="s">
        <v>135</v>
      </c>
      <c r="B55" s="278">
        <v>3.7893333333333327E-2</v>
      </c>
      <c r="C55" s="278">
        <v>6.6883333333333336E-2</v>
      </c>
      <c r="D55" s="278">
        <v>6.9409999999999999E-2</v>
      </c>
      <c r="E55" s="278">
        <v>5.7096666666666664E-2</v>
      </c>
      <c r="F55" s="278">
        <f>(20055/300)/1000</f>
        <v>6.6849999999999993E-2</v>
      </c>
      <c r="G55" s="278">
        <v>6.8043333333333331E-2</v>
      </c>
      <c r="H55" s="278">
        <f>(20133/300)/1000</f>
        <v>6.7110000000000003E-2</v>
      </c>
      <c r="I55" s="278">
        <f>(15954/300)/1000</f>
        <v>5.3179999999999998E-2</v>
      </c>
      <c r="J55" s="284">
        <f>(3138/1000)/300</f>
        <v>1.0459999999999999E-2</v>
      </c>
    </row>
    <row r="56" spans="1:10" ht="15.75" thickBot="1" x14ac:dyDescent="0.3">
      <c r="A56" s="288" t="s">
        <v>136</v>
      </c>
      <c r="B56" s="278">
        <v>4.4033018867924527</v>
      </c>
      <c r="C56" s="278">
        <v>4.4435543478260868</v>
      </c>
      <c r="D56" s="278">
        <v>4.434007352941177</v>
      </c>
      <c r="E56" s="278">
        <v>4.1937534722222223</v>
      </c>
      <c r="F56" s="278">
        <f>(1211497/276)/1000</f>
        <v>4.3894818840579708</v>
      </c>
      <c r="G56" s="278">
        <v>4.4353814814814818</v>
      </c>
      <c r="H56" s="278">
        <f>(1362325/281)/1000</f>
        <v>4.8481316725978649</v>
      </c>
      <c r="I56" s="278">
        <f>(1302985/280)/1000</f>
        <v>4.653517857142857</v>
      </c>
      <c r="J56" s="285">
        <f>(244710/1000)/300</f>
        <v>0.81569999999999998</v>
      </c>
    </row>
    <row r="57" spans="1:10" ht="15.75" thickBot="1" x14ac:dyDescent="0.3">
      <c r="A57" s="288" t="s">
        <v>137</v>
      </c>
      <c r="B57" s="278">
        <v>23.201458955223881</v>
      </c>
      <c r="C57" s="278">
        <v>10.103756457564575</v>
      </c>
      <c r="D57" s="278">
        <v>10.488319852941176</v>
      </c>
      <c r="E57" s="278">
        <v>10.06489219330855</v>
      </c>
      <c r="F57" s="278">
        <f>(2296634/265)/1000</f>
        <v>8.6665433962264142</v>
      </c>
      <c r="G57" s="278">
        <v>9.0048113207547171</v>
      </c>
      <c r="H57" s="278">
        <f>(2198502/268)/1000</f>
        <v>8.2033656716417926</v>
      </c>
      <c r="I57" s="278">
        <f>(1639166/260)/1000</f>
        <v>6.3044846153846157</v>
      </c>
      <c r="J57" s="284">
        <f>(1587030/1000)/248</f>
        <v>6.3993145161290323</v>
      </c>
    </row>
    <row r="58" spans="1:10" ht="15.75" thickBot="1" x14ac:dyDescent="0.3">
      <c r="A58" s="288" t="s">
        <v>138</v>
      </c>
      <c r="B58" s="278">
        <v>5.5859559471365641</v>
      </c>
      <c r="C58" s="278">
        <v>11.62226406926407</v>
      </c>
      <c r="D58" s="278">
        <v>9.1643086956521742</v>
      </c>
      <c r="E58" s="278">
        <v>7.6047929515418504</v>
      </c>
      <c r="F58" s="278">
        <f>(1991719/230)/1000</f>
        <v>8.6596478260869567</v>
      </c>
      <c r="G58" s="278">
        <v>8.2238141592920346</v>
      </c>
      <c r="H58" s="278">
        <f>(1601633/230)/1000</f>
        <v>6.963621739130434</v>
      </c>
      <c r="I58" s="278">
        <f>(1978470/232)/1000</f>
        <v>8.5278879310344813</v>
      </c>
      <c r="J58" s="285">
        <f>(2603024/1000)/230</f>
        <v>11.317495652173912</v>
      </c>
    </row>
    <row r="59" spans="1:10" x14ac:dyDescent="0.25">
      <c r="J59" s="23"/>
    </row>
    <row r="60" spans="1:10" x14ac:dyDescent="0.25">
      <c r="J60" s="23"/>
    </row>
    <row r="61" spans="1:10" x14ac:dyDescent="0.25">
      <c r="J61" s="23"/>
    </row>
    <row r="62" spans="1:10" x14ac:dyDescent="0.25">
      <c r="A62" s="427" t="s">
        <v>124</v>
      </c>
      <c r="B62" s="427"/>
      <c r="C62" s="427"/>
      <c r="D62" s="427"/>
      <c r="E62" s="427"/>
      <c r="F62" s="427"/>
      <c r="G62" s="427"/>
      <c r="H62" s="427"/>
      <c r="I62" s="427"/>
    </row>
    <row r="63" spans="1:10" ht="15.75" thickBot="1" x14ac:dyDescent="0.3">
      <c r="A63" s="276"/>
      <c r="B63" s="276" t="s">
        <v>105</v>
      </c>
      <c r="C63" s="276" t="s">
        <v>106</v>
      </c>
      <c r="D63" s="276" t="s">
        <v>107</v>
      </c>
      <c r="E63" s="276" t="s">
        <v>108</v>
      </c>
      <c r="F63" s="276" t="s">
        <v>110</v>
      </c>
      <c r="G63" s="276" t="s">
        <v>109</v>
      </c>
      <c r="H63" s="276" t="s">
        <v>111</v>
      </c>
      <c r="I63" s="276" t="s">
        <v>121</v>
      </c>
      <c r="J63" s="276" t="s">
        <v>126</v>
      </c>
    </row>
    <row r="64" spans="1:10" ht="15.75" thickBot="1" x14ac:dyDescent="0.3">
      <c r="A64" s="288" t="s">
        <v>135</v>
      </c>
      <c r="B64" s="278">
        <f>(81781/300)/1000</f>
        <v>0.27260333333333336</v>
      </c>
      <c r="C64" s="278">
        <f>(50680/300)/1000</f>
        <v>0.16893333333333332</v>
      </c>
      <c r="D64" s="278">
        <f>(50899/300)/1000</f>
        <v>0.16966333333333333</v>
      </c>
      <c r="E64" s="278">
        <f>(147719/300)/1000</f>
        <v>0.49239666666666665</v>
      </c>
      <c r="F64" s="278">
        <f>(48837/300)/1000</f>
        <v>0.16278999999999999</v>
      </c>
      <c r="G64" s="278">
        <f>(49904/300)/1000</f>
        <v>0.16634666666666667</v>
      </c>
      <c r="H64" s="278">
        <f>(51537/300)/1000</f>
        <v>0.17179</v>
      </c>
      <c r="I64" s="278">
        <f>(174404/300)/1000</f>
        <v>0.58134666666666668</v>
      </c>
      <c r="J64" s="284">
        <v>0.38416666666666666</v>
      </c>
    </row>
    <row r="65" spans="1:10" ht="15.75" thickBot="1" x14ac:dyDescent="0.3">
      <c r="A65" s="288" t="s">
        <v>136</v>
      </c>
      <c r="B65" s="278">
        <f>(214936/280)/1000</f>
        <v>0.76762857142857133</v>
      </c>
      <c r="C65" s="278">
        <f>(419620/280)/1000</f>
        <v>1.4986428571428572</v>
      </c>
      <c r="D65" s="278">
        <f>(440885/280)/1000</f>
        <v>1.5745892857142858</v>
      </c>
      <c r="E65" s="278">
        <f>(263533/281)/1000</f>
        <v>0.93783985765124556</v>
      </c>
      <c r="F65" s="278">
        <f>(429296/280)/1000</f>
        <v>1.5332000000000001</v>
      </c>
      <c r="G65" s="278">
        <f>(433697/278)/1000</f>
        <v>1.5600611510791367</v>
      </c>
      <c r="H65" s="278">
        <f>(455745/279)/1000</f>
        <v>1.633494623655914</v>
      </c>
      <c r="I65" s="278">
        <f>(440929/289)/1000</f>
        <v>1.5257058823529412</v>
      </c>
      <c r="J65" s="284">
        <v>0.44224496644295302</v>
      </c>
    </row>
    <row r="66" spans="1:10" ht="15.75" thickBot="1" x14ac:dyDescent="0.3">
      <c r="A66" s="288" t="s">
        <v>137</v>
      </c>
      <c r="B66" s="278">
        <f>(1014562/265)/1000</f>
        <v>3.8285358490566037</v>
      </c>
      <c r="C66" s="278">
        <f>(2112353/265)/1000</f>
        <v>7.9711433962264158</v>
      </c>
      <c r="D66" s="278">
        <f>(1894904/267)/1000</f>
        <v>7.0970187265917604</v>
      </c>
      <c r="E66" s="278">
        <f>(2291302/266)/1000</f>
        <v>8.613917293233083</v>
      </c>
      <c r="F66" s="278">
        <f>(1838943/267)/1000</f>
        <v>6.8874269662921348</v>
      </c>
      <c r="G66" s="278">
        <f>(2353420/266)/1000</f>
        <v>8.847443609022557</v>
      </c>
      <c r="H66" s="278">
        <f>(2089641/265)/1000</f>
        <v>7.8854377358490568</v>
      </c>
      <c r="I66" s="278">
        <f>(3122787/280)/1000</f>
        <v>11.152810714285714</v>
      </c>
      <c r="J66" s="284">
        <v>12.844517605633802</v>
      </c>
    </row>
    <row r="67" spans="1:10" ht="15.75" thickBot="1" x14ac:dyDescent="0.3">
      <c r="A67" s="288" t="s">
        <v>138</v>
      </c>
      <c r="B67" s="278">
        <f>(1436656/219)/1000</f>
        <v>6.5600730593607306</v>
      </c>
      <c r="C67" s="278">
        <f>(2589861/217)/1000</f>
        <v>11.934843317972351</v>
      </c>
      <c r="D67" s="278">
        <f>(2774880/221)/1000</f>
        <v>12.556018099547511</v>
      </c>
      <c r="E67" s="278">
        <f>(3963300/217)/1000</f>
        <v>18.264055299539169</v>
      </c>
      <c r="F67" s="278">
        <f>(1615693/215)/1000</f>
        <v>7.5148511627906975</v>
      </c>
      <c r="G67" s="278">
        <f>(2770521/216)/1000</f>
        <v>12.826486111111111</v>
      </c>
      <c r="H67" s="278">
        <f>(2726950/219)/1000</f>
        <v>12.451826484018266</v>
      </c>
      <c r="I67" s="278">
        <f>(3568358/249)/1000</f>
        <v>14.330755020080321</v>
      </c>
      <c r="J67" s="284">
        <v>20.875477611940301</v>
      </c>
    </row>
    <row r="71" spans="1:10" x14ac:dyDescent="0.25">
      <c r="A71" s="425" t="s">
        <v>125</v>
      </c>
      <c r="B71" s="425"/>
      <c r="C71" s="425"/>
      <c r="D71" s="425"/>
      <c r="E71" s="425"/>
      <c r="F71" s="425"/>
      <c r="G71" s="425"/>
      <c r="H71" s="425"/>
      <c r="I71" s="425"/>
    </row>
    <row r="72" spans="1:10" ht="15.75" thickBot="1" x14ac:dyDescent="0.3">
      <c r="A72" s="276"/>
      <c r="B72" s="276" t="s">
        <v>105</v>
      </c>
      <c r="C72" s="276" t="s">
        <v>106</v>
      </c>
      <c r="D72" s="276" t="s">
        <v>107</v>
      </c>
      <c r="E72" s="276" t="s">
        <v>108</v>
      </c>
      <c r="F72" s="276" t="s">
        <v>110</v>
      </c>
      <c r="G72" s="276" t="s">
        <v>109</v>
      </c>
      <c r="H72" s="276" t="s">
        <v>111</v>
      </c>
      <c r="I72" s="276" t="s">
        <v>121</v>
      </c>
      <c r="J72" s="276" t="s">
        <v>126</v>
      </c>
    </row>
    <row r="73" spans="1:10" ht="15.75" thickBot="1" x14ac:dyDescent="0.3">
      <c r="A73" s="288" t="s">
        <v>135</v>
      </c>
      <c r="B73" s="279">
        <f>(1099177/300)/1000</f>
        <v>3.663923333333333</v>
      </c>
      <c r="C73" s="279">
        <f>(1056523/300)/1000</f>
        <v>3.5217433333333332</v>
      </c>
      <c r="D73" s="279">
        <f>(1053381/300)/1000</f>
        <v>3.5112700000000001</v>
      </c>
      <c r="E73" s="279">
        <f>(1040555/300)/1000</f>
        <v>3.4685166666666669</v>
      </c>
      <c r="F73" s="279">
        <f>(1051421/300)/1000</f>
        <v>3.5047366666666666</v>
      </c>
      <c r="G73" s="279">
        <f>(1052657/300)/1000</f>
        <v>3.5088566666666665</v>
      </c>
      <c r="H73" s="279">
        <f>(1144831/300)/1000</f>
        <v>3.8161033333333334</v>
      </c>
      <c r="I73" s="280">
        <f>(1144831/300)/1000</f>
        <v>3.8161033333333334</v>
      </c>
      <c r="J73" s="286">
        <f>987/300</f>
        <v>3.29</v>
      </c>
    </row>
    <row r="74" spans="1:10" ht="15.75" thickBot="1" x14ac:dyDescent="0.3">
      <c r="A74" s="288" t="s">
        <v>137</v>
      </c>
      <c r="B74" s="279">
        <f>(6450637/90)/1000</f>
        <v>71.673744444444438</v>
      </c>
      <c r="C74" s="279">
        <f>(4426424/137)/1000</f>
        <v>32.30966423357664</v>
      </c>
      <c r="D74" s="279">
        <f>(1005565/13)/1000</f>
        <v>77.351153846153849</v>
      </c>
      <c r="E74" s="279">
        <f>(281839/53)/1000</f>
        <v>5.3177169811320759</v>
      </c>
      <c r="F74" s="279">
        <f>(5218822/111)/1000</f>
        <v>47.016414414414413</v>
      </c>
      <c r="G74" s="279">
        <f>(4086627/234)/1000</f>
        <v>17.464217948717948</v>
      </c>
      <c r="H74" s="277">
        <f>(1105729/1)/1000</f>
        <v>1105.729</v>
      </c>
      <c r="I74" s="279">
        <f>(4611864/112)/1000</f>
        <v>41.177357142857147</v>
      </c>
      <c r="J74" s="287">
        <f>(5275214/1000)/241</f>
        <v>21.888854771784231</v>
      </c>
    </row>
  </sheetData>
  <mergeCells count="12">
    <mergeCell ref="A1:H1"/>
    <mergeCell ref="A17:H17"/>
    <mergeCell ref="B19:C19"/>
    <mergeCell ref="D19:E19"/>
    <mergeCell ref="F19:G19"/>
    <mergeCell ref="A71:I71"/>
    <mergeCell ref="A53:I53"/>
    <mergeCell ref="A62:I62"/>
    <mergeCell ref="A34:C34"/>
    <mergeCell ref="B3:C3"/>
    <mergeCell ref="D3:E3"/>
    <mergeCell ref="F3:G3"/>
  </mergeCells>
  <pageMargins left="0.7" right="0.7" top="0.75" bottom="0.75" header="0.3" footer="0.3"/>
  <pageSetup orientation="portrait" horizontalDpi="4294967293" verticalDpi="4294967293"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X32"/>
  <sheetViews>
    <sheetView topLeftCell="I2" zoomScale="77" zoomScaleNormal="77" workbookViewId="0">
      <selection activeCell="X5" sqref="X5:X6"/>
    </sheetView>
  </sheetViews>
  <sheetFormatPr defaultRowHeight="15" x14ac:dyDescent="0.25"/>
  <sheetData>
    <row r="2" spans="2:24" ht="15.75" thickBot="1" x14ac:dyDescent="0.3"/>
    <row r="3" spans="2:24" ht="15.75" thickBot="1" x14ac:dyDescent="0.3">
      <c r="B3" s="435" t="s">
        <v>54</v>
      </c>
      <c r="C3" s="436"/>
      <c r="D3" s="436"/>
      <c r="E3" s="436"/>
      <c r="F3" s="436"/>
      <c r="G3" s="436"/>
      <c r="H3" s="436"/>
      <c r="I3" s="436"/>
      <c r="J3" s="436"/>
      <c r="K3" s="420"/>
      <c r="L3" s="335"/>
    </row>
    <row r="4" spans="2:24" x14ac:dyDescent="0.25">
      <c r="B4" s="325"/>
      <c r="C4" s="329" t="s">
        <v>105</v>
      </c>
      <c r="D4" s="329" t="s">
        <v>106</v>
      </c>
      <c r="E4" s="329" t="s">
        <v>107</v>
      </c>
      <c r="F4" s="329" t="s">
        <v>108</v>
      </c>
      <c r="G4" s="329" t="s">
        <v>110</v>
      </c>
      <c r="H4" s="329" t="s">
        <v>109</v>
      </c>
      <c r="I4" s="329" t="s">
        <v>111</v>
      </c>
      <c r="J4" s="329" t="s">
        <v>121</v>
      </c>
      <c r="K4" s="329" t="s">
        <v>126</v>
      </c>
      <c r="L4" s="98" t="s">
        <v>156</v>
      </c>
    </row>
    <row r="5" spans="2:24" x14ac:dyDescent="0.25">
      <c r="B5" s="326" t="s">
        <v>144</v>
      </c>
      <c r="C5" s="278">
        <f t="shared" ref="C5:L5" si="0">1/(O5/3600)</f>
        <v>316.67839549612944</v>
      </c>
      <c r="D5" s="278">
        <f t="shared" si="0"/>
        <v>179.4168950909544</v>
      </c>
      <c r="E5" s="278">
        <f t="shared" si="0"/>
        <v>172.88575133266099</v>
      </c>
      <c r="F5" s="278">
        <f t="shared" si="0"/>
        <v>210.16988732558821</v>
      </c>
      <c r="G5" s="278">
        <f t="shared" si="0"/>
        <v>179.50635751682873</v>
      </c>
      <c r="H5" s="278">
        <f t="shared" si="0"/>
        <v>176.35820310586391</v>
      </c>
      <c r="I5" s="278">
        <f t="shared" si="0"/>
        <v>178.81090746535534</v>
      </c>
      <c r="J5" s="278">
        <f t="shared" si="0"/>
        <v>225.6487401278676</v>
      </c>
      <c r="K5" s="278">
        <f t="shared" si="0"/>
        <v>1147.227533460803</v>
      </c>
      <c r="L5" s="278">
        <f t="shared" si="0"/>
        <v>1506.2761506276152</v>
      </c>
      <c r="M5" s="333">
        <f t="shared" ref="M5:M32" si="1">MIN(C5:K5)</f>
        <v>172.88575133266099</v>
      </c>
      <c r="O5" s="256">
        <v>11.368</v>
      </c>
      <c r="P5" s="256">
        <v>20.064999999999998</v>
      </c>
      <c r="Q5" s="256">
        <v>20.823</v>
      </c>
      <c r="R5" s="256">
        <v>17.128999999999998</v>
      </c>
      <c r="S5" s="256">
        <v>20.055</v>
      </c>
      <c r="T5" s="256">
        <v>20.413</v>
      </c>
      <c r="U5" s="256">
        <v>20.133000000000003</v>
      </c>
      <c r="V5" s="256">
        <v>15.954000000000001</v>
      </c>
      <c r="W5" s="256">
        <v>3.1379999999999999</v>
      </c>
      <c r="X5">
        <f>2390/1000</f>
        <v>2.39</v>
      </c>
    </row>
    <row r="6" spans="2:24" x14ac:dyDescent="0.25">
      <c r="B6" s="326" t="s">
        <v>145</v>
      </c>
      <c r="C6" s="278">
        <f t="shared" ref="C6:J6" si="2">1/(O6/3600)</f>
        <v>0.4821294048715159</v>
      </c>
      <c r="D6" s="278">
        <f t="shared" si="2"/>
        <v>0.64906720928685369</v>
      </c>
      <c r="E6" s="278">
        <f t="shared" si="2"/>
        <v>0.57636426221371917</v>
      </c>
      <c r="F6" s="278">
        <f t="shared" si="2"/>
        <v>1.0689467697170942</v>
      </c>
      <c r="G6" s="278">
        <f t="shared" si="2"/>
        <v>0.6508183950926848</v>
      </c>
      <c r="H6" s="278">
        <f t="shared" si="2"/>
        <v>0.54565685186613888</v>
      </c>
      <c r="I6" s="278">
        <f t="shared" si="2"/>
        <v>0.75277192578923435</v>
      </c>
      <c r="J6" s="278">
        <f t="shared" si="2"/>
        <v>0.73424658651821295</v>
      </c>
      <c r="K6" s="278">
        <f t="shared" ref="K6:L6" si="3">1/(W6/3600)</f>
        <v>14.711290915777857</v>
      </c>
      <c r="L6" s="278">
        <f t="shared" si="3"/>
        <v>7.8522211970711213</v>
      </c>
      <c r="M6" s="333">
        <f t="shared" si="1"/>
        <v>0.4821294048715159</v>
      </c>
      <c r="O6" s="256">
        <v>7466.875</v>
      </c>
      <c r="P6" s="256">
        <v>5546.4209999999994</v>
      </c>
      <c r="Q6" s="256">
        <v>6246.0499999999993</v>
      </c>
      <c r="R6" s="256">
        <v>3367.8010000000004</v>
      </c>
      <c r="S6" s="256">
        <v>5531.4969999999994</v>
      </c>
      <c r="T6" s="256">
        <v>6597.5529999999999</v>
      </c>
      <c r="U6" s="256">
        <v>4782.3249999999998</v>
      </c>
      <c r="V6" s="256">
        <v>4902.9849999999997</v>
      </c>
      <c r="W6" s="256">
        <v>244.71</v>
      </c>
      <c r="X6">
        <f>(278469+180000)/1000</f>
        <v>458.46899999999999</v>
      </c>
    </row>
    <row r="7" spans="2:24" x14ac:dyDescent="0.25">
      <c r="M7" s="333">
        <f t="shared" si="1"/>
        <v>0</v>
      </c>
    </row>
    <row r="8" spans="2:24" x14ac:dyDescent="0.25">
      <c r="B8" s="276"/>
      <c r="C8" s="330" t="s">
        <v>105</v>
      </c>
      <c r="D8" s="330" t="s">
        <v>106</v>
      </c>
      <c r="E8" s="330" t="s">
        <v>107</v>
      </c>
      <c r="F8" s="330" t="s">
        <v>108</v>
      </c>
      <c r="G8" s="330" t="s">
        <v>110</v>
      </c>
      <c r="H8" s="330" t="s">
        <v>109</v>
      </c>
      <c r="I8" s="330" t="s">
        <v>111</v>
      </c>
      <c r="J8" s="330" t="s">
        <v>121</v>
      </c>
      <c r="K8" s="330" t="s">
        <v>126</v>
      </c>
      <c r="L8" s="98"/>
      <c r="M8" s="333">
        <f t="shared" si="1"/>
        <v>0</v>
      </c>
    </row>
    <row r="9" spans="2:24" x14ac:dyDescent="0.25">
      <c r="B9" s="327" t="s">
        <v>143</v>
      </c>
      <c r="C9" s="278">
        <f t="shared" ref="C9:J10" si="4">1/(O9/3600)</f>
        <v>0.30055123601278377</v>
      </c>
      <c r="D9" s="278">
        <f t="shared" si="4"/>
        <v>0.45236826093807603</v>
      </c>
      <c r="E9" s="278">
        <f t="shared" si="4"/>
        <v>0.45611057032445801</v>
      </c>
      <c r="F9" s="278">
        <f t="shared" si="4"/>
        <v>0.43439144654282325</v>
      </c>
      <c r="G9" s="278">
        <f t="shared" si="4"/>
        <v>0.41876855522754608</v>
      </c>
      <c r="H9" s="278">
        <f t="shared" si="4"/>
        <v>0.41444692920728388</v>
      </c>
      <c r="I9" s="278">
        <f t="shared" si="4"/>
        <v>0.45234643403997388</v>
      </c>
      <c r="J9" s="278">
        <f t="shared" si="4"/>
        <v>0.40727824321887385</v>
      </c>
      <c r="K9" s="278">
        <f t="shared" ref="K9:K10" si="5">1/(W9/3600)</f>
        <v>0.32885631993335179</v>
      </c>
      <c r="L9" s="96"/>
      <c r="M9" s="333">
        <f t="shared" si="1"/>
        <v>0.30055123601278377</v>
      </c>
      <c r="O9" s="256">
        <v>11977.991</v>
      </c>
      <c r="P9" s="256">
        <v>7958.1180000000004</v>
      </c>
      <c r="Q9" s="256">
        <v>7892.8230000000003</v>
      </c>
      <c r="R9" s="256">
        <v>8287.4560000000001</v>
      </c>
      <c r="S9" s="256">
        <v>8596.634</v>
      </c>
      <c r="T9" s="256">
        <v>8686.2750000000015</v>
      </c>
      <c r="U9" s="256">
        <v>7958.5019999999995</v>
      </c>
      <c r="V9" s="256">
        <v>8839.1659999999993</v>
      </c>
      <c r="W9" s="256">
        <v>10947.03</v>
      </c>
    </row>
    <row r="10" spans="2:24" x14ac:dyDescent="0.25">
      <c r="B10" s="327" t="s">
        <v>146</v>
      </c>
      <c r="C10" s="332">
        <f t="shared" si="4"/>
        <v>0.24986098012689051</v>
      </c>
      <c r="D10" s="332">
        <f t="shared" si="4"/>
        <v>0.23833573335210007</v>
      </c>
      <c r="E10" s="332">
        <f t="shared" si="4"/>
        <v>0.24476823202070247</v>
      </c>
      <c r="F10" s="332">
        <f t="shared" si="4"/>
        <v>0.24215863435445351</v>
      </c>
      <c r="G10" s="332">
        <f t="shared" si="4"/>
        <v>0.24671527734326573</v>
      </c>
      <c r="H10" s="332">
        <f t="shared" si="4"/>
        <v>0.23717630540191434</v>
      </c>
      <c r="I10" s="332">
        <f t="shared" si="4"/>
        <v>0.25349197518341732</v>
      </c>
      <c r="J10" s="332">
        <f t="shared" si="4"/>
        <v>0.25319179911762657</v>
      </c>
      <c r="K10" s="332">
        <f t="shared" si="5"/>
        <v>0.23679499552194352</v>
      </c>
      <c r="L10" s="348"/>
      <c r="M10" s="333">
        <f t="shared" si="1"/>
        <v>0.23679499552194352</v>
      </c>
      <c r="O10" s="256">
        <v>14408.012000000001</v>
      </c>
      <c r="P10" s="256">
        <v>15104.743</v>
      </c>
      <c r="Q10" s="256">
        <v>14707.791000000001</v>
      </c>
      <c r="R10" s="256">
        <v>14866.288</v>
      </c>
      <c r="S10" s="256">
        <v>14591.718999999999</v>
      </c>
      <c r="T10" s="256">
        <v>15178.582</v>
      </c>
      <c r="U10" s="256">
        <v>14201.633</v>
      </c>
      <c r="V10" s="256">
        <v>14218.47</v>
      </c>
      <c r="W10" s="256">
        <v>15203.023999999999</v>
      </c>
    </row>
    <row r="11" spans="2:24" x14ac:dyDescent="0.25">
      <c r="C11" s="334"/>
      <c r="D11" s="334"/>
      <c r="E11" s="334"/>
      <c r="F11" s="334"/>
      <c r="G11" s="334"/>
      <c r="H11" s="334"/>
      <c r="I11" s="334"/>
      <c r="J11" s="334"/>
      <c r="K11" s="334"/>
      <c r="L11" s="334"/>
      <c r="M11" s="333">
        <f t="shared" si="1"/>
        <v>0</v>
      </c>
    </row>
    <row r="12" spans="2:24" x14ac:dyDescent="0.25">
      <c r="M12" s="333">
        <f t="shared" si="1"/>
        <v>0</v>
      </c>
    </row>
    <row r="13" spans="2:24" x14ac:dyDescent="0.25">
      <c r="M13" s="333">
        <f t="shared" si="1"/>
        <v>0</v>
      </c>
    </row>
    <row r="14" spans="2:24" x14ac:dyDescent="0.25">
      <c r="M14" s="333">
        <f t="shared" si="1"/>
        <v>0</v>
      </c>
    </row>
    <row r="15" spans="2:24" ht="15.75" thickBot="1" x14ac:dyDescent="0.3">
      <c r="M15" s="333">
        <f t="shared" si="1"/>
        <v>0</v>
      </c>
    </row>
    <row r="16" spans="2:24" ht="15.75" thickBot="1" x14ac:dyDescent="0.3">
      <c r="B16" s="435" t="s">
        <v>140</v>
      </c>
      <c r="C16" s="436"/>
      <c r="D16" s="436"/>
      <c r="E16" s="436"/>
      <c r="F16" s="436"/>
      <c r="G16" s="436"/>
      <c r="H16" s="436"/>
      <c r="I16" s="436"/>
      <c r="J16" s="436"/>
      <c r="K16" s="420"/>
      <c r="L16" s="335"/>
      <c r="M16" s="333">
        <f t="shared" si="1"/>
        <v>0</v>
      </c>
    </row>
    <row r="17" spans="2:24" x14ac:dyDescent="0.25">
      <c r="B17" s="325"/>
      <c r="C17" s="329" t="s">
        <v>105</v>
      </c>
      <c r="D17" s="329" t="s">
        <v>106</v>
      </c>
      <c r="E17" s="329" t="s">
        <v>107</v>
      </c>
      <c r="F17" s="329" t="s">
        <v>108</v>
      </c>
      <c r="G17" s="329" t="s">
        <v>110</v>
      </c>
      <c r="H17" s="329" t="s">
        <v>109</v>
      </c>
      <c r="I17" s="329" t="s">
        <v>111</v>
      </c>
      <c r="J17" s="329" t="s">
        <v>121</v>
      </c>
      <c r="K17" s="329" t="s">
        <v>126</v>
      </c>
      <c r="L17" s="98" t="s">
        <v>156</v>
      </c>
      <c r="M17" s="333">
        <f>MIN(C17:L17)</f>
        <v>0</v>
      </c>
    </row>
    <row r="18" spans="2:24" x14ac:dyDescent="0.25">
      <c r="B18" s="326" t="s">
        <v>144</v>
      </c>
      <c r="C18" s="278">
        <f t="shared" ref="C18:J19" si="6">1/(O18/3600)</f>
        <v>44.020004646556046</v>
      </c>
      <c r="D18" s="278">
        <f t="shared" si="6"/>
        <v>71.033938437253354</v>
      </c>
      <c r="E18" s="278">
        <f t="shared" si="6"/>
        <v>70.72830507475588</v>
      </c>
      <c r="F18" s="278">
        <f t="shared" si="6"/>
        <v>24.370595522580036</v>
      </c>
      <c r="G18" s="278">
        <f t="shared" si="6"/>
        <v>73.71460163400701</v>
      </c>
      <c r="H18" s="278">
        <f t="shared" si="6"/>
        <v>72.138505931388266</v>
      </c>
      <c r="I18" s="278">
        <f t="shared" si="6"/>
        <v>69.852727166889807</v>
      </c>
      <c r="J18" s="278">
        <f t="shared" si="6"/>
        <v>20.641728400724755</v>
      </c>
      <c r="K18" s="278">
        <f t="shared" ref="K18:K19" si="7">1/(W18/3600)</f>
        <v>31.23644251626898</v>
      </c>
      <c r="L18" s="278">
        <f>1/(X18/3600)</f>
        <v>5.3412462908011866</v>
      </c>
      <c r="M18" s="333">
        <f t="shared" si="1"/>
        <v>20.641728400724755</v>
      </c>
      <c r="O18" s="256">
        <v>81.781000000000006</v>
      </c>
      <c r="P18" s="256">
        <v>50.68</v>
      </c>
      <c r="Q18" s="256">
        <v>50.899000000000001</v>
      </c>
      <c r="R18" s="256">
        <v>147.71899999999999</v>
      </c>
      <c r="S18" s="256">
        <v>48.836999999999996</v>
      </c>
      <c r="T18" s="256">
        <v>49.903999999999996</v>
      </c>
      <c r="U18" s="256">
        <v>51.536999999999999</v>
      </c>
      <c r="V18" s="256">
        <v>174.404</v>
      </c>
      <c r="W18" s="256">
        <v>115.25</v>
      </c>
      <c r="X18">
        <v>674</v>
      </c>
    </row>
    <row r="19" spans="2:24" x14ac:dyDescent="0.25">
      <c r="B19" s="326" t="s">
        <v>145</v>
      </c>
      <c r="C19" s="278">
        <f t="shared" si="6"/>
        <v>0.94365934317115663</v>
      </c>
      <c r="D19" s="278">
        <f t="shared" si="6"/>
        <v>0.89560704743234432</v>
      </c>
      <c r="E19" s="278">
        <f t="shared" si="6"/>
        <v>0.89089395021140172</v>
      </c>
      <c r="F19" s="278">
        <f t="shared" si="6"/>
        <v>0.97732258676656347</v>
      </c>
      <c r="G19" s="278">
        <f t="shared" si="6"/>
        <v>0.8934563258693331</v>
      </c>
      <c r="H19" s="278">
        <f t="shared" si="6"/>
        <v>0.81935554500003072</v>
      </c>
      <c r="I19" s="278">
        <f t="shared" si="6"/>
        <v>0.84990952004901144</v>
      </c>
      <c r="J19" s="278">
        <f t="shared" si="6"/>
        <v>1.4870324573748341</v>
      </c>
      <c r="K19" s="278">
        <f t="shared" si="7"/>
        <v>7.3202125301704593</v>
      </c>
      <c r="L19" s="278">
        <f>1/(X19/3600)</f>
        <v>10.252029047415634</v>
      </c>
      <c r="M19" s="333">
        <f t="shared" si="1"/>
        <v>0.81935554500003072</v>
      </c>
      <c r="O19" s="256">
        <v>3814.9360000000001</v>
      </c>
      <c r="P19" s="256">
        <v>4019.6200000000003</v>
      </c>
      <c r="Q19" s="256">
        <v>4040.8850000000002</v>
      </c>
      <c r="R19" s="256">
        <v>3683.5330000000004</v>
      </c>
      <c r="S19" s="256">
        <v>4029.2959999999998</v>
      </c>
      <c r="T19" s="256">
        <v>4393.6970000000001</v>
      </c>
      <c r="U19" s="256">
        <v>4235.7449999999999</v>
      </c>
      <c r="V19" s="256">
        <v>2420.9290000000001</v>
      </c>
      <c r="W19" s="256">
        <v>491.78899999999999</v>
      </c>
      <c r="X19" s="256">
        <f>(171150+180000)/1000</f>
        <v>351.15</v>
      </c>
    </row>
    <row r="20" spans="2:24" x14ac:dyDescent="0.25">
      <c r="M20" s="333">
        <f t="shared" si="1"/>
        <v>0</v>
      </c>
    </row>
    <row r="21" spans="2:24" x14ac:dyDescent="0.25">
      <c r="B21" s="276"/>
      <c r="C21" s="328" t="s">
        <v>105</v>
      </c>
      <c r="D21" s="328" t="s">
        <v>106</v>
      </c>
      <c r="E21" s="328" t="s">
        <v>107</v>
      </c>
      <c r="F21" s="328" t="s">
        <v>108</v>
      </c>
      <c r="G21" s="328" t="s">
        <v>110</v>
      </c>
      <c r="H21" s="328" t="s">
        <v>109</v>
      </c>
      <c r="I21" s="328" t="s">
        <v>111</v>
      </c>
      <c r="J21" s="328" t="s">
        <v>121</v>
      </c>
      <c r="K21" s="328" t="s">
        <v>126</v>
      </c>
      <c r="L21" s="98"/>
      <c r="M21" s="333">
        <f t="shared" si="1"/>
        <v>0</v>
      </c>
    </row>
    <row r="22" spans="2:24" x14ac:dyDescent="0.25">
      <c r="B22" s="327" t="s">
        <v>143</v>
      </c>
      <c r="C22" s="278">
        <f t="shared" ref="C22:J23" si="8">1/(O22/3600)</f>
        <v>0.49216890908847311</v>
      </c>
      <c r="D22" s="278">
        <f t="shared" si="8"/>
        <v>0.4279420989585197</v>
      </c>
      <c r="E22" s="278">
        <f t="shared" si="8"/>
        <v>0.45948233698843016</v>
      </c>
      <c r="F22" s="278">
        <f t="shared" si="8"/>
        <v>0.42799557072139366</v>
      </c>
      <c r="G22" s="278">
        <f t="shared" si="8"/>
        <v>0.46278781063185581</v>
      </c>
      <c r="H22" s="278">
        <f t="shared" si="8"/>
        <v>0.42485796762110223</v>
      </c>
      <c r="I22" s="278">
        <f t="shared" si="8"/>
        <v>0.42910060156328506</v>
      </c>
      <c r="J22" s="278">
        <f t="shared" si="8"/>
        <v>0.53549219988674335</v>
      </c>
      <c r="K22" s="278">
        <f t="shared" ref="K22:K23" si="9">1/(W22/3600)</f>
        <v>0.55148385155709168</v>
      </c>
      <c r="L22" s="96"/>
      <c r="M22" s="333">
        <f t="shared" si="1"/>
        <v>0.42485796762110223</v>
      </c>
      <c r="O22" s="256">
        <v>7314.5619999999999</v>
      </c>
      <c r="P22" s="256">
        <v>8412.3529999999992</v>
      </c>
      <c r="Q22" s="256">
        <v>7834.9040000000005</v>
      </c>
      <c r="R22" s="256">
        <v>8411.3019999999997</v>
      </c>
      <c r="S22" s="256">
        <v>7778.9429999999993</v>
      </c>
      <c r="T22" s="256">
        <v>8473.42</v>
      </c>
      <c r="U22" s="256">
        <v>8389.6409999999996</v>
      </c>
      <c r="V22" s="256">
        <v>6722.7870000000003</v>
      </c>
      <c r="W22" s="256">
        <v>6527.8429999999998</v>
      </c>
    </row>
    <row r="23" spans="2:24" x14ac:dyDescent="0.25">
      <c r="B23" s="327" t="s">
        <v>146</v>
      </c>
      <c r="C23" s="278">
        <f t="shared" si="8"/>
        <v>0.22476601857466377</v>
      </c>
      <c r="D23" s="278">
        <f t="shared" si="8"/>
        <v>0.20536386455089403</v>
      </c>
      <c r="E23" s="278">
        <f t="shared" si="8"/>
        <v>0.21182850364345024</v>
      </c>
      <c r="F23" s="278">
        <f t="shared" si="8"/>
        <v>0.19044293853454158</v>
      </c>
      <c r="G23" s="278">
        <f t="shared" si="8"/>
        <v>0.21282013098724364</v>
      </c>
      <c r="H23" s="278">
        <f t="shared" si="8"/>
        <v>0.20122387715818896</v>
      </c>
      <c r="I23" s="278">
        <f t="shared" si="8"/>
        <v>0.2080089212715123</v>
      </c>
      <c r="J23" s="278">
        <f t="shared" si="8"/>
        <v>0.28238930848976784</v>
      </c>
      <c r="K23" s="278">
        <f t="shared" si="9"/>
        <v>0.31705133800948826</v>
      </c>
      <c r="L23" s="96"/>
      <c r="M23" s="333">
        <f t="shared" si="1"/>
        <v>0.19044293853454158</v>
      </c>
      <c r="O23" s="256">
        <v>16016.656000000001</v>
      </c>
      <c r="P23" s="256">
        <v>17529.861000000001</v>
      </c>
      <c r="Q23" s="256">
        <v>16994.88</v>
      </c>
      <c r="R23" s="256">
        <v>18903.3</v>
      </c>
      <c r="S23" s="256">
        <v>16915.692999999999</v>
      </c>
      <c r="T23" s="256">
        <v>17890.521000000001</v>
      </c>
      <c r="U23" s="256">
        <v>17306.95</v>
      </c>
      <c r="V23" s="256">
        <v>12748.358</v>
      </c>
      <c r="W23" s="256">
        <v>11354.628000000001</v>
      </c>
    </row>
    <row r="24" spans="2:24" x14ac:dyDescent="0.25">
      <c r="M24" s="333">
        <f t="shared" si="1"/>
        <v>0</v>
      </c>
    </row>
    <row r="25" spans="2:24" x14ac:dyDescent="0.25">
      <c r="M25" s="333">
        <f t="shared" si="1"/>
        <v>0</v>
      </c>
    </row>
    <row r="26" spans="2:24" ht="15.75" thickBot="1" x14ac:dyDescent="0.3">
      <c r="M26" s="333">
        <f t="shared" si="1"/>
        <v>0</v>
      </c>
    </row>
    <row r="27" spans="2:24" ht="15.75" thickBot="1" x14ac:dyDescent="0.3">
      <c r="B27" s="435" t="s">
        <v>57</v>
      </c>
      <c r="C27" s="436"/>
      <c r="D27" s="436"/>
      <c r="E27" s="436"/>
      <c r="F27" s="436"/>
      <c r="G27" s="436"/>
      <c r="H27" s="436"/>
      <c r="I27" s="436"/>
      <c r="J27" s="436"/>
      <c r="K27" s="420"/>
      <c r="L27" s="335"/>
      <c r="M27" s="333">
        <f t="shared" si="1"/>
        <v>0</v>
      </c>
    </row>
    <row r="28" spans="2:24" x14ac:dyDescent="0.25">
      <c r="B28" s="325"/>
      <c r="C28" s="329" t="s">
        <v>105</v>
      </c>
      <c r="D28" s="329" t="s">
        <v>106</v>
      </c>
      <c r="E28" s="329" t="s">
        <v>107</v>
      </c>
      <c r="F28" s="329" t="s">
        <v>108</v>
      </c>
      <c r="G28" s="329" t="s">
        <v>110</v>
      </c>
      <c r="H28" s="329" t="s">
        <v>109</v>
      </c>
      <c r="I28" s="329" t="s">
        <v>111</v>
      </c>
      <c r="J28" s="329" t="s">
        <v>121</v>
      </c>
      <c r="K28" s="329" t="s">
        <v>126</v>
      </c>
      <c r="L28" s="98" t="s">
        <v>156</v>
      </c>
      <c r="M28" s="333">
        <f>MIN(C28:L28)</f>
        <v>0</v>
      </c>
    </row>
    <row r="29" spans="2:24" x14ac:dyDescent="0.25">
      <c r="B29" s="326" t="s">
        <v>144</v>
      </c>
      <c r="C29" s="278">
        <f t="shared" ref="C29:J29" si="10">1/(O29/3600)</f>
        <v>3.275177701134576</v>
      </c>
      <c r="D29" s="278">
        <f t="shared" si="10"/>
        <v>3.4074033409589761</v>
      </c>
      <c r="E29" s="278">
        <f t="shared" si="10"/>
        <v>3.4175668632716945</v>
      </c>
      <c r="F29" s="278">
        <f t="shared" si="10"/>
        <v>3.459692183498229</v>
      </c>
      <c r="G29" s="278">
        <f t="shared" si="10"/>
        <v>3.4239376995513693</v>
      </c>
      <c r="H29" s="278">
        <f t="shared" si="10"/>
        <v>3.4199174089945732</v>
      </c>
      <c r="I29" s="278">
        <f t="shared" si="10"/>
        <v>3.4203528093922886</v>
      </c>
      <c r="J29" s="278">
        <f t="shared" si="10"/>
        <v>3.1445689363757614</v>
      </c>
      <c r="K29" s="278">
        <f t="shared" ref="K29:L29" si="11">1/(W29/3600)</f>
        <v>3.6474164133738602</v>
      </c>
      <c r="L29" s="278">
        <f t="shared" si="11"/>
        <v>3.4285714285714284</v>
      </c>
      <c r="M29" s="333">
        <f t="shared" si="1"/>
        <v>3.1445689363757614</v>
      </c>
      <c r="O29" s="256">
        <v>1099.1770000000001</v>
      </c>
      <c r="P29" s="256">
        <v>1056.5229999999999</v>
      </c>
      <c r="Q29" s="256">
        <v>1053.3809999999999</v>
      </c>
      <c r="R29" s="256">
        <v>1040.5550000000001</v>
      </c>
      <c r="S29" s="256">
        <v>1051.421</v>
      </c>
      <c r="T29" s="256">
        <v>1052.6569999999999</v>
      </c>
      <c r="U29" s="256">
        <v>1052.5229999999999</v>
      </c>
      <c r="V29" s="256">
        <v>1144.8310000000001</v>
      </c>
      <c r="W29" s="256">
        <v>987</v>
      </c>
      <c r="X29">
        <v>1050</v>
      </c>
    </row>
    <row r="30" spans="2:24" x14ac:dyDescent="0.25">
      <c r="M30" s="333">
        <f t="shared" si="1"/>
        <v>0</v>
      </c>
    </row>
    <row r="31" spans="2:24" x14ac:dyDescent="0.25">
      <c r="B31" s="276"/>
      <c r="C31" s="328" t="s">
        <v>105</v>
      </c>
      <c r="D31" s="328" t="s">
        <v>106</v>
      </c>
      <c r="E31" s="328" t="s">
        <v>107</v>
      </c>
      <c r="F31" s="328" t="s">
        <v>108</v>
      </c>
      <c r="G31" s="328" t="s">
        <v>110</v>
      </c>
      <c r="H31" s="328" t="s">
        <v>109</v>
      </c>
      <c r="I31" s="328" t="s">
        <v>111</v>
      </c>
      <c r="J31" s="328" t="s">
        <v>121</v>
      </c>
      <c r="K31" s="328" t="s">
        <v>126</v>
      </c>
      <c r="L31" s="98"/>
      <c r="M31" s="333">
        <f t="shared" si="1"/>
        <v>0</v>
      </c>
    </row>
    <row r="32" spans="2:24" x14ac:dyDescent="0.25">
      <c r="B32" s="327" t="s">
        <v>143</v>
      </c>
      <c r="C32" s="278">
        <f t="shared" ref="C32:J32" si="12">1/(O32/3600)</f>
        <v>8.1687042553979877E-2</v>
      </c>
      <c r="D32" s="278">
        <f t="shared" si="12"/>
        <v>0.10718616545780521</v>
      </c>
      <c r="E32" s="278">
        <f t="shared" si="12"/>
        <v>6.8590287634323829E-2</v>
      </c>
      <c r="F32" s="278">
        <f t="shared" si="12"/>
        <v>8.0786612060601892E-2</v>
      </c>
      <c r="G32" s="278">
        <f t="shared" si="12"/>
        <v>9.2168678307809684E-2</v>
      </c>
      <c r="H32" s="278">
        <f t="shared" si="12"/>
        <v>0.22804111353235876</v>
      </c>
      <c r="I32" s="278">
        <f t="shared" si="12"/>
        <v>6.575855442531417E-2</v>
      </c>
      <c r="J32" s="278">
        <f t="shared" si="12"/>
        <v>9.4063879407598236E-2</v>
      </c>
      <c r="K32" s="278">
        <f t="shared" ref="K32" si="13">1/(W32/3600)</f>
        <v>0.22648326722748119</v>
      </c>
      <c r="L32" s="96"/>
      <c r="M32" s="333">
        <f t="shared" si="1"/>
        <v>6.575855442531417E-2</v>
      </c>
      <c r="O32" s="256">
        <v>44070.637000000002</v>
      </c>
      <c r="P32" s="256">
        <v>33586.423999999999</v>
      </c>
      <c r="Q32" s="256">
        <v>52485.565000000002</v>
      </c>
      <c r="R32" s="256">
        <v>44561.839</v>
      </c>
      <c r="S32" s="256">
        <v>39058.822</v>
      </c>
      <c r="T32" s="256">
        <v>15786.627</v>
      </c>
      <c r="U32" s="256">
        <v>54745.728999999999</v>
      </c>
      <c r="V32" s="256">
        <v>38271.864000000001</v>
      </c>
      <c r="W32" s="256">
        <v>15895.214</v>
      </c>
    </row>
  </sheetData>
  <mergeCells count="3">
    <mergeCell ref="B3:K3"/>
    <mergeCell ref="B16:K16"/>
    <mergeCell ref="B27:K27"/>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X49"/>
  <sheetViews>
    <sheetView tabSelected="1" topLeftCell="D9" zoomScale="91" zoomScaleNormal="91" workbookViewId="0">
      <selection activeCell="H34" sqref="H34"/>
    </sheetView>
  </sheetViews>
  <sheetFormatPr defaultRowHeight="15" x14ac:dyDescent="0.25"/>
  <cols>
    <col min="2" max="2" width="9.140625" customWidth="1"/>
  </cols>
  <sheetData>
    <row r="2" spans="2:24" ht="15.75" thickBot="1" x14ac:dyDescent="0.3"/>
    <row r="3" spans="2:24" ht="15.75" thickBot="1" x14ac:dyDescent="0.3">
      <c r="B3" s="435" t="s">
        <v>54</v>
      </c>
      <c r="C3" s="436"/>
      <c r="D3" s="436"/>
      <c r="E3" s="436"/>
      <c r="F3" s="436"/>
      <c r="G3" s="436"/>
      <c r="H3" s="436"/>
      <c r="I3" s="436"/>
      <c r="J3" s="436"/>
      <c r="K3" s="420"/>
      <c r="L3" s="349"/>
    </row>
    <row r="4" spans="2:24" x14ac:dyDescent="0.25">
      <c r="B4" s="325"/>
      <c r="C4" s="329" t="s">
        <v>105</v>
      </c>
      <c r="D4" s="329" t="s">
        <v>106</v>
      </c>
      <c r="E4" s="329" t="s">
        <v>107</v>
      </c>
      <c r="F4" s="329" t="s">
        <v>108</v>
      </c>
      <c r="G4" s="329" t="s">
        <v>110</v>
      </c>
      <c r="H4" s="329" t="s">
        <v>109</v>
      </c>
      <c r="I4" s="329" t="s">
        <v>111</v>
      </c>
      <c r="J4" s="329" t="s">
        <v>147</v>
      </c>
      <c r="K4" s="329" t="s">
        <v>148</v>
      </c>
      <c r="L4" s="98" t="s">
        <v>156</v>
      </c>
    </row>
    <row r="5" spans="2:24" x14ac:dyDescent="0.25">
      <c r="B5" s="326" t="s">
        <v>144</v>
      </c>
      <c r="C5" s="278">
        <f t="shared" ref="C5:J6" si="0">(300/O5)</f>
        <v>26.389866291344124</v>
      </c>
      <c r="D5" s="278">
        <f t="shared" si="0"/>
        <v>14.951407924246201</v>
      </c>
      <c r="E5" s="278">
        <f t="shared" si="0"/>
        <v>14.407145944388416</v>
      </c>
      <c r="F5" s="278">
        <f t="shared" si="0"/>
        <v>17.514157277132352</v>
      </c>
      <c r="G5" s="278">
        <f t="shared" si="0"/>
        <v>14.958863126402393</v>
      </c>
      <c r="H5" s="278">
        <f t="shared" si="0"/>
        <v>14.696516925488659</v>
      </c>
      <c r="I5" s="278">
        <f t="shared" si="0"/>
        <v>14.90090895544628</v>
      </c>
      <c r="J5" s="278">
        <f t="shared" si="0"/>
        <v>18.804061677322302</v>
      </c>
      <c r="K5" s="278">
        <f t="shared" ref="K5:L6" si="1">(300/W5)</f>
        <v>95.602294455066925</v>
      </c>
      <c r="L5" s="278">
        <f t="shared" si="1"/>
        <v>125.52301255230125</v>
      </c>
      <c r="M5" s="334">
        <f>MAX(C5:L5)</f>
        <v>125.52301255230125</v>
      </c>
      <c r="O5" s="256">
        <v>11.368</v>
      </c>
      <c r="P5" s="256">
        <v>20.064999999999998</v>
      </c>
      <c r="Q5" s="256">
        <v>20.823</v>
      </c>
      <c r="R5" s="256">
        <v>17.128999999999998</v>
      </c>
      <c r="S5" s="256">
        <v>20.055</v>
      </c>
      <c r="T5" s="256">
        <v>20.413</v>
      </c>
      <c r="U5" s="256">
        <v>20.133000000000003</v>
      </c>
      <c r="V5" s="256">
        <v>15.954000000000001</v>
      </c>
      <c r="W5" s="256">
        <v>3.1379999999999999</v>
      </c>
      <c r="X5">
        <f>2390/1000</f>
        <v>2.39</v>
      </c>
    </row>
    <row r="6" spans="2:24" x14ac:dyDescent="0.25">
      <c r="B6" s="326" t="s">
        <v>145</v>
      </c>
      <c r="C6" s="331">
        <f t="shared" si="0"/>
        <v>4.0177450405959658E-2</v>
      </c>
      <c r="D6" s="331">
        <f t="shared" si="0"/>
        <v>5.4088934107237807E-2</v>
      </c>
      <c r="E6" s="331">
        <f t="shared" si="0"/>
        <v>4.8030355184476597E-2</v>
      </c>
      <c r="F6" s="331">
        <f t="shared" si="0"/>
        <v>8.9078897476424515E-2</v>
      </c>
      <c r="G6" s="331">
        <f t="shared" si="0"/>
        <v>5.4234866257723731E-2</v>
      </c>
      <c r="H6" s="331">
        <f t="shared" si="0"/>
        <v>4.5471404322178235E-2</v>
      </c>
      <c r="I6" s="331">
        <f t="shared" si="0"/>
        <v>6.2730993815769534E-2</v>
      </c>
      <c r="J6" s="331">
        <f t="shared" si="0"/>
        <v>6.118721554318441E-2</v>
      </c>
      <c r="K6" s="331">
        <f t="shared" si="1"/>
        <v>1.2259409096481548</v>
      </c>
      <c r="L6" s="331">
        <f t="shared" si="1"/>
        <v>0.65435176642259352</v>
      </c>
      <c r="M6" s="334">
        <f>MAX(C6:L6)</f>
        <v>1.2259409096481548</v>
      </c>
      <c r="O6" s="256">
        <v>7466.875</v>
      </c>
      <c r="P6" s="256">
        <v>5546.4209999999994</v>
      </c>
      <c r="Q6" s="256">
        <v>6246.0499999999993</v>
      </c>
      <c r="R6" s="256">
        <v>3367.8010000000004</v>
      </c>
      <c r="S6" s="256">
        <v>5531.4969999999994</v>
      </c>
      <c r="T6" s="256">
        <v>6597.5529999999999</v>
      </c>
      <c r="U6" s="256">
        <v>4782.3249999999998</v>
      </c>
      <c r="V6" s="256">
        <v>4902.9849999999997</v>
      </c>
      <c r="W6" s="256">
        <v>244.71</v>
      </c>
      <c r="X6">
        <f>(278469+180000)/1000</f>
        <v>458.46899999999999</v>
      </c>
    </row>
    <row r="7" spans="2:24" x14ac:dyDescent="0.25">
      <c r="M7" s="334">
        <f>MAX(C7:K7)</f>
        <v>0</v>
      </c>
    </row>
    <row r="8" spans="2:24" x14ac:dyDescent="0.25">
      <c r="B8" s="276"/>
      <c r="C8" s="330" t="s">
        <v>105</v>
      </c>
      <c r="D8" s="330" t="s">
        <v>106</v>
      </c>
      <c r="E8" s="330" t="s">
        <v>107</v>
      </c>
      <c r="F8" s="330" t="s">
        <v>108</v>
      </c>
      <c r="G8" s="330" t="s">
        <v>110</v>
      </c>
      <c r="H8" s="330" t="s">
        <v>109</v>
      </c>
      <c r="I8" s="330" t="s">
        <v>111</v>
      </c>
      <c r="J8" s="330" t="s">
        <v>147</v>
      </c>
      <c r="K8" s="330" t="s">
        <v>148</v>
      </c>
      <c r="L8" s="98" t="s">
        <v>156</v>
      </c>
      <c r="M8" s="334">
        <f>MAX(C8:L8)</f>
        <v>0</v>
      </c>
    </row>
    <row r="9" spans="2:24" x14ac:dyDescent="0.25">
      <c r="B9" s="327" t="s">
        <v>143</v>
      </c>
      <c r="C9" s="331">
        <f t="shared" ref="C9:J10" si="2">(300/O9)</f>
        <v>2.5045936334398649E-2</v>
      </c>
      <c r="D9" s="331">
        <f t="shared" si="2"/>
        <v>3.7697355078173005E-2</v>
      </c>
      <c r="E9" s="331">
        <f t="shared" si="2"/>
        <v>3.8009214193704836E-2</v>
      </c>
      <c r="F9" s="331">
        <f t="shared" si="2"/>
        <v>3.6199287211901937E-2</v>
      </c>
      <c r="G9" s="331">
        <f t="shared" si="2"/>
        <v>3.4897379602295504E-2</v>
      </c>
      <c r="H9" s="331">
        <f t="shared" si="2"/>
        <v>3.453724410060699E-2</v>
      </c>
      <c r="I9" s="331">
        <f t="shared" si="2"/>
        <v>3.7695536169997823E-2</v>
      </c>
      <c r="J9" s="331">
        <f t="shared" si="2"/>
        <v>3.3939853601572818E-2</v>
      </c>
      <c r="K9" s="331">
        <f t="shared" ref="K9:K10" si="3">(300/W9)</f>
        <v>2.7404693327779315E-2</v>
      </c>
      <c r="L9" s="352"/>
      <c r="M9" s="334">
        <f t="shared" ref="M9:M16" si="4">MAX(C9:K9)</f>
        <v>3.8009214193704836E-2</v>
      </c>
      <c r="O9" s="256">
        <v>11977.991</v>
      </c>
      <c r="P9" s="256">
        <v>7958.1180000000004</v>
      </c>
      <c r="Q9" s="256">
        <v>7892.8230000000003</v>
      </c>
      <c r="R9" s="256">
        <v>8287.4560000000001</v>
      </c>
      <c r="S9" s="256">
        <v>8596.634</v>
      </c>
      <c r="T9" s="256">
        <v>8686.2750000000015</v>
      </c>
      <c r="U9" s="256">
        <v>7958.5019999999995</v>
      </c>
      <c r="V9" s="256">
        <v>8839.1659999999993</v>
      </c>
      <c r="W9" s="256">
        <v>10947.03</v>
      </c>
    </row>
    <row r="10" spans="2:24" x14ac:dyDescent="0.25">
      <c r="B10" s="327" t="s">
        <v>146</v>
      </c>
      <c r="C10" s="336">
        <f t="shared" si="2"/>
        <v>2.0821748343907542E-2</v>
      </c>
      <c r="D10" s="336">
        <f t="shared" si="2"/>
        <v>1.9861311112675004E-2</v>
      </c>
      <c r="E10" s="336">
        <f t="shared" si="2"/>
        <v>2.0397352668391874E-2</v>
      </c>
      <c r="F10" s="336">
        <f t="shared" si="2"/>
        <v>2.017988619620446E-2</v>
      </c>
      <c r="G10" s="336">
        <f t="shared" si="2"/>
        <v>2.0559606445272147E-2</v>
      </c>
      <c r="H10" s="336">
        <f t="shared" si="2"/>
        <v>1.9764692116826195E-2</v>
      </c>
      <c r="I10" s="336">
        <f t="shared" si="2"/>
        <v>2.1124331265284773E-2</v>
      </c>
      <c r="J10" s="336">
        <f t="shared" si="2"/>
        <v>2.1099316593135551E-2</v>
      </c>
      <c r="K10" s="336">
        <f t="shared" si="3"/>
        <v>1.9732916293495294E-2</v>
      </c>
      <c r="L10" s="353"/>
      <c r="M10" s="347">
        <f t="shared" si="4"/>
        <v>2.1124331265284773E-2</v>
      </c>
      <c r="O10" s="256">
        <v>14408.012000000001</v>
      </c>
      <c r="P10" s="256">
        <v>15104.743</v>
      </c>
      <c r="Q10" s="256">
        <v>14707.791000000001</v>
      </c>
      <c r="R10" s="256">
        <v>14866.288</v>
      </c>
      <c r="S10" s="256">
        <v>14591.718999999999</v>
      </c>
      <c r="T10" s="256">
        <v>15178.582</v>
      </c>
      <c r="U10" s="256">
        <v>14201.633</v>
      </c>
      <c r="V10" s="256">
        <v>14218.47</v>
      </c>
      <c r="W10" s="256">
        <v>15203.023999999999</v>
      </c>
    </row>
    <row r="11" spans="2:24" x14ac:dyDescent="0.25">
      <c r="M11" s="334">
        <f t="shared" si="4"/>
        <v>0</v>
      </c>
    </row>
    <row r="12" spans="2:24" x14ac:dyDescent="0.25">
      <c r="M12" s="334">
        <f t="shared" si="4"/>
        <v>0</v>
      </c>
    </row>
    <row r="13" spans="2:24" x14ac:dyDescent="0.25">
      <c r="M13" s="334">
        <f t="shared" si="4"/>
        <v>0</v>
      </c>
    </row>
    <row r="14" spans="2:24" x14ac:dyDescent="0.25">
      <c r="M14" s="334">
        <f t="shared" si="4"/>
        <v>0</v>
      </c>
    </row>
    <row r="15" spans="2:24" ht="15.75" thickBot="1" x14ac:dyDescent="0.3">
      <c r="M15" s="334">
        <f t="shared" si="4"/>
        <v>0</v>
      </c>
    </row>
    <row r="16" spans="2:24" ht="15.75" thickBot="1" x14ac:dyDescent="0.3">
      <c r="B16" s="435" t="s">
        <v>140</v>
      </c>
      <c r="C16" s="436"/>
      <c r="D16" s="436"/>
      <c r="E16" s="436"/>
      <c r="F16" s="436"/>
      <c r="G16" s="436"/>
      <c r="H16" s="436"/>
      <c r="I16" s="436"/>
      <c r="J16" s="436"/>
      <c r="K16" s="420"/>
      <c r="L16" s="349"/>
      <c r="M16" s="334">
        <f t="shared" si="4"/>
        <v>0</v>
      </c>
    </row>
    <row r="17" spans="2:24" x14ac:dyDescent="0.25">
      <c r="B17" s="325"/>
      <c r="C17" s="329" t="s">
        <v>105</v>
      </c>
      <c r="D17" s="329" t="s">
        <v>106</v>
      </c>
      <c r="E17" s="329" t="s">
        <v>107</v>
      </c>
      <c r="F17" s="329" t="s">
        <v>108</v>
      </c>
      <c r="G17" s="329" t="s">
        <v>110</v>
      </c>
      <c r="H17" s="329" t="s">
        <v>109</v>
      </c>
      <c r="I17" s="329" t="s">
        <v>111</v>
      </c>
      <c r="J17" s="329" t="s">
        <v>147</v>
      </c>
      <c r="K17" s="329" t="s">
        <v>148</v>
      </c>
      <c r="L17" s="98" t="s">
        <v>156</v>
      </c>
      <c r="M17" s="334">
        <f>MAX(C17:L17)</f>
        <v>0</v>
      </c>
    </row>
    <row r="18" spans="2:24" x14ac:dyDescent="0.25">
      <c r="B18" s="326" t="s">
        <v>144</v>
      </c>
      <c r="C18" s="331">
        <f t="shared" ref="C18:J18" si="5">(300/O18)</f>
        <v>3.6683337205463369</v>
      </c>
      <c r="D18" s="331">
        <f t="shared" si="5"/>
        <v>5.9194948697711132</v>
      </c>
      <c r="E18" s="331">
        <f t="shared" si="5"/>
        <v>5.8940254228963243</v>
      </c>
      <c r="F18" s="331">
        <f t="shared" si="5"/>
        <v>2.0308829602150027</v>
      </c>
      <c r="G18" s="331">
        <f t="shared" si="5"/>
        <v>6.1428834695005836</v>
      </c>
      <c r="H18" s="331">
        <f t="shared" si="5"/>
        <v>6.0115421609490225</v>
      </c>
      <c r="I18" s="331">
        <f t="shared" si="5"/>
        <v>5.8210605972408178</v>
      </c>
      <c r="J18" s="331">
        <f t="shared" si="5"/>
        <v>1.7201440333937295</v>
      </c>
      <c r="K18" s="331">
        <f t="shared" ref="K18:L18" si="6">(300/W18)</f>
        <v>2.6030368763557483</v>
      </c>
      <c r="L18" s="331">
        <f t="shared" si="6"/>
        <v>0.44510385756676557</v>
      </c>
      <c r="M18" s="334">
        <f>MAX(C18:L18)</f>
        <v>6.1428834695005836</v>
      </c>
      <c r="O18" s="256">
        <v>81.781000000000006</v>
      </c>
      <c r="P18" s="256">
        <v>50.68</v>
      </c>
      <c r="Q18" s="256">
        <v>50.899000000000001</v>
      </c>
      <c r="R18" s="256">
        <v>147.71899999999999</v>
      </c>
      <c r="S18" s="256">
        <v>48.836999999999996</v>
      </c>
      <c r="T18" s="256">
        <v>49.903999999999996</v>
      </c>
      <c r="U18" s="256">
        <v>51.536999999999999</v>
      </c>
      <c r="V18" s="256">
        <v>174.404</v>
      </c>
      <c r="W18" s="256">
        <v>115.25</v>
      </c>
      <c r="X18">
        <v>674</v>
      </c>
    </row>
    <row r="19" spans="2:24" x14ac:dyDescent="0.25">
      <c r="B19" s="326" t="s">
        <v>145</v>
      </c>
      <c r="C19" s="331">
        <f>(300/O19)</f>
        <v>7.8638278597596395E-2</v>
      </c>
      <c r="D19" s="331">
        <f t="shared" ref="D19" si="7">(300/P19)</f>
        <v>7.4633920619362026E-2</v>
      </c>
      <c r="E19" s="331">
        <f t="shared" ref="E19" si="8">(300/Q19)</f>
        <v>7.424116251761681E-2</v>
      </c>
      <c r="F19" s="331">
        <f t="shared" ref="F19" si="9">(300/R19)</f>
        <v>8.1443548897213613E-2</v>
      </c>
      <c r="G19" s="331">
        <f t="shared" ref="G19" si="10">(300/S19)</f>
        <v>7.445469382244442E-2</v>
      </c>
      <c r="H19" s="331">
        <f t="shared" ref="H19" si="11">(300/T19)</f>
        <v>6.8279628750002555E-2</v>
      </c>
      <c r="I19" s="331">
        <f t="shared" ref="I19" si="12">(300/U19)</f>
        <v>7.082579333741762E-2</v>
      </c>
      <c r="J19" s="331">
        <f t="shared" ref="J19" si="13">(300/V19)</f>
        <v>0.12391937144790284</v>
      </c>
      <c r="K19" s="331">
        <f t="shared" ref="K19:L19" si="14">(300/W19)</f>
        <v>0.61001771084753831</v>
      </c>
      <c r="L19" s="331">
        <f t="shared" si="14"/>
        <v>0.8543357539513029</v>
      </c>
      <c r="M19" s="334">
        <f>MAX(C19:K19)</f>
        <v>0.61001771084753831</v>
      </c>
      <c r="O19" s="256">
        <v>3814.9360000000001</v>
      </c>
      <c r="P19" s="256">
        <v>4019.6200000000003</v>
      </c>
      <c r="Q19" s="256">
        <v>4040.8850000000002</v>
      </c>
      <c r="R19" s="256">
        <v>3683.5330000000004</v>
      </c>
      <c r="S19" s="256">
        <v>4029.2959999999998</v>
      </c>
      <c r="T19" s="256">
        <v>4393.6970000000001</v>
      </c>
      <c r="U19" s="256">
        <v>4235.7449999999999</v>
      </c>
      <c r="V19" s="256">
        <v>2420.9290000000001</v>
      </c>
      <c r="W19" s="256">
        <v>491.78899999999999</v>
      </c>
      <c r="X19" s="256">
        <f>(171150+180000)/1000</f>
        <v>351.15</v>
      </c>
    </row>
    <row r="20" spans="2:24" x14ac:dyDescent="0.25">
      <c r="M20" s="334">
        <f>MAX(C20:K20)</f>
        <v>0</v>
      </c>
    </row>
    <row r="21" spans="2:24" x14ac:dyDescent="0.25">
      <c r="B21" s="276"/>
      <c r="C21" s="328" t="s">
        <v>105</v>
      </c>
      <c r="D21" s="328" t="s">
        <v>106</v>
      </c>
      <c r="E21" s="328" t="s">
        <v>107</v>
      </c>
      <c r="F21" s="328" t="s">
        <v>108</v>
      </c>
      <c r="G21" s="328" t="s">
        <v>110</v>
      </c>
      <c r="H21" s="328" t="s">
        <v>109</v>
      </c>
      <c r="I21" s="328" t="s">
        <v>111</v>
      </c>
      <c r="J21" s="328" t="s">
        <v>147</v>
      </c>
      <c r="K21" s="328" t="s">
        <v>148</v>
      </c>
      <c r="L21" s="98" t="s">
        <v>156</v>
      </c>
      <c r="M21" s="334">
        <f>MAX(C21:L21)</f>
        <v>0</v>
      </c>
    </row>
    <row r="22" spans="2:24" x14ac:dyDescent="0.25">
      <c r="B22" s="327" t="s">
        <v>143</v>
      </c>
      <c r="C22" s="331">
        <f>(300/O22)</f>
        <v>4.1014075757372759E-2</v>
      </c>
      <c r="D22" s="331">
        <f t="shared" ref="D22:D23" si="15">(300/P22)</f>
        <v>3.5661841579876646E-2</v>
      </c>
      <c r="E22" s="331">
        <f t="shared" ref="E22:E23" si="16">(300/Q22)</f>
        <v>3.8290194749035854E-2</v>
      </c>
      <c r="F22" s="331">
        <f t="shared" ref="F22:F23" si="17">(300/R22)</f>
        <v>3.5666297560116141E-2</v>
      </c>
      <c r="G22" s="331">
        <f t="shared" ref="G22:G23" si="18">(300/S22)</f>
        <v>3.8565650885987984E-2</v>
      </c>
      <c r="H22" s="331">
        <f t="shared" ref="H22:H23" si="19">(300/T22)</f>
        <v>3.5404830635091852E-2</v>
      </c>
      <c r="I22" s="331">
        <f t="shared" ref="I22:I23" si="20">(300/U22)</f>
        <v>3.5758383463607088E-2</v>
      </c>
      <c r="J22" s="331">
        <f t="shared" ref="J22:J23" si="21">(300/V22)</f>
        <v>4.4624349990561946E-2</v>
      </c>
      <c r="K22" s="331">
        <f t="shared" ref="K22:K23" si="22">(300/W22)</f>
        <v>4.595698762975764E-2</v>
      </c>
      <c r="L22" s="352"/>
      <c r="M22" s="334">
        <f t="shared" ref="M22:M27" si="23">MAX(C22:K22)</f>
        <v>4.595698762975764E-2</v>
      </c>
      <c r="O22" s="256">
        <v>7314.5619999999999</v>
      </c>
      <c r="P22" s="256">
        <v>8412.3529999999992</v>
      </c>
      <c r="Q22" s="256">
        <v>7834.9040000000005</v>
      </c>
      <c r="R22" s="256">
        <v>8411.3019999999997</v>
      </c>
      <c r="S22" s="256">
        <v>7778.9429999999993</v>
      </c>
      <c r="T22" s="256">
        <v>8473.42</v>
      </c>
      <c r="U22" s="256">
        <v>8389.6409999999996</v>
      </c>
      <c r="V22" s="256">
        <v>6722.7870000000003</v>
      </c>
      <c r="W22" s="256">
        <v>6527.8429999999998</v>
      </c>
    </row>
    <row r="23" spans="2:24" x14ac:dyDescent="0.25">
      <c r="B23" s="327" t="s">
        <v>146</v>
      </c>
      <c r="C23" s="331">
        <f>(300/O23)</f>
        <v>1.8730501547888648E-2</v>
      </c>
      <c r="D23" s="331">
        <f t="shared" si="15"/>
        <v>1.7113655379241168E-2</v>
      </c>
      <c r="E23" s="331">
        <f t="shared" si="16"/>
        <v>1.7652375303620856E-2</v>
      </c>
      <c r="F23" s="331">
        <f t="shared" si="17"/>
        <v>1.5870244877878466E-2</v>
      </c>
      <c r="G23" s="331">
        <f t="shared" si="18"/>
        <v>1.7735010915603637E-2</v>
      </c>
      <c r="H23" s="331">
        <f t="shared" si="19"/>
        <v>1.676865642984908E-2</v>
      </c>
      <c r="I23" s="331">
        <f t="shared" si="20"/>
        <v>1.7334076772626026E-2</v>
      </c>
      <c r="J23" s="331">
        <f t="shared" si="21"/>
        <v>2.3532442374147321E-2</v>
      </c>
      <c r="K23" s="331">
        <f t="shared" si="22"/>
        <v>2.6420944834124022E-2</v>
      </c>
      <c r="L23" s="352"/>
      <c r="M23" s="334">
        <f t="shared" si="23"/>
        <v>2.6420944834124022E-2</v>
      </c>
      <c r="O23" s="256">
        <v>16016.656000000001</v>
      </c>
      <c r="P23" s="256">
        <v>17529.861000000001</v>
      </c>
      <c r="Q23" s="256">
        <v>16994.88</v>
      </c>
      <c r="R23" s="256">
        <v>18903.3</v>
      </c>
      <c r="S23" s="256">
        <v>16915.692999999999</v>
      </c>
      <c r="T23" s="256">
        <v>17890.521000000001</v>
      </c>
      <c r="U23" s="256">
        <v>17306.95</v>
      </c>
      <c r="V23" s="256">
        <v>12748.358</v>
      </c>
      <c r="W23" s="256">
        <v>11354.628000000001</v>
      </c>
    </row>
    <row r="24" spans="2:24" x14ac:dyDescent="0.25">
      <c r="M24" s="334">
        <f t="shared" si="23"/>
        <v>0</v>
      </c>
    </row>
    <row r="25" spans="2:24" x14ac:dyDescent="0.25">
      <c r="M25" s="334">
        <f t="shared" si="23"/>
        <v>0</v>
      </c>
    </row>
    <row r="26" spans="2:24" ht="15.75" thickBot="1" x14ac:dyDescent="0.3">
      <c r="M26" s="334">
        <f t="shared" si="23"/>
        <v>0</v>
      </c>
    </row>
    <row r="27" spans="2:24" ht="15.75" thickBot="1" x14ac:dyDescent="0.3">
      <c r="B27" s="435" t="s">
        <v>57</v>
      </c>
      <c r="C27" s="436"/>
      <c r="D27" s="436"/>
      <c r="E27" s="436"/>
      <c r="F27" s="436"/>
      <c r="G27" s="436"/>
      <c r="H27" s="436"/>
      <c r="I27" s="436"/>
      <c r="J27" s="436"/>
      <c r="K27" s="420"/>
      <c r="L27" s="349"/>
      <c r="M27" s="334">
        <f t="shared" si="23"/>
        <v>0</v>
      </c>
    </row>
    <row r="28" spans="2:24" x14ac:dyDescent="0.25">
      <c r="B28" s="325"/>
      <c r="C28" s="329" t="s">
        <v>105</v>
      </c>
      <c r="D28" s="329" t="s">
        <v>106</v>
      </c>
      <c r="E28" s="329" t="s">
        <v>107</v>
      </c>
      <c r="F28" s="329" t="s">
        <v>108</v>
      </c>
      <c r="G28" s="329" t="s">
        <v>110</v>
      </c>
      <c r="H28" s="329" t="s">
        <v>109</v>
      </c>
      <c r="I28" s="329" t="s">
        <v>111</v>
      </c>
      <c r="J28" s="329" t="s">
        <v>147</v>
      </c>
      <c r="K28" s="329" t="s">
        <v>148</v>
      </c>
      <c r="L28" s="98" t="s">
        <v>156</v>
      </c>
      <c r="M28" s="334">
        <f>MAX(C28:L28)</f>
        <v>0</v>
      </c>
    </row>
    <row r="29" spans="2:24" x14ac:dyDescent="0.25">
      <c r="B29" s="326" t="s">
        <v>144</v>
      </c>
      <c r="C29" s="331">
        <f>(300/O29)</f>
        <v>0.27293147509454796</v>
      </c>
      <c r="D29" s="331">
        <f t="shared" ref="D29" si="24">(300/P29)</f>
        <v>0.28395027841324799</v>
      </c>
      <c r="E29" s="331">
        <f t="shared" ref="E29" si="25">(300/Q29)</f>
        <v>0.2847972386059745</v>
      </c>
      <c r="F29" s="331">
        <f t="shared" ref="F29" si="26">(300/R29)</f>
        <v>0.28830768195818574</v>
      </c>
      <c r="G29" s="331">
        <f t="shared" ref="G29" si="27">(300/S29)</f>
        <v>0.28532814162928072</v>
      </c>
      <c r="H29" s="331">
        <f t="shared" ref="H29" si="28">(300/T29)</f>
        <v>0.28499311741621441</v>
      </c>
      <c r="I29" s="331">
        <f t="shared" ref="I29" si="29">(300/U29)</f>
        <v>0.28502940078269073</v>
      </c>
      <c r="J29" s="331">
        <f t="shared" ref="J29" si="30">(300/V29)</f>
        <v>0.26204741136464682</v>
      </c>
      <c r="K29" s="331">
        <f t="shared" ref="K29:L29" si="31">(300/W29)</f>
        <v>0.303951367781155</v>
      </c>
      <c r="L29" s="331">
        <f t="shared" si="31"/>
        <v>0.2857142857142857</v>
      </c>
      <c r="M29" s="334">
        <f>MAX(C29:L29)</f>
        <v>0.303951367781155</v>
      </c>
      <c r="O29" s="256">
        <v>1099.1770000000001</v>
      </c>
      <c r="P29" s="256">
        <v>1056.5229999999999</v>
      </c>
      <c r="Q29" s="256">
        <v>1053.3809999999999</v>
      </c>
      <c r="R29" s="256">
        <v>1040.5550000000001</v>
      </c>
      <c r="S29" s="256">
        <v>1051.421</v>
      </c>
      <c r="T29" s="256">
        <v>1052.6569999999999</v>
      </c>
      <c r="U29" s="256">
        <v>1052.5229999999999</v>
      </c>
      <c r="V29" s="256">
        <v>1144.8310000000001</v>
      </c>
      <c r="W29" s="256">
        <v>987</v>
      </c>
      <c r="X29">
        <v>1050</v>
      </c>
    </row>
    <row r="30" spans="2:24" x14ac:dyDescent="0.25">
      <c r="M30" s="334">
        <f>MAX(C30:K30)</f>
        <v>0</v>
      </c>
    </row>
    <row r="31" spans="2:24" x14ac:dyDescent="0.25">
      <c r="B31" s="276"/>
      <c r="C31" s="328" t="s">
        <v>105</v>
      </c>
      <c r="D31" s="328" t="s">
        <v>106</v>
      </c>
      <c r="E31" s="328" t="s">
        <v>107</v>
      </c>
      <c r="F31" s="328" t="s">
        <v>108</v>
      </c>
      <c r="G31" s="328" t="s">
        <v>110</v>
      </c>
      <c r="H31" s="328" t="s">
        <v>109</v>
      </c>
      <c r="I31" s="328" t="s">
        <v>111</v>
      </c>
      <c r="J31" s="328" t="s">
        <v>147</v>
      </c>
      <c r="K31" s="328" t="s">
        <v>148</v>
      </c>
      <c r="L31" s="98" t="s">
        <v>156</v>
      </c>
      <c r="M31" s="334">
        <f>MAX(C31:L31)</f>
        <v>0</v>
      </c>
    </row>
    <row r="32" spans="2:24" x14ac:dyDescent="0.25">
      <c r="B32" s="327" t="s">
        <v>143</v>
      </c>
      <c r="C32" s="331">
        <f>(300/O32)</f>
        <v>6.8072535461649892E-3</v>
      </c>
      <c r="D32" s="331">
        <f t="shared" ref="D32" si="32">(300/P32)</f>
        <v>8.932180454817102E-3</v>
      </c>
      <c r="E32" s="331">
        <f t="shared" ref="E32" si="33">(300/Q32)</f>
        <v>5.7158573028603197E-3</v>
      </c>
      <c r="F32" s="331">
        <f t="shared" ref="F32" si="34">(300/R32)</f>
        <v>6.7322176717168249E-3</v>
      </c>
      <c r="G32" s="331">
        <f t="shared" ref="G32" si="35">(300/S32)</f>
        <v>7.680723192317474E-3</v>
      </c>
      <c r="H32" s="331">
        <f t="shared" ref="H32" si="36">(300/T32)</f>
        <v>1.9003426127696562E-2</v>
      </c>
      <c r="I32" s="331">
        <f t="shared" ref="I32" si="37">(300/U32)</f>
        <v>5.4798795354428472E-3</v>
      </c>
      <c r="J32" s="331">
        <f t="shared" ref="J32" si="38">(300/V32)</f>
        <v>7.838656617299853E-3</v>
      </c>
      <c r="K32" s="331">
        <f t="shared" ref="K32" si="39">(300/W32)</f>
        <v>1.8873605602290098E-2</v>
      </c>
      <c r="L32" s="352"/>
      <c r="M32" s="334">
        <f>MAX(C32:K32)</f>
        <v>1.9003426127696562E-2</v>
      </c>
      <c r="O32" s="256">
        <v>44070.637000000002</v>
      </c>
      <c r="P32" s="256">
        <v>33586.423999999999</v>
      </c>
      <c r="Q32" s="256">
        <v>52485.565000000002</v>
      </c>
      <c r="R32" s="256">
        <v>44561.839</v>
      </c>
      <c r="S32" s="256">
        <v>39058.822</v>
      </c>
      <c r="T32" s="256">
        <v>15786.627</v>
      </c>
      <c r="U32" s="256">
        <v>54745.728999999999</v>
      </c>
      <c r="V32" s="256">
        <v>38271.864000000001</v>
      </c>
      <c r="W32" s="256">
        <v>15895.214</v>
      </c>
    </row>
    <row r="34" spans="2:12" x14ac:dyDescent="0.25">
      <c r="H34" t="s">
        <v>173</v>
      </c>
    </row>
    <row r="36" spans="2:12" ht="15.75" thickBot="1" x14ac:dyDescent="0.3">
      <c r="B36" s="430" t="s">
        <v>149</v>
      </c>
      <c r="C36" s="430"/>
      <c r="D36" s="430"/>
      <c r="E36" s="430"/>
      <c r="F36" s="430"/>
      <c r="G36" s="430"/>
      <c r="H36" s="430"/>
      <c r="I36" s="430"/>
      <c r="J36" s="430"/>
      <c r="K36" s="430"/>
      <c r="L36" s="350"/>
    </row>
    <row r="37" spans="2:12" ht="15.75" thickBot="1" x14ac:dyDescent="0.3">
      <c r="B37" s="41"/>
      <c r="C37" s="341" t="s">
        <v>105</v>
      </c>
      <c r="D37" s="337" t="s">
        <v>106</v>
      </c>
      <c r="E37" s="337" t="s">
        <v>107</v>
      </c>
      <c r="F37" s="337" t="s">
        <v>108</v>
      </c>
      <c r="G37" s="337" t="s">
        <v>110</v>
      </c>
      <c r="H37" s="337" t="s">
        <v>109</v>
      </c>
      <c r="I37" s="337" t="s">
        <v>111</v>
      </c>
      <c r="J37" s="337" t="s">
        <v>147</v>
      </c>
      <c r="K37" s="338" t="s">
        <v>148</v>
      </c>
      <c r="L37" s="98"/>
    </row>
    <row r="38" spans="2:12" x14ac:dyDescent="0.25">
      <c r="B38" s="41" t="s">
        <v>150</v>
      </c>
      <c r="C38" s="43">
        <f>AVERAGE(C5,C18,C29)</f>
        <v>10.110377162328335</v>
      </c>
      <c r="D38" s="20">
        <f t="shared" ref="D38:K38" si="40">AVERAGE(D5,D18,D29)</f>
        <v>7.0516176908101871</v>
      </c>
      <c r="E38" s="20">
        <f t="shared" si="40"/>
        <v>6.8619895352969058</v>
      </c>
      <c r="F38" s="20">
        <f t="shared" si="40"/>
        <v>6.611115973101847</v>
      </c>
      <c r="G38" s="20">
        <f t="shared" si="40"/>
        <v>7.1290249125107534</v>
      </c>
      <c r="H38" s="20">
        <f t="shared" si="40"/>
        <v>6.9976840679512984</v>
      </c>
      <c r="I38" s="20">
        <f t="shared" si="40"/>
        <v>7.0023329844899296</v>
      </c>
      <c r="J38" s="20">
        <f t="shared" si="40"/>
        <v>6.9287510406935597</v>
      </c>
      <c r="K38" s="21">
        <f t="shared" si="40"/>
        <v>32.836427566401277</v>
      </c>
      <c r="L38" s="23"/>
    </row>
    <row r="39" spans="2:12" ht="15.75" thickBot="1" x14ac:dyDescent="0.3">
      <c r="B39" s="40" t="s">
        <v>151</v>
      </c>
      <c r="C39" s="248">
        <f>AVERAGE(C5,C18)</f>
        <v>15.02910000594523</v>
      </c>
      <c r="D39" s="250">
        <f t="shared" ref="D39:K39" si="41">AVERAGE(D5,D18)</f>
        <v>10.435451397008658</v>
      </c>
      <c r="E39" s="250">
        <f t="shared" si="41"/>
        <v>10.150585683642371</v>
      </c>
      <c r="F39" s="250">
        <f t="shared" si="41"/>
        <v>9.7725201186736772</v>
      </c>
      <c r="G39" s="250">
        <f t="shared" si="41"/>
        <v>10.550873297951489</v>
      </c>
      <c r="H39" s="250">
        <f t="shared" si="41"/>
        <v>10.354029543218841</v>
      </c>
      <c r="I39" s="250">
        <f t="shared" si="41"/>
        <v>10.36098477634355</v>
      </c>
      <c r="J39" s="250">
        <f t="shared" si="41"/>
        <v>10.262102855358016</v>
      </c>
      <c r="K39" s="249">
        <f t="shared" si="41"/>
        <v>49.102665665711335</v>
      </c>
      <c r="L39" s="96"/>
    </row>
    <row r="40" spans="2:12" ht="15.75" thickBot="1" x14ac:dyDescent="0.3">
      <c r="B40" s="39"/>
      <c r="C40" s="22"/>
      <c r="D40" s="23"/>
      <c r="E40" s="23"/>
      <c r="F40" s="23"/>
      <c r="G40" s="23"/>
      <c r="H40" s="23"/>
      <c r="I40" s="23"/>
      <c r="J40" s="23"/>
      <c r="K40" s="24"/>
      <c r="L40" s="23"/>
    </row>
    <row r="41" spans="2:12" x14ac:dyDescent="0.25">
      <c r="B41" s="41" t="s">
        <v>152</v>
      </c>
      <c r="C41" s="342">
        <f>AVERAGE(C9,C22,C32)</f>
        <v>2.4289088545978801E-2</v>
      </c>
      <c r="D41" s="339">
        <f t="shared" ref="D41:K41" si="42">AVERAGE(D9,D22,D32)</f>
        <v>2.7430459037622253E-2</v>
      </c>
      <c r="E41" s="339">
        <f t="shared" si="42"/>
        <v>2.7338422081867004E-2</v>
      </c>
      <c r="F41" s="339">
        <f t="shared" si="42"/>
        <v>2.6199267481244962E-2</v>
      </c>
      <c r="G41" s="339">
        <f t="shared" si="42"/>
        <v>2.7047917893533651E-2</v>
      </c>
      <c r="H41" s="339">
        <f t="shared" si="42"/>
        <v>2.964850028779847E-2</v>
      </c>
      <c r="I41" s="339">
        <f t="shared" si="42"/>
        <v>2.6311266389682588E-2</v>
      </c>
      <c r="J41" s="339">
        <f t="shared" si="42"/>
        <v>2.8800953403144869E-2</v>
      </c>
      <c r="K41" s="343">
        <f t="shared" si="42"/>
        <v>3.074509551994235E-2</v>
      </c>
      <c r="L41" s="352"/>
    </row>
    <row r="42" spans="2:12" ht="15.75" thickBot="1" x14ac:dyDescent="0.3">
      <c r="B42" s="40" t="s">
        <v>153</v>
      </c>
      <c r="C42" s="344">
        <f>AVERAGE(C9,C22)</f>
        <v>3.3030006045885706E-2</v>
      </c>
      <c r="D42" s="340">
        <f t="shared" ref="D42:K42" si="43">AVERAGE(D9,D22)</f>
        <v>3.6679598329024829E-2</v>
      </c>
      <c r="E42" s="340">
        <f t="shared" si="43"/>
        <v>3.8149704471370345E-2</v>
      </c>
      <c r="F42" s="340">
        <f t="shared" si="43"/>
        <v>3.5932792386009035E-2</v>
      </c>
      <c r="G42" s="340">
        <f t="shared" si="43"/>
        <v>3.6731515244141741E-2</v>
      </c>
      <c r="H42" s="340">
        <f t="shared" si="43"/>
        <v>3.4971037367849421E-2</v>
      </c>
      <c r="I42" s="340">
        <f t="shared" si="43"/>
        <v>3.6726959816802456E-2</v>
      </c>
      <c r="J42" s="340">
        <f t="shared" si="43"/>
        <v>3.9282101796067379E-2</v>
      </c>
      <c r="K42" s="345">
        <f t="shared" si="43"/>
        <v>3.6680840478768476E-2</v>
      </c>
      <c r="L42" s="352"/>
    </row>
    <row r="46" spans="2:12" ht="15.75" thickBot="1" x14ac:dyDescent="0.3">
      <c r="B46" s="430" t="s">
        <v>149</v>
      </c>
      <c r="C46" s="430"/>
      <c r="D46" s="430"/>
      <c r="E46" s="430"/>
      <c r="F46" s="430"/>
      <c r="G46" s="430"/>
      <c r="H46" s="430"/>
      <c r="I46" s="430"/>
      <c r="J46" s="430"/>
      <c r="K46" s="430"/>
      <c r="L46" s="350"/>
    </row>
    <row r="47" spans="2:12" ht="15.75" thickBot="1" x14ac:dyDescent="0.3">
      <c r="B47" s="41"/>
      <c r="C47" s="341" t="s">
        <v>105</v>
      </c>
      <c r="D47" s="337" t="s">
        <v>106</v>
      </c>
      <c r="E47" s="337" t="s">
        <v>107</v>
      </c>
      <c r="F47" s="337" t="s">
        <v>108</v>
      </c>
      <c r="G47" s="337" t="s">
        <v>110</v>
      </c>
      <c r="H47" s="337" t="s">
        <v>109</v>
      </c>
      <c r="I47" s="337" t="s">
        <v>111</v>
      </c>
      <c r="J47" s="337" t="s">
        <v>147</v>
      </c>
      <c r="K47" s="338" t="s">
        <v>148</v>
      </c>
      <c r="L47" s="98"/>
    </row>
    <row r="48" spans="2:12" ht="15.75" thickBot="1" x14ac:dyDescent="0.3">
      <c r="B48" s="41" t="s">
        <v>154</v>
      </c>
      <c r="C48" s="243">
        <f>AVERAGE(C5,C6,C18,C19,C29)</f>
        <v>6.0899894431977133</v>
      </c>
      <c r="D48" s="243">
        <f t="shared" ref="D48:K48" si="44">AVERAGE(D5,D6,D18,D19,D29)</f>
        <v>4.2567151854314327</v>
      </c>
      <c r="E48" s="243">
        <f t="shared" si="44"/>
        <v>4.1416480247185614</v>
      </c>
      <c r="F48" s="243">
        <f t="shared" si="44"/>
        <v>4.0007740731358359</v>
      </c>
      <c r="G48" s="243">
        <f t="shared" si="44"/>
        <v>4.3031528595224859</v>
      </c>
      <c r="H48" s="243">
        <f t="shared" si="44"/>
        <v>4.2213606473852154</v>
      </c>
      <c r="I48" s="243">
        <f t="shared" si="44"/>
        <v>4.2281111481245954</v>
      </c>
      <c r="J48" s="243">
        <f t="shared" si="44"/>
        <v>4.1942719418143541</v>
      </c>
      <c r="K48" s="346">
        <f t="shared" si="44"/>
        <v>20.069048263939905</v>
      </c>
      <c r="L48" s="96"/>
    </row>
    <row r="49" spans="2:12" ht="15.75" thickBot="1" x14ac:dyDescent="0.3">
      <c r="B49" s="42" t="s">
        <v>155</v>
      </c>
      <c r="C49" s="274">
        <f>AVERAGE(C9,C10,C22,C23,C32)</f>
        <v>2.2483903105946518E-2</v>
      </c>
      <c r="D49" s="274">
        <f t="shared" ref="D49:K49" si="45">AVERAGE(D9,D10,D22,D23,D32)</f>
        <v>2.3853268720956586E-2</v>
      </c>
      <c r="E49" s="274">
        <f t="shared" si="45"/>
        <v>2.4012998843522745E-2</v>
      </c>
      <c r="F49" s="274">
        <f t="shared" si="45"/>
        <v>2.2929586703563567E-2</v>
      </c>
      <c r="G49" s="274">
        <f t="shared" si="45"/>
        <v>2.3887674208295351E-2</v>
      </c>
      <c r="H49" s="274">
        <f t="shared" si="45"/>
        <v>2.5095769882014136E-2</v>
      </c>
      <c r="I49" s="274">
        <f t="shared" si="45"/>
        <v>2.3478441441391711E-2</v>
      </c>
      <c r="J49" s="274">
        <f t="shared" si="45"/>
        <v>2.6206923835343499E-2</v>
      </c>
      <c r="K49" s="346">
        <f t="shared" si="45"/>
        <v>2.7677829537489273E-2</v>
      </c>
      <c r="L49" s="96"/>
    </row>
  </sheetData>
  <mergeCells count="5">
    <mergeCell ref="B27:K27"/>
    <mergeCell ref="B3:K3"/>
    <mergeCell ref="B16:K16"/>
    <mergeCell ref="B36:K36"/>
    <mergeCell ref="B46:K46"/>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97"/>
  <sheetViews>
    <sheetView topLeftCell="X65" zoomScale="84" zoomScaleNormal="84" workbookViewId="0">
      <selection activeCell="AE76" sqref="AE76:AE85"/>
    </sheetView>
  </sheetViews>
  <sheetFormatPr defaultRowHeight="15" x14ac:dyDescent="0.25"/>
  <cols>
    <col min="1" max="1" width="20.140625" customWidth="1"/>
    <col min="16" max="18" width="9.140625" customWidth="1"/>
    <col min="27" max="35" width="9.85546875" bestFit="1" customWidth="1"/>
    <col min="36" max="36" width="10.85546875" bestFit="1" customWidth="1"/>
    <col min="37" max="37" width="13.42578125" customWidth="1"/>
  </cols>
  <sheetData>
    <row r="1" spans="1:35" ht="15.75" thickBot="1" x14ac:dyDescent="0.3">
      <c r="A1" s="428" t="s">
        <v>59</v>
      </c>
      <c r="B1" s="428"/>
      <c r="C1" s="428"/>
      <c r="D1" s="428"/>
      <c r="E1" s="428"/>
      <c r="F1" s="428"/>
      <c r="G1" s="428"/>
      <c r="H1" s="428"/>
      <c r="I1" s="428"/>
      <c r="J1" s="428"/>
      <c r="K1" s="428"/>
    </row>
    <row r="2" spans="1:35" ht="15.75" thickBot="1" x14ac:dyDescent="0.3">
      <c r="A2" s="41"/>
      <c r="B2" s="403" t="s">
        <v>87</v>
      </c>
      <c r="C2" s="404"/>
      <c r="D2" s="404"/>
      <c r="E2" s="404"/>
      <c r="F2" s="404"/>
      <c r="G2" s="404"/>
      <c r="H2" s="405"/>
      <c r="I2" s="111" t="s">
        <v>30</v>
      </c>
      <c r="J2" s="99"/>
      <c r="K2" s="100"/>
      <c r="U2" t="s">
        <v>112</v>
      </c>
    </row>
    <row r="3" spans="1:35" ht="15.75" thickBot="1" x14ac:dyDescent="0.3">
      <c r="A3" s="42"/>
      <c r="B3" s="144" t="s">
        <v>23</v>
      </c>
      <c r="C3" s="146" t="s">
        <v>24</v>
      </c>
      <c r="D3" s="147" t="s">
        <v>25</v>
      </c>
      <c r="E3" s="148" t="s">
        <v>26</v>
      </c>
      <c r="F3" s="149" t="s">
        <v>27</v>
      </c>
      <c r="G3" s="150" t="s">
        <v>62</v>
      </c>
      <c r="H3" s="145" t="s">
        <v>63</v>
      </c>
      <c r="I3" s="28"/>
      <c r="J3" s="107"/>
      <c r="K3" s="106"/>
    </row>
    <row r="4" spans="1:35" ht="15.75" thickBot="1" x14ac:dyDescent="0.3">
      <c r="A4" s="22" t="s">
        <v>13</v>
      </c>
      <c r="B4" s="108">
        <v>1</v>
      </c>
      <c r="C4" s="109">
        <v>1</v>
      </c>
      <c r="D4" s="109">
        <v>0</v>
      </c>
      <c r="E4" s="110">
        <v>0</v>
      </c>
      <c r="F4" s="109">
        <v>0</v>
      </c>
      <c r="G4" s="20">
        <v>0</v>
      </c>
      <c r="H4" s="109">
        <v>2</v>
      </c>
      <c r="I4" s="108">
        <f t="shared" ref="I4:I10" si="0">SUM(B4:H4)</f>
        <v>4</v>
      </c>
      <c r="J4" s="20"/>
      <c r="K4" s="115"/>
      <c r="L4" s="159">
        <v>11368</v>
      </c>
      <c r="M4" s="158">
        <v>7466875</v>
      </c>
      <c r="N4" s="158">
        <v>11977991</v>
      </c>
      <c r="O4" s="160">
        <v>14408012</v>
      </c>
      <c r="R4" s="42"/>
      <c r="S4" s="144" t="s">
        <v>23</v>
      </c>
      <c r="T4" s="146" t="s">
        <v>24</v>
      </c>
      <c r="U4" s="147" t="s">
        <v>25</v>
      </c>
      <c r="V4" s="148" t="s">
        <v>26</v>
      </c>
      <c r="W4" s="149" t="s">
        <v>27</v>
      </c>
      <c r="X4" s="150" t="s">
        <v>62</v>
      </c>
      <c r="Y4" s="145" t="s">
        <v>63</v>
      </c>
    </row>
    <row r="5" spans="1:35" ht="15.75" thickBot="1" x14ac:dyDescent="0.3">
      <c r="A5" s="22" t="s">
        <v>15</v>
      </c>
      <c r="B5" s="32">
        <v>0</v>
      </c>
      <c r="C5" s="34">
        <v>1</v>
      </c>
      <c r="D5" s="34">
        <v>0</v>
      </c>
      <c r="E5" s="68">
        <v>2</v>
      </c>
      <c r="F5" s="68">
        <v>0</v>
      </c>
      <c r="G5" s="68">
        <v>1</v>
      </c>
      <c r="H5" s="68">
        <v>0</v>
      </c>
      <c r="I5" s="32">
        <f t="shared" si="0"/>
        <v>4</v>
      </c>
      <c r="J5" s="37"/>
      <c r="K5" s="24"/>
      <c r="L5" s="164">
        <v>20065</v>
      </c>
      <c r="M5" s="164">
        <v>5546421</v>
      </c>
      <c r="N5" s="160">
        <v>7958118</v>
      </c>
      <c r="O5" s="165">
        <v>15104743</v>
      </c>
      <c r="R5" s="22" t="s">
        <v>13</v>
      </c>
      <c r="S5" s="108">
        <f t="shared" ref="S5:Y11" si="1">B4+B17+B30</f>
        <v>3</v>
      </c>
      <c r="T5" s="108">
        <f t="shared" si="1"/>
        <v>2</v>
      </c>
      <c r="U5" s="108">
        <f t="shared" si="1"/>
        <v>0</v>
      </c>
      <c r="V5" s="108">
        <f t="shared" si="1"/>
        <v>1</v>
      </c>
      <c r="W5" s="108">
        <f t="shared" si="1"/>
        <v>0</v>
      </c>
      <c r="X5" s="108">
        <f t="shared" si="1"/>
        <v>1</v>
      </c>
      <c r="Y5" s="108">
        <f t="shared" si="1"/>
        <v>3</v>
      </c>
      <c r="AA5" t="s">
        <v>113</v>
      </c>
    </row>
    <row r="6" spans="1:35" ht="15.75" thickBot="1" x14ac:dyDescent="0.3">
      <c r="A6" s="22" t="s">
        <v>6</v>
      </c>
      <c r="B6" s="32">
        <v>1</v>
      </c>
      <c r="C6" s="34">
        <v>0</v>
      </c>
      <c r="D6" s="34">
        <v>0</v>
      </c>
      <c r="E6" s="68">
        <v>1</v>
      </c>
      <c r="F6" s="34">
        <v>1</v>
      </c>
      <c r="G6" s="68">
        <v>0</v>
      </c>
      <c r="H6" s="68">
        <v>1</v>
      </c>
      <c r="I6" s="32">
        <f t="shared" si="0"/>
        <v>4</v>
      </c>
      <c r="J6" s="30"/>
      <c r="K6" s="36"/>
      <c r="L6" s="158">
        <v>20823</v>
      </c>
      <c r="M6" s="163">
        <v>6246050</v>
      </c>
      <c r="N6" s="161">
        <v>7892823</v>
      </c>
      <c r="O6" s="164">
        <v>14707791</v>
      </c>
      <c r="R6" s="22" t="s">
        <v>15</v>
      </c>
      <c r="S6" s="108">
        <f t="shared" si="1"/>
        <v>0</v>
      </c>
      <c r="T6" s="108">
        <f t="shared" si="1"/>
        <v>2</v>
      </c>
      <c r="U6" s="108">
        <f t="shared" si="1"/>
        <v>2</v>
      </c>
      <c r="V6" s="108">
        <f t="shared" si="1"/>
        <v>2</v>
      </c>
      <c r="W6" s="108">
        <f t="shared" si="1"/>
        <v>1</v>
      </c>
      <c r="X6" s="108">
        <f t="shared" si="1"/>
        <v>3</v>
      </c>
      <c r="Y6" s="108">
        <f t="shared" si="1"/>
        <v>0</v>
      </c>
    </row>
    <row r="7" spans="1:35" ht="15.75" thickBot="1" x14ac:dyDescent="0.3">
      <c r="A7" s="22" t="s">
        <v>56</v>
      </c>
      <c r="B7" s="32">
        <v>1</v>
      </c>
      <c r="C7" s="68">
        <v>1</v>
      </c>
      <c r="D7" s="68">
        <v>0</v>
      </c>
      <c r="E7" s="68">
        <v>1</v>
      </c>
      <c r="F7" s="68">
        <v>1</v>
      </c>
      <c r="G7" s="68">
        <v>0</v>
      </c>
      <c r="H7" s="68">
        <v>0</v>
      </c>
      <c r="I7" s="32">
        <f t="shared" si="0"/>
        <v>4</v>
      </c>
      <c r="J7" s="23"/>
      <c r="K7" s="24"/>
      <c r="L7" s="160">
        <v>17129</v>
      </c>
      <c r="M7" s="159">
        <v>3367801</v>
      </c>
      <c r="N7" s="164">
        <v>8287456</v>
      </c>
      <c r="O7" s="163">
        <v>14866288</v>
      </c>
      <c r="R7" s="22" t="s">
        <v>6</v>
      </c>
      <c r="S7" s="108">
        <f t="shared" si="1"/>
        <v>1</v>
      </c>
      <c r="T7" s="108">
        <f t="shared" si="1"/>
        <v>0</v>
      </c>
      <c r="U7" s="108">
        <f t="shared" si="1"/>
        <v>2</v>
      </c>
      <c r="V7" s="108">
        <f t="shared" si="1"/>
        <v>2</v>
      </c>
      <c r="W7" s="108">
        <f t="shared" si="1"/>
        <v>3</v>
      </c>
      <c r="X7" s="108">
        <f t="shared" si="1"/>
        <v>1</v>
      </c>
      <c r="Y7" s="108">
        <f t="shared" si="1"/>
        <v>1</v>
      </c>
    </row>
    <row r="8" spans="1:35" ht="15.75" thickBot="1" x14ac:dyDescent="0.3">
      <c r="A8" s="22" t="s">
        <v>104</v>
      </c>
      <c r="B8" s="32">
        <v>0</v>
      </c>
      <c r="C8" s="68">
        <v>0</v>
      </c>
      <c r="D8" s="68">
        <v>3</v>
      </c>
      <c r="E8" s="68">
        <v>0</v>
      </c>
      <c r="F8" s="68">
        <v>1</v>
      </c>
      <c r="G8" s="68">
        <v>0</v>
      </c>
      <c r="H8" s="68">
        <v>0</v>
      </c>
      <c r="I8" s="32">
        <f t="shared" si="0"/>
        <v>4</v>
      </c>
      <c r="J8" s="23"/>
      <c r="K8" s="24"/>
      <c r="L8" s="162">
        <v>20055</v>
      </c>
      <c r="M8" s="162">
        <f>(Q25*180000)+P25</f>
        <v>5531497</v>
      </c>
      <c r="N8" s="163">
        <f>(S25*180000)+R25</f>
        <v>8596634</v>
      </c>
      <c r="O8" s="162">
        <f>(U25*180000)+T25</f>
        <v>14591719</v>
      </c>
      <c r="R8" s="22" t="s">
        <v>56</v>
      </c>
      <c r="S8" s="108">
        <f t="shared" si="1"/>
        <v>3</v>
      </c>
      <c r="T8" s="108">
        <f t="shared" si="1"/>
        <v>1</v>
      </c>
      <c r="U8" s="108">
        <f t="shared" si="1"/>
        <v>0</v>
      </c>
      <c r="V8" s="108">
        <f t="shared" si="1"/>
        <v>1</v>
      </c>
      <c r="W8" s="108">
        <f t="shared" si="1"/>
        <v>3</v>
      </c>
      <c r="X8" s="108">
        <f t="shared" si="1"/>
        <v>0</v>
      </c>
      <c r="Y8" s="108">
        <f t="shared" si="1"/>
        <v>2</v>
      </c>
    </row>
    <row r="9" spans="1:35" ht="15.75" thickBot="1" x14ac:dyDescent="0.3">
      <c r="A9" s="22" t="s">
        <v>17</v>
      </c>
      <c r="B9" s="22">
        <v>0</v>
      </c>
      <c r="C9" s="68">
        <v>0</v>
      </c>
      <c r="D9" s="68">
        <v>0</v>
      </c>
      <c r="E9" s="68">
        <v>0</v>
      </c>
      <c r="F9" s="68">
        <v>0</v>
      </c>
      <c r="G9" s="68">
        <v>3</v>
      </c>
      <c r="H9" s="68">
        <v>1</v>
      </c>
      <c r="I9" s="32">
        <f t="shared" si="0"/>
        <v>4</v>
      </c>
      <c r="J9" s="23"/>
      <c r="K9" s="24"/>
      <c r="L9" s="165">
        <v>20413</v>
      </c>
      <c r="M9" s="165">
        <v>6597553</v>
      </c>
      <c r="N9" s="165">
        <v>8686275</v>
      </c>
      <c r="O9" s="158">
        <v>15178582</v>
      </c>
      <c r="R9" s="22" t="s">
        <v>104</v>
      </c>
      <c r="S9" s="108">
        <f t="shared" si="1"/>
        <v>1</v>
      </c>
      <c r="T9" s="108">
        <f t="shared" si="1"/>
        <v>3</v>
      </c>
      <c r="U9" s="108">
        <f t="shared" si="1"/>
        <v>4</v>
      </c>
      <c r="V9" s="108">
        <f t="shared" si="1"/>
        <v>1</v>
      </c>
      <c r="W9" s="108">
        <f t="shared" si="1"/>
        <v>1</v>
      </c>
      <c r="X9" s="108">
        <f t="shared" si="1"/>
        <v>0</v>
      </c>
      <c r="Y9" s="108">
        <f t="shared" si="1"/>
        <v>0</v>
      </c>
    </row>
    <row r="10" spans="1:35" ht="15.75" thickBot="1" x14ac:dyDescent="0.3">
      <c r="A10" s="25" t="s">
        <v>53</v>
      </c>
      <c r="B10" s="25">
        <v>1</v>
      </c>
      <c r="C10" s="26">
        <v>1</v>
      </c>
      <c r="D10" s="26">
        <v>1</v>
      </c>
      <c r="E10" s="26">
        <v>0</v>
      </c>
      <c r="F10" s="26">
        <v>1</v>
      </c>
      <c r="G10" s="26">
        <v>0</v>
      </c>
      <c r="H10" s="26">
        <v>0</v>
      </c>
      <c r="I10" s="33">
        <f t="shared" si="0"/>
        <v>4</v>
      </c>
      <c r="J10" s="26"/>
      <c r="K10" s="27"/>
      <c r="L10" s="163">
        <v>20133</v>
      </c>
      <c r="M10" s="160">
        <f>(Q26*180000)+P26</f>
        <v>4782325</v>
      </c>
      <c r="N10" s="162">
        <f>(S26*180000)+R26</f>
        <v>7958502</v>
      </c>
      <c r="O10" s="159">
        <f>(U26*180000)+T26</f>
        <v>14201633</v>
      </c>
      <c r="R10" s="22" t="s">
        <v>17</v>
      </c>
      <c r="S10" s="108">
        <f t="shared" si="1"/>
        <v>1</v>
      </c>
      <c r="T10" s="108">
        <f t="shared" si="1"/>
        <v>1</v>
      </c>
      <c r="U10" s="108">
        <f t="shared" si="1"/>
        <v>0</v>
      </c>
      <c r="V10" s="108">
        <f t="shared" si="1"/>
        <v>1</v>
      </c>
      <c r="W10" s="108">
        <f t="shared" si="1"/>
        <v>0</v>
      </c>
      <c r="X10" s="108">
        <f t="shared" si="1"/>
        <v>4</v>
      </c>
      <c r="Y10" s="108">
        <f t="shared" si="1"/>
        <v>3</v>
      </c>
    </row>
    <row r="11" spans="1:35" ht="15.75" thickBot="1" x14ac:dyDescent="0.3">
      <c r="B11">
        <f>SUM(B4:B10)</f>
        <v>4</v>
      </c>
      <c r="C11">
        <f t="shared" ref="C11:H11" si="2">SUM(C4:C10)</f>
        <v>4</v>
      </c>
      <c r="D11">
        <f t="shared" si="2"/>
        <v>4</v>
      </c>
      <c r="E11">
        <f t="shared" si="2"/>
        <v>4</v>
      </c>
      <c r="F11">
        <f t="shared" si="2"/>
        <v>4</v>
      </c>
      <c r="G11">
        <f t="shared" si="2"/>
        <v>4</v>
      </c>
      <c r="H11">
        <f t="shared" si="2"/>
        <v>4</v>
      </c>
      <c r="R11" s="25" t="s">
        <v>53</v>
      </c>
      <c r="S11" s="108">
        <f t="shared" si="1"/>
        <v>1</v>
      </c>
      <c r="T11" s="108">
        <f t="shared" si="1"/>
        <v>1</v>
      </c>
      <c r="U11" s="108">
        <f t="shared" si="1"/>
        <v>2</v>
      </c>
      <c r="V11" s="108">
        <f t="shared" si="1"/>
        <v>2</v>
      </c>
      <c r="W11" s="108">
        <f t="shared" si="1"/>
        <v>2</v>
      </c>
      <c r="X11" s="108">
        <f t="shared" si="1"/>
        <v>1</v>
      </c>
      <c r="Y11" s="108">
        <f t="shared" si="1"/>
        <v>1</v>
      </c>
    </row>
    <row r="12" spans="1:35" ht="15.75" thickBot="1" x14ac:dyDescent="0.3">
      <c r="AB12" s="144" t="s">
        <v>23</v>
      </c>
      <c r="AC12" s="146" t="s">
        <v>24</v>
      </c>
      <c r="AD12" s="147" t="s">
        <v>25</v>
      </c>
      <c r="AE12" s="148" t="s">
        <v>26</v>
      </c>
      <c r="AF12" s="149" t="s">
        <v>27</v>
      </c>
      <c r="AG12" s="150" t="s">
        <v>62</v>
      </c>
      <c r="AH12" s="145" t="s">
        <v>63</v>
      </c>
      <c r="AI12" t="s">
        <v>92</v>
      </c>
    </row>
    <row r="13" spans="1:35" ht="15.75" thickBot="1" x14ac:dyDescent="0.3">
      <c r="S13">
        <f>S5*1</f>
        <v>3</v>
      </c>
      <c r="T13">
        <f>T5*0.83</f>
        <v>1.66</v>
      </c>
      <c r="U13">
        <f>U5*0.66</f>
        <v>0</v>
      </c>
      <c r="V13">
        <f>V5*0.5</f>
        <v>0.5</v>
      </c>
      <c r="W13">
        <f>W5*0.33</f>
        <v>0</v>
      </c>
      <c r="X13">
        <f>X5*0.17</f>
        <v>0.17</v>
      </c>
      <c r="Y13">
        <v>0</v>
      </c>
      <c r="Z13">
        <f t="shared" ref="Z13:Z19" si="3">SUM(S13:Y13)</f>
        <v>5.33</v>
      </c>
      <c r="AA13" s="28" t="s">
        <v>105</v>
      </c>
      <c r="AB13" s="254">
        <f t="shared" ref="AB13:AH13" si="4">S13/10</f>
        <v>0.3</v>
      </c>
      <c r="AC13" s="254">
        <f t="shared" si="4"/>
        <v>0.16599999999999998</v>
      </c>
      <c r="AD13" s="254">
        <f t="shared" si="4"/>
        <v>0</v>
      </c>
      <c r="AE13" s="254">
        <f t="shared" si="4"/>
        <v>0.05</v>
      </c>
      <c r="AF13" s="254">
        <f t="shared" si="4"/>
        <v>0</v>
      </c>
      <c r="AG13" s="254">
        <f t="shared" si="4"/>
        <v>1.7000000000000001E-2</v>
      </c>
      <c r="AH13" s="254">
        <f t="shared" si="4"/>
        <v>0</v>
      </c>
      <c r="AI13" s="254">
        <f>SUM(AB13:AH13)</f>
        <v>0.53300000000000003</v>
      </c>
    </row>
    <row r="14" spans="1:35" ht="15.75" thickBot="1" x14ac:dyDescent="0.3">
      <c r="A14" s="422" t="s">
        <v>60</v>
      </c>
      <c r="B14" s="422"/>
      <c r="C14" s="422"/>
      <c r="D14" s="422"/>
      <c r="E14" s="422"/>
      <c r="F14" s="422"/>
      <c r="G14" s="422"/>
      <c r="H14" s="422"/>
      <c r="I14" s="422"/>
      <c r="J14" s="422"/>
      <c r="K14" s="422"/>
      <c r="S14">
        <f t="shared" ref="S14:S19" si="5">S6*1</f>
        <v>0</v>
      </c>
      <c r="T14">
        <f t="shared" ref="T14:T19" si="6">T6*0.83</f>
        <v>1.66</v>
      </c>
      <c r="U14">
        <f t="shared" ref="U14:U19" si="7">U6*0.66</f>
        <v>1.32</v>
      </c>
      <c r="V14">
        <f t="shared" ref="V14:V19" si="8">V6*0.5</f>
        <v>1</v>
      </c>
      <c r="W14">
        <f t="shared" ref="W14:W19" si="9">W6*0.33</f>
        <v>0.33</v>
      </c>
      <c r="X14">
        <f t="shared" ref="X14:X19" si="10">X6*0.17</f>
        <v>0.51</v>
      </c>
      <c r="Y14">
        <v>0</v>
      </c>
      <c r="Z14">
        <f t="shared" si="3"/>
        <v>4.8199999999999994</v>
      </c>
      <c r="AA14" s="46" t="s">
        <v>106</v>
      </c>
      <c r="AB14" s="254">
        <f t="shared" ref="AB14:AE19" si="11">S14/10</f>
        <v>0</v>
      </c>
      <c r="AC14" s="254">
        <f t="shared" si="11"/>
        <v>0.16599999999999998</v>
      </c>
      <c r="AD14" s="254">
        <f t="shared" si="11"/>
        <v>0.13200000000000001</v>
      </c>
      <c r="AE14" s="254">
        <f t="shared" si="11"/>
        <v>0.1</v>
      </c>
      <c r="AF14" s="254">
        <f t="shared" ref="AF14:AF19" si="12">W14/10</f>
        <v>3.3000000000000002E-2</v>
      </c>
      <c r="AG14" s="254">
        <f t="shared" ref="AG14:AH19" si="13">X14/10</f>
        <v>5.1000000000000004E-2</v>
      </c>
      <c r="AH14" s="254">
        <f t="shared" si="13"/>
        <v>0</v>
      </c>
      <c r="AI14" s="254">
        <f t="shared" ref="AI14:AI19" si="14">SUM(AB14:AH14)</f>
        <v>0.48200000000000004</v>
      </c>
    </row>
    <row r="15" spans="1:35" ht="15.75" thickBot="1" x14ac:dyDescent="0.3">
      <c r="A15" s="41"/>
      <c r="B15" s="404" t="s">
        <v>87</v>
      </c>
      <c r="C15" s="404"/>
      <c r="D15" s="404"/>
      <c r="E15" s="404"/>
      <c r="F15" s="404"/>
      <c r="G15" s="404"/>
      <c r="H15" s="404"/>
      <c r="I15" s="111" t="s">
        <v>30</v>
      </c>
      <c r="J15" s="99"/>
      <c r="K15" s="100"/>
      <c r="S15">
        <f t="shared" si="5"/>
        <v>1</v>
      </c>
      <c r="T15">
        <f t="shared" si="6"/>
        <v>0</v>
      </c>
      <c r="U15">
        <f t="shared" si="7"/>
        <v>1.32</v>
      </c>
      <c r="V15">
        <f t="shared" si="8"/>
        <v>1</v>
      </c>
      <c r="W15">
        <f t="shared" si="9"/>
        <v>0.99</v>
      </c>
      <c r="X15">
        <f t="shared" si="10"/>
        <v>0.17</v>
      </c>
      <c r="Y15">
        <v>0</v>
      </c>
      <c r="Z15">
        <f t="shared" si="3"/>
        <v>4.4800000000000004</v>
      </c>
      <c r="AA15" s="46" t="s">
        <v>107</v>
      </c>
      <c r="AB15" s="254">
        <f t="shared" si="11"/>
        <v>0.1</v>
      </c>
      <c r="AC15" s="254">
        <f t="shared" si="11"/>
        <v>0</v>
      </c>
      <c r="AD15" s="254">
        <f t="shared" si="11"/>
        <v>0.13200000000000001</v>
      </c>
      <c r="AE15" s="254">
        <f t="shared" si="11"/>
        <v>0.1</v>
      </c>
      <c r="AF15" s="254">
        <f t="shared" si="12"/>
        <v>9.9000000000000005E-2</v>
      </c>
      <c r="AG15" s="254">
        <f t="shared" si="13"/>
        <v>1.7000000000000001E-2</v>
      </c>
      <c r="AH15" s="254">
        <f t="shared" si="13"/>
        <v>0</v>
      </c>
      <c r="AI15" s="254">
        <f t="shared" si="14"/>
        <v>0.44800000000000006</v>
      </c>
    </row>
    <row r="16" spans="1:35" ht="15.75" thickBot="1" x14ac:dyDescent="0.3">
      <c r="A16" s="42"/>
      <c r="B16" s="144" t="s">
        <v>23</v>
      </c>
      <c r="C16" s="146" t="s">
        <v>24</v>
      </c>
      <c r="D16" s="147" t="s">
        <v>25</v>
      </c>
      <c r="E16" s="148" t="s">
        <v>26</v>
      </c>
      <c r="F16" s="149" t="s">
        <v>27</v>
      </c>
      <c r="G16" s="150" t="s">
        <v>62</v>
      </c>
      <c r="H16" s="145" t="s">
        <v>63</v>
      </c>
      <c r="I16" s="28"/>
      <c r="J16" s="107"/>
      <c r="K16" s="106"/>
      <c r="S16">
        <f t="shared" si="5"/>
        <v>3</v>
      </c>
      <c r="T16">
        <f t="shared" si="6"/>
        <v>0.83</v>
      </c>
      <c r="U16">
        <f t="shared" si="7"/>
        <v>0</v>
      </c>
      <c r="V16">
        <f t="shared" si="8"/>
        <v>0.5</v>
      </c>
      <c r="W16">
        <f t="shared" si="9"/>
        <v>0.99</v>
      </c>
      <c r="X16">
        <f t="shared" si="10"/>
        <v>0</v>
      </c>
      <c r="Y16">
        <v>0</v>
      </c>
      <c r="Z16">
        <f t="shared" si="3"/>
        <v>5.32</v>
      </c>
      <c r="AA16" s="46" t="s">
        <v>108</v>
      </c>
      <c r="AB16" s="254">
        <f t="shared" si="11"/>
        <v>0.3</v>
      </c>
      <c r="AC16" s="254">
        <f t="shared" si="11"/>
        <v>8.299999999999999E-2</v>
      </c>
      <c r="AD16" s="254">
        <f t="shared" si="11"/>
        <v>0</v>
      </c>
      <c r="AE16" s="254">
        <f t="shared" si="11"/>
        <v>0.05</v>
      </c>
      <c r="AF16" s="254">
        <f t="shared" si="12"/>
        <v>9.9000000000000005E-2</v>
      </c>
      <c r="AG16" s="254">
        <f t="shared" si="13"/>
        <v>0</v>
      </c>
      <c r="AH16" s="254">
        <f t="shared" si="13"/>
        <v>0</v>
      </c>
      <c r="AI16" s="254">
        <f t="shared" si="14"/>
        <v>0.53200000000000003</v>
      </c>
    </row>
    <row r="17" spans="1:35" ht="15.75" thickBot="1" x14ac:dyDescent="0.3">
      <c r="A17" s="22" t="s">
        <v>13</v>
      </c>
      <c r="B17" s="108">
        <v>2</v>
      </c>
      <c r="C17" s="109">
        <v>1</v>
      </c>
      <c r="D17" s="109">
        <v>0</v>
      </c>
      <c r="E17" s="110">
        <v>0</v>
      </c>
      <c r="F17" s="109">
        <v>0</v>
      </c>
      <c r="G17" s="20">
        <v>1</v>
      </c>
      <c r="H17" s="109">
        <v>0</v>
      </c>
      <c r="I17" s="108">
        <f t="shared" ref="I17:I23" si="15">SUM(B17:H17)</f>
        <v>4</v>
      </c>
      <c r="J17" s="20"/>
      <c r="K17" s="115"/>
      <c r="S17">
        <f t="shared" si="5"/>
        <v>1</v>
      </c>
      <c r="T17">
        <f t="shared" si="6"/>
        <v>2.4899999999999998</v>
      </c>
      <c r="U17">
        <f t="shared" si="7"/>
        <v>2.64</v>
      </c>
      <c r="V17">
        <f t="shared" si="8"/>
        <v>0.5</v>
      </c>
      <c r="W17">
        <f t="shared" si="9"/>
        <v>0.33</v>
      </c>
      <c r="X17">
        <f t="shared" si="10"/>
        <v>0</v>
      </c>
      <c r="Y17">
        <v>0</v>
      </c>
      <c r="Z17">
        <f t="shared" si="3"/>
        <v>6.96</v>
      </c>
      <c r="AA17" s="46" t="s">
        <v>110</v>
      </c>
      <c r="AB17" s="254">
        <f t="shared" si="11"/>
        <v>0.1</v>
      </c>
      <c r="AC17" s="254">
        <f t="shared" si="11"/>
        <v>0.24899999999999997</v>
      </c>
      <c r="AD17" s="254">
        <f t="shared" si="11"/>
        <v>0.26400000000000001</v>
      </c>
      <c r="AE17" s="254">
        <f t="shared" si="11"/>
        <v>0.05</v>
      </c>
      <c r="AF17" s="254">
        <f t="shared" si="12"/>
        <v>3.3000000000000002E-2</v>
      </c>
      <c r="AG17" s="254">
        <f t="shared" si="13"/>
        <v>0</v>
      </c>
      <c r="AH17" s="254">
        <f t="shared" si="13"/>
        <v>0</v>
      </c>
      <c r="AI17" s="254">
        <f t="shared" si="14"/>
        <v>0.69600000000000006</v>
      </c>
    </row>
    <row r="18" spans="1:35" ht="15.75" thickBot="1" x14ac:dyDescent="0.3">
      <c r="A18" s="22" t="s">
        <v>15</v>
      </c>
      <c r="B18" s="32">
        <v>0</v>
      </c>
      <c r="C18" s="34">
        <v>0</v>
      </c>
      <c r="D18" s="34">
        <v>2</v>
      </c>
      <c r="E18" s="68">
        <v>0</v>
      </c>
      <c r="F18" s="68">
        <v>1</v>
      </c>
      <c r="G18" s="68">
        <v>1</v>
      </c>
      <c r="H18" s="68">
        <v>0</v>
      </c>
      <c r="I18" s="32">
        <f t="shared" si="15"/>
        <v>4</v>
      </c>
      <c r="J18" s="37"/>
      <c r="K18" s="24"/>
      <c r="S18">
        <f t="shared" si="5"/>
        <v>1</v>
      </c>
      <c r="T18">
        <f t="shared" si="6"/>
        <v>0.83</v>
      </c>
      <c r="U18">
        <f t="shared" si="7"/>
        <v>0</v>
      </c>
      <c r="V18">
        <f t="shared" si="8"/>
        <v>0.5</v>
      </c>
      <c r="W18">
        <f t="shared" si="9"/>
        <v>0</v>
      </c>
      <c r="X18">
        <f t="shared" si="10"/>
        <v>0.68</v>
      </c>
      <c r="Y18">
        <v>0</v>
      </c>
      <c r="Z18">
        <f t="shared" si="3"/>
        <v>3.0100000000000002</v>
      </c>
      <c r="AA18" s="46" t="s">
        <v>109</v>
      </c>
      <c r="AB18" s="254">
        <f t="shared" si="11"/>
        <v>0.1</v>
      </c>
      <c r="AC18" s="254">
        <f t="shared" si="11"/>
        <v>8.299999999999999E-2</v>
      </c>
      <c r="AD18" s="254">
        <f t="shared" si="11"/>
        <v>0</v>
      </c>
      <c r="AE18" s="254">
        <f t="shared" si="11"/>
        <v>0.05</v>
      </c>
      <c r="AF18" s="254">
        <f t="shared" si="12"/>
        <v>0</v>
      </c>
      <c r="AG18" s="254">
        <f t="shared" si="13"/>
        <v>6.8000000000000005E-2</v>
      </c>
      <c r="AH18" s="254">
        <f t="shared" si="13"/>
        <v>0</v>
      </c>
      <c r="AI18" s="254">
        <f t="shared" si="14"/>
        <v>0.30099999999999999</v>
      </c>
    </row>
    <row r="19" spans="1:35" ht="15.75" thickBot="1" x14ac:dyDescent="0.3">
      <c r="A19" s="22" t="s">
        <v>6</v>
      </c>
      <c r="B19" s="32">
        <v>0</v>
      </c>
      <c r="C19" s="34">
        <v>0</v>
      </c>
      <c r="D19" s="34">
        <v>2</v>
      </c>
      <c r="E19" s="68">
        <v>1</v>
      </c>
      <c r="F19" s="68">
        <v>1</v>
      </c>
      <c r="G19" s="68">
        <v>0</v>
      </c>
      <c r="H19" s="68">
        <v>0</v>
      </c>
      <c r="I19" s="32">
        <f t="shared" si="15"/>
        <v>4</v>
      </c>
      <c r="J19" s="30"/>
      <c r="K19" s="36"/>
      <c r="S19">
        <f t="shared" si="5"/>
        <v>1</v>
      </c>
      <c r="T19">
        <f t="shared" si="6"/>
        <v>0.83</v>
      </c>
      <c r="U19">
        <f t="shared" si="7"/>
        <v>1.32</v>
      </c>
      <c r="V19">
        <f t="shared" si="8"/>
        <v>1</v>
      </c>
      <c r="W19">
        <f t="shared" si="9"/>
        <v>0.66</v>
      </c>
      <c r="X19">
        <f t="shared" si="10"/>
        <v>0.17</v>
      </c>
      <c r="Y19">
        <v>0</v>
      </c>
      <c r="Z19">
        <f t="shared" si="3"/>
        <v>4.9800000000000004</v>
      </c>
      <c r="AA19" s="47" t="s">
        <v>111</v>
      </c>
      <c r="AB19" s="254">
        <f t="shared" si="11"/>
        <v>0.1</v>
      </c>
      <c r="AC19" s="254">
        <f t="shared" si="11"/>
        <v>8.299999999999999E-2</v>
      </c>
      <c r="AD19" s="254">
        <f t="shared" si="11"/>
        <v>0.13200000000000001</v>
      </c>
      <c r="AE19" s="254">
        <f t="shared" si="11"/>
        <v>0.1</v>
      </c>
      <c r="AF19" s="254">
        <f t="shared" si="12"/>
        <v>6.6000000000000003E-2</v>
      </c>
      <c r="AG19" s="254">
        <f t="shared" si="13"/>
        <v>1.7000000000000001E-2</v>
      </c>
      <c r="AH19" s="254">
        <f t="shared" si="13"/>
        <v>0</v>
      </c>
      <c r="AI19" s="254">
        <f t="shared" si="14"/>
        <v>0.49800000000000005</v>
      </c>
    </row>
    <row r="20" spans="1:35" x14ac:dyDescent="0.25">
      <c r="A20" s="22" t="s">
        <v>56</v>
      </c>
      <c r="B20" s="32">
        <v>1</v>
      </c>
      <c r="C20" s="68">
        <v>0</v>
      </c>
      <c r="D20" s="68">
        <v>0</v>
      </c>
      <c r="E20" s="68">
        <v>0</v>
      </c>
      <c r="F20" s="68">
        <v>1</v>
      </c>
      <c r="G20" s="68">
        <v>0</v>
      </c>
      <c r="H20" s="68">
        <v>2</v>
      </c>
      <c r="I20" s="32">
        <f t="shared" si="15"/>
        <v>4</v>
      </c>
      <c r="J20" s="23"/>
      <c r="K20" s="24"/>
    </row>
    <row r="21" spans="1:35" ht="15.75" thickBot="1" x14ac:dyDescent="0.3">
      <c r="A21" s="22" t="s">
        <v>104</v>
      </c>
      <c r="B21" s="32">
        <v>1</v>
      </c>
      <c r="C21" s="68">
        <v>2</v>
      </c>
      <c r="D21" s="68">
        <v>0</v>
      </c>
      <c r="E21" s="68">
        <v>1</v>
      </c>
      <c r="F21" s="68">
        <v>0</v>
      </c>
      <c r="G21" s="68">
        <v>0</v>
      </c>
      <c r="H21" s="68">
        <v>0</v>
      </c>
      <c r="I21" s="32">
        <f t="shared" si="15"/>
        <v>4</v>
      </c>
      <c r="J21" s="23"/>
      <c r="K21" s="24"/>
    </row>
    <row r="22" spans="1:35" ht="15.75" thickBot="1" x14ac:dyDescent="0.3">
      <c r="A22" s="22" t="s">
        <v>17</v>
      </c>
      <c r="B22" s="22">
        <v>0</v>
      </c>
      <c r="C22" s="68">
        <v>1</v>
      </c>
      <c r="D22" s="68">
        <v>0</v>
      </c>
      <c r="E22" s="68">
        <v>0</v>
      </c>
      <c r="F22" s="68">
        <v>0</v>
      </c>
      <c r="G22" s="68">
        <v>1</v>
      </c>
      <c r="H22" s="68">
        <v>2</v>
      </c>
      <c r="I22" s="32">
        <f t="shared" si="15"/>
        <v>4</v>
      </c>
      <c r="J22" s="23"/>
      <c r="K22" s="24"/>
      <c r="AA22" s="28" t="s">
        <v>105</v>
      </c>
      <c r="AB22">
        <v>5.33</v>
      </c>
      <c r="AD22">
        <f>AB22/10</f>
        <v>0.53300000000000003</v>
      </c>
    </row>
    <row r="23" spans="1:35" ht="15.75" thickBot="1" x14ac:dyDescent="0.3">
      <c r="A23" s="25" t="s">
        <v>53</v>
      </c>
      <c r="B23" s="25">
        <v>0</v>
      </c>
      <c r="C23" s="26">
        <v>0</v>
      </c>
      <c r="D23" s="26">
        <v>0</v>
      </c>
      <c r="E23" s="26">
        <v>2</v>
      </c>
      <c r="F23" s="26">
        <v>1</v>
      </c>
      <c r="G23" s="26">
        <v>1</v>
      </c>
      <c r="H23" s="26">
        <v>0</v>
      </c>
      <c r="I23" s="33">
        <f t="shared" si="15"/>
        <v>4</v>
      </c>
      <c r="J23" s="26"/>
      <c r="K23" s="27"/>
      <c r="AA23" s="46" t="s">
        <v>106</v>
      </c>
      <c r="AB23">
        <v>4.8199999999999994</v>
      </c>
      <c r="AD23">
        <f t="shared" ref="AD23:AD28" si="16">AB23/10</f>
        <v>0.48199999999999993</v>
      </c>
    </row>
    <row r="24" spans="1:35" ht="15.75" thickBot="1" x14ac:dyDescent="0.3">
      <c r="B24">
        <f>SUM(B17:B23)</f>
        <v>4</v>
      </c>
      <c r="C24">
        <f t="shared" ref="C24:H24" si="17">SUM(C17:C23)</f>
        <v>4</v>
      </c>
      <c r="D24">
        <f t="shared" si="17"/>
        <v>4</v>
      </c>
      <c r="E24">
        <f t="shared" si="17"/>
        <v>4</v>
      </c>
      <c r="F24">
        <f t="shared" si="17"/>
        <v>4</v>
      </c>
      <c r="G24">
        <f t="shared" si="17"/>
        <v>4</v>
      </c>
      <c r="H24">
        <f t="shared" si="17"/>
        <v>4</v>
      </c>
      <c r="AA24" s="46" t="s">
        <v>107</v>
      </c>
      <c r="AB24">
        <v>4.4800000000000004</v>
      </c>
      <c r="AD24">
        <f t="shared" si="16"/>
        <v>0.44800000000000006</v>
      </c>
    </row>
    <row r="25" spans="1:35" ht="15.75" thickBot="1" x14ac:dyDescent="0.3">
      <c r="N25" s="43">
        <v>20055</v>
      </c>
      <c r="O25" s="21">
        <v>0</v>
      </c>
      <c r="P25" s="43">
        <v>1211497</v>
      </c>
      <c r="Q25" s="21">
        <v>24</v>
      </c>
      <c r="R25" s="43">
        <v>2296634</v>
      </c>
      <c r="S25" s="21">
        <v>35</v>
      </c>
      <c r="T25" s="43">
        <v>1991719</v>
      </c>
      <c r="U25" s="21">
        <v>70</v>
      </c>
      <c r="AA25" s="46" t="s">
        <v>108</v>
      </c>
      <c r="AB25">
        <v>5.32</v>
      </c>
      <c r="AD25">
        <f t="shared" si="16"/>
        <v>0.53200000000000003</v>
      </c>
    </row>
    <row r="26" spans="1:35" ht="15.75" thickBot="1" x14ac:dyDescent="0.3">
      <c r="N26" s="25">
        <v>20133</v>
      </c>
      <c r="O26" s="27">
        <v>0</v>
      </c>
      <c r="P26" s="25">
        <v>1362325</v>
      </c>
      <c r="Q26" s="27">
        <v>19</v>
      </c>
      <c r="R26" s="25">
        <v>2198502</v>
      </c>
      <c r="S26" s="27">
        <v>32</v>
      </c>
      <c r="T26" s="25">
        <v>1601633</v>
      </c>
      <c r="U26" s="27">
        <v>70</v>
      </c>
      <c r="AA26" s="46" t="s">
        <v>110</v>
      </c>
      <c r="AB26">
        <v>6.96</v>
      </c>
      <c r="AD26">
        <f t="shared" si="16"/>
        <v>0.69599999999999995</v>
      </c>
    </row>
    <row r="27" spans="1:35" ht="15.75" thickBot="1" x14ac:dyDescent="0.3">
      <c r="A27" s="428" t="s">
        <v>61</v>
      </c>
      <c r="B27" s="428"/>
      <c r="C27" s="428"/>
      <c r="D27" s="428"/>
      <c r="E27" s="428"/>
      <c r="F27" s="428"/>
      <c r="G27" s="428"/>
      <c r="H27" s="428"/>
      <c r="I27" s="428"/>
      <c r="J27" s="428"/>
      <c r="K27" s="428"/>
      <c r="AA27" s="46" t="s">
        <v>109</v>
      </c>
      <c r="AB27">
        <v>3.0100000000000002</v>
      </c>
      <c r="AD27">
        <f t="shared" si="16"/>
        <v>0.30100000000000005</v>
      </c>
    </row>
    <row r="28" spans="1:35" ht="15.75" thickBot="1" x14ac:dyDescent="0.3">
      <c r="A28" s="41"/>
      <c r="B28" s="404" t="s">
        <v>84</v>
      </c>
      <c r="C28" s="404"/>
      <c r="D28" s="404"/>
      <c r="E28" s="404"/>
      <c r="F28" s="404"/>
      <c r="G28" s="404"/>
      <c r="H28" s="404"/>
      <c r="I28" s="111" t="s">
        <v>30</v>
      </c>
      <c r="J28" s="99"/>
      <c r="K28" s="100"/>
      <c r="AA28" s="47" t="s">
        <v>111</v>
      </c>
      <c r="AB28">
        <v>4.9800000000000004</v>
      </c>
      <c r="AD28">
        <f t="shared" si="16"/>
        <v>0.49800000000000005</v>
      </c>
    </row>
    <row r="29" spans="1:35" ht="15.75" thickBot="1" x14ac:dyDescent="0.3">
      <c r="A29" s="42"/>
      <c r="B29" s="144" t="s">
        <v>23</v>
      </c>
      <c r="C29" s="146" t="s">
        <v>24</v>
      </c>
      <c r="D29" s="147" t="s">
        <v>25</v>
      </c>
      <c r="E29" s="148" t="s">
        <v>26</v>
      </c>
      <c r="F29" s="149" t="s">
        <v>27</v>
      </c>
      <c r="G29" s="150" t="s">
        <v>62</v>
      </c>
      <c r="H29" s="145" t="s">
        <v>63</v>
      </c>
      <c r="I29" s="28"/>
      <c r="J29" s="107"/>
      <c r="K29" s="106"/>
    </row>
    <row r="30" spans="1:35" x14ac:dyDescent="0.25">
      <c r="A30" s="22" t="s">
        <v>13</v>
      </c>
      <c r="B30" s="108">
        <v>0</v>
      </c>
      <c r="C30" s="109">
        <v>0</v>
      </c>
      <c r="D30" s="109">
        <v>0</v>
      </c>
      <c r="E30" s="110">
        <v>1</v>
      </c>
      <c r="F30" s="109">
        <v>0</v>
      </c>
      <c r="G30" s="20">
        <v>0</v>
      </c>
      <c r="H30" s="109">
        <v>1</v>
      </c>
      <c r="I30" s="108">
        <f t="shared" ref="I30:I36" si="18">SUM(B30:H30)</f>
        <v>2</v>
      </c>
      <c r="J30" s="20"/>
      <c r="K30" s="115"/>
    </row>
    <row r="31" spans="1:35" x14ac:dyDescent="0.25">
      <c r="A31" s="22" t="s">
        <v>15</v>
      </c>
      <c r="B31" s="32">
        <v>0</v>
      </c>
      <c r="C31" s="34">
        <v>1</v>
      </c>
      <c r="D31" s="34">
        <v>0</v>
      </c>
      <c r="E31" s="68">
        <v>0</v>
      </c>
      <c r="F31" s="68">
        <v>0</v>
      </c>
      <c r="G31" s="23">
        <v>1</v>
      </c>
      <c r="H31" s="68">
        <v>0</v>
      </c>
      <c r="I31" s="32">
        <f t="shared" si="18"/>
        <v>2</v>
      </c>
      <c r="J31" s="37"/>
      <c r="K31" s="24"/>
    </row>
    <row r="32" spans="1:35" x14ac:dyDescent="0.25">
      <c r="A32" s="22" t="s">
        <v>6</v>
      </c>
      <c r="B32" s="32">
        <v>0</v>
      </c>
      <c r="C32" s="34">
        <v>0</v>
      </c>
      <c r="D32" s="34">
        <v>0</v>
      </c>
      <c r="E32" s="68">
        <v>0</v>
      </c>
      <c r="F32" s="34">
        <v>1</v>
      </c>
      <c r="G32" s="23">
        <v>1</v>
      </c>
      <c r="H32" s="68">
        <v>0</v>
      </c>
      <c r="I32" s="32">
        <f t="shared" si="18"/>
        <v>2</v>
      </c>
      <c r="J32" s="30"/>
      <c r="K32" s="36"/>
    </row>
    <row r="33" spans="1:27" x14ac:dyDescent="0.25">
      <c r="A33" s="22" t="s">
        <v>56</v>
      </c>
      <c r="B33" s="32">
        <v>1</v>
      </c>
      <c r="C33" s="68">
        <v>0</v>
      </c>
      <c r="D33" s="68">
        <v>0</v>
      </c>
      <c r="E33" s="68">
        <v>0</v>
      </c>
      <c r="F33" s="68">
        <v>1</v>
      </c>
      <c r="G33" s="68">
        <v>0</v>
      </c>
      <c r="H33" s="68">
        <v>0</v>
      </c>
      <c r="I33" s="32">
        <f t="shared" si="18"/>
        <v>2</v>
      </c>
      <c r="J33" s="23"/>
      <c r="K33" s="24"/>
    </row>
    <row r="34" spans="1:27" x14ac:dyDescent="0.25">
      <c r="A34" s="22" t="s">
        <v>104</v>
      </c>
      <c r="B34" s="32">
        <v>0</v>
      </c>
      <c r="C34" s="68">
        <v>1</v>
      </c>
      <c r="D34" s="68">
        <v>1</v>
      </c>
      <c r="E34" s="68">
        <v>0</v>
      </c>
      <c r="F34" s="68">
        <v>0</v>
      </c>
      <c r="G34" s="68">
        <v>0</v>
      </c>
      <c r="H34" s="68">
        <v>0</v>
      </c>
      <c r="I34" s="32">
        <f t="shared" si="18"/>
        <v>2</v>
      </c>
      <c r="J34" s="23"/>
      <c r="K34" s="24"/>
    </row>
    <row r="35" spans="1:27" x14ac:dyDescent="0.25">
      <c r="A35" s="22" t="s">
        <v>17</v>
      </c>
      <c r="B35" s="22">
        <v>1</v>
      </c>
      <c r="C35" s="68">
        <v>0</v>
      </c>
      <c r="D35" s="68">
        <v>0</v>
      </c>
      <c r="E35" s="68">
        <v>1</v>
      </c>
      <c r="F35" s="68">
        <v>0</v>
      </c>
      <c r="G35" s="68">
        <v>0</v>
      </c>
      <c r="H35" s="68">
        <v>0</v>
      </c>
      <c r="I35" s="32">
        <f t="shared" si="18"/>
        <v>2</v>
      </c>
      <c r="J35" s="23"/>
      <c r="K35" s="24"/>
    </row>
    <row r="36" spans="1:27" ht="15.75" thickBot="1" x14ac:dyDescent="0.3">
      <c r="A36" s="25" t="s">
        <v>53</v>
      </c>
      <c r="B36" s="25">
        <v>0</v>
      </c>
      <c r="C36" s="26">
        <v>0</v>
      </c>
      <c r="D36" s="26">
        <v>1</v>
      </c>
      <c r="E36" s="26">
        <v>0</v>
      </c>
      <c r="F36" s="26">
        <v>0</v>
      </c>
      <c r="G36" s="26">
        <v>0</v>
      </c>
      <c r="H36" s="26">
        <v>1</v>
      </c>
      <c r="I36" s="33">
        <f t="shared" si="18"/>
        <v>2</v>
      </c>
      <c r="J36" s="26"/>
      <c r="K36" s="27"/>
    </row>
    <row r="37" spans="1:27" x14ac:dyDescent="0.25">
      <c r="B37">
        <f>SUM(B30:B36)</f>
        <v>2</v>
      </c>
      <c r="C37">
        <f t="shared" ref="C37:H37" si="19">SUM(C30:C36)</f>
        <v>2</v>
      </c>
      <c r="D37">
        <f t="shared" si="19"/>
        <v>2</v>
      </c>
      <c r="E37">
        <f t="shared" si="19"/>
        <v>2</v>
      </c>
      <c r="F37">
        <f t="shared" si="19"/>
        <v>2</v>
      </c>
      <c r="G37">
        <f t="shared" si="19"/>
        <v>2</v>
      </c>
      <c r="H37">
        <f t="shared" si="19"/>
        <v>2</v>
      </c>
    </row>
    <row r="40" spans="1:27" x14ac:dyDescent="0.25">
      <c r="L40" s="23"/>
      <c r="M40" s="23"/>
      <c r="N40" s="23"/>
      <c r="O40" s="23"/>
      <c r="P40" s="23"/>
    </row>
    <row r="41" spans="1:27" x14ac:dyDescent="0.25">
      <c r="L41" s="23"/>
      <c r="M41" s="23"/>
      <c r="N41" s="23"/>
      <c r="O41" s="23"/>
      <c r="P41" s="23"/>
    </row>
    <row r="42" spans="1:27" x14ac:dyDescent="0.25">
      <c r="L42" s="23"/>
      <c r="M42" s="23"/>
      <c r="N42" s="23"/>
      <c r="O42" s="23"/>
      <c r="P42" s="23"/>
    </row>
    <row r="43" spans="1:27" x14ac:dyDescent="0.25">
      <c r="L43" s="23"/>
      <c r="M43" s="23"/>
      <c r="N43" s="23"/>
      <c r="O43" s="23"/>
      <c r="P43" s="23"/>
    </row>
    <row r="44" spans="1:27" x14ac:dyDescent="0.25">
      <c r="L44" s="23"/>
      <c r="M44" s="23"/>
      <c r="N44" s="23"/>
      <c r="O44" s="23"/>
      <c r="P44" s="23"/>
    </row>
    <row r="45" spans="1:27" ht="15.75" thickBot="1" x14ac:dyDescent="0.3">
      <c r="A45" s="23"/>
      <c r="B45" s="23"/>
      <c r="C45" s="23"/>
      <c r="D45" s="23"/>
      <c r="E45" s="23"/>
      <c r="Q45" s="437" t="s">
        <v>133</v>
      </c>
      <c r="R45" s="437"/>
      <c r="S45" s="437"/>
      <c r="T45" s="437"/>
      <c r="U45" s="437"/>
      <c r="V45" s="437"/>
      <c r="W45" s="437"/>
      <c r="X45" s="437"/>
      <c r="Y45" s="437"/>
      <c r="Z45" s="437"/>
      <c r="AA45" s="437"/>
    </row>
    <row r="46" spans="1:27" ht="15.75" thickBot="1" x14ac:dyDescent="0.3">
      <c r="A46" s="23"/>
      <c r="B46" s="293" t="s">
        <v>130</v>
      </c>
      <c r="C46" s="403" t="s">
        <v>87</v>
      </c>
      <c r="D46" s="404"/>
      <c r="E46" s="404"/>
      <c r="F46" s="404"/>
      <c r="G46" s="404"/>
      <c r="H46" s="404"/>
      <c r="I46" s="404"/>
      <c r="J46" s="404"/>
      <c r="K46" s="405"/>
      <c r="L46" s="21" t="s">
        <v>92</v>
      </c>
      <c r="P46" s="23"/>
      <c r="Q46" s="293" t="s">
        <v>48</v>
      </c>
      <c r="R46" s="403" t="s">
        <v>87</v>
      </c>
      <c r="S46" s="404"/>
      <c r="T46" s="404"/>
      <c r="U46" s="404"/>
      <c r="V46" s="404"/>
      <c r="W46" s="404"/>
      <c r="X46" s="404"/>
      <c r="Y46" s="404"/>
      <c r="Z46" s="405"/>
      <c r="AA46" s="303" t="s">
        <v>92</v>
      </c>
    </row>
    <row r="47" spans="1:27" ht="15.75" thickBot="1" x14ac:dyDescent="0.3">
      <c r="B47" s="42"/>
      <c r="C47" s="294" t="s">
        <v>23</v>
      </c>
      <c r="D47" s="294" t="s">
        <v>24</v>
      </c>
      <c r="E47" s="294" t="s">
        <v>25</v>
      </c>
      <c r="F47" s="294" t="s">
        <v>26</v>
      </c>
      <c r="G47" s="294" t="s">
        <v>27</v>
      </c>
      <c r="H47" s="294" t="s">
        <v>62</v>
      </c>
      <c r="I47" s="294" t="s">
        <v>63</v>
      </c>
      <c r="J47" s="295" t="s">
        <v>128</v>
      </c>
      <c r="K47" s="296" t="s">
        <v>129</v>
      </c>
      <c r="L47" s="42"/>
      <c r="Q47" s="42"/>
      <c r="R47" s="294" t="s">
        <v>23</v>
      </c>
      <c r="S47" s="294" t="s">
        <v>24</v>
      </c>
      <c r="T47" s="294" t="s">
        <v>25</v>
      </c>
      <c r="U47" s="294" t="s">
        <v>26</v>
      </c>
      <c r="V47" s="294" t="s">
        <v>27</v>
      </c>
      <c r="W47" s="294" t="s">
        <v>62</v>
      </c>
      <c r="X47" s="294" t="s">
        <v>63</v>
      </c>
      <c r="Y47" s="295" t="s">
        <v>128</v>
      </c>
      <c r="Z47" s="296" t="s">
        <v>129</v>
      </c>
      <c r="AA47" s="299"/>
    </row>
    <row r="48" spans="1:27" x14ac:dyDescent="0.25">
      <c r="B48" s="39" t="s">
        <v>105</v>
      </c>
      <c r="C48" s="34">
        <v>0</v>
      </c>
      <c r="D48" s="34">
        <v>1</v>
      </c>
      <c r="E48" s="34">
        <v>1</v>
      </c>
      <c r="F48" s="68">
        <v>0</v>
      </c>
      <c r="G48" s="68">
        <v>0</v>
      </c>
      <c r="H48" s="68">
        <v>0</v>
      </c>
      <c r="I48" s="68">
        <v>0</v>
      </c>
      <c r="J48" s="68">
        <v>0</v>
      </c>
      <c r="K48" s="24">
        <v>2</v>
      </c>
      <c r="L48" s="29">
        <f>SUM(C48:K48)</f>
        <v>4</v>
      </c>
      <c r="Q48" s="39" t="s">
        <v>105</v>
      </c>
      <c r="R48" s="34">
        <f>SUM(C48,C61,C74)</f>
        <v>0</v>
      </c>
      <c r="S48" s="34">
        <f t="shared" ref="S48:Z48" si="20">SUM(D48,D61,D74)</f>
        <v>1</v>
      </c>
      <c r="T48" s="34">
        <f t="shared" si="20"/>
        <v>3</v>
      </c>
      <c r="U48" s="34">
        <f t="shared" si="20"/>
        <v>1</v>
      </c>
      <c r="V48" s="34">
        <f t="shared" si="20"/>
        <v>0</v>
      </c>
      <c r="W48" s="34">
        <f t="shared" si="20"/>
        <v>2</v>
      </c>
      <c r="X48" s="34">
        <f t="shared" si="20"/>
        <v>0</v>
      </c>
      <c r="Y48" s="34">
        <f t="shared" si="20"/>
        <v>1</v>
      </c>
      <c r="Z48" s="34">
        <f t="shared" si="20"/>
        <v>2</v>
      </c>
      <c r="AA48" s="302">
        <f>SUM(R48:Z48)</f>
        <v>10</v>
      </c>
    </row>
    <row r="49" spans="1:41" x14ac:dyDescent="0.25">
      <c r="B49" s="39" t="s">
        <v>106</v>
      </c>
      <c r="C49" s="34">
        <v>0</v>
      </c>
      <c r="D49" s="34">
        <v>1</v>
      </c>
      <c r="E49" s="34">
        <v>0</v>
      </c>
      <c r="F49" s="68">
        <v>0</v>
      </c>
      <c r="G49" s="68">
        <v>0</v>
      </c>
      <c r="H49" s="68">
        <v>2</v>
      </c>
      <c r="I49" s="68">
        <v>1</v>
      </c>
      <c r="J49" s="68">
        <v>0</v>
      </c>
      <c r="K49" s="24">
        <v>0</v>
      </c>
      <c r="L49" s="29">
        <f t="shared" ref="L49:L56" si="21">SUM(C49:K49)</f>
        <v>4</v>
      </c>
      <c r="Q49" s="39" t="s">
        <v>106</v>
      </c>
      <c r="R49" s="34">
        <f t="shared" ref="R49:R56" si="22">SUM(C49,C62,C75)</f>
        <v>0</v>
      </c>
      <c r="S49" s="34">
        <f t="shared" ref="S49:S56" si="23">SUM(D49,D62,D75)</f>
        <v>1</v>
      </c>
      <c r="T49" s="34">
        <f t="shared" ref="T49:T56" si="24">SUM(E49,E62,E75)</f>
        <v>2</v>
      </c>
      <c r="U49" s="34">
        <f t="shared" ref="U49:U56" si="25">SUM(F49,F62,F75)</f>
        <v>0</v>
      </c>
      <c r="V49" s="34">
        <f t="shared" ref="V49:V56" si="26">SUM(G49,G62,G75)</f>
        <v>1</v>
      </c>
      <c r="W49" s="34">
        <f t="shared" ref="W49:W56" si="27">SUM(H49,H62,H75)</f>
        <v>2</v>
      </c>
      <c r="X49" s="34">
        <f t="shared" ref="X49:X56" si="28">SUM(I49,I62,I75)</f>
        <v>3</v>
      </c>
      <c r="Y49" s="34">
        <f t="shared" ref="Y49:Y56" si="29">SUM(J49,J62,J75)</f>
        <v>1</v>
      </c>
      <c r="Z49" s="34">
        <f t="shared" ref="Z49:Z56" si="30">SUM(K49,K62,K75)</f>
        <v>0</v>
      </c>
      <c r="AA49" s="300">
        <f>SUM(R49:Z49)</f>
        <v>10</v>
      </c>
    </row>
    <row r="50" spans="1:41" x14ac:dyDescent="0.25">
      <c r="B50" s="39" t="s">
        <v>107</v>
      </c>
      <c r="C50" s="34">
        <v>1</v>
      </c>
      <c r="D50" s="34">
        <v>0</v>
      </c>
      <c r="E50" s="34">
        <v>0</v>
      </c>
      <c r="F50" s="68">
        <v>0</v>
      </c>
      <c r="G50" s="68">
        <v>1</v>
      </c>
      <c r="H50" s="68">
        <v>0</v>
      </c>
      <c r="I50" s="68">
        <v>1</v>
      </c>
      <c r="J50" s="68">
        <v>0</v>
      </c>
      <c r="K50" s="24">
        <v>1</v>
      </c>
      <c r="L50" s="29">
        <f t="shared" si="21"/>
        <v>4</v>
      </c>
      <c r="Q50" s="39" t="s">
        <v>107</v>
      </c>
      <c r="R50" s="34">
        <f t="shared" si="22"/>
        <v>1</v>
      </c>
      <c r="S50" s="34">
        <f t="shared" si="23"/>
        <v>0</v>
      </c>
      <c r="T50" s="34">
        <f t="shared" si="24"/>
        <v>0</v>
      </c>
      <c r="U50" s="34">
        <f t="shared" si="25"/>
        <v>1</v>
      </c>
      <c r="V50" s="34">
        <f t="shared" si="26"/>
        <v>3</v>
      </c>
      <c r="W50" s="34">
        <f t="shared" si="27"/>
        <v>1</v>
      </c>
      <c r="X50" s="34">
        <f t="shared" si="28"/>
        <v>2</v>
      </c>
      <c r="Y50" s="34">
        <f t="shared" si="29"/>
        <v>1</v>
      </c>
      <c r="Z50" s="34">
        <f t="shared" si="30"/>
        <v>1</v>
      </c>
      <c r="AA50" s="300">
        <f>SUM(R50:Z50)</f>
        <v>10</v>
      </c>
    </row>
    <row r="51" spans="1:41" x14ac:dyDescent="0.25">
      <c r="B51" s="39" t="s">
        <v>108</v>
      </c>
      <c r="C51" s="68">
        <v>0</v>
      </c>
      <c r="D51" s="68">
        <v>1</v>
      </c>
      <c r="E51" s="68">
        <v>0</v>
      </c>
      <c r="F51" s="68">
        <v>2</v>
      </c>
      <c r="G51" s="68">
        <v>0</v>
      </c>
      <c r="H51" s="68">
        <v>1</v>
      </c>
      <c r="I51" s="68">
        <v>0</v>
      </c>
      <c r="J51" s="68">
        <v>0</v>
      </c>
      <c r="K51" s="24">
        <v>0</v>
      </c>
      <c r="L51" s="29">
        <f t="shared" si="21"/>
        <v>4</v>
      </c>
      <c r="Q51" s="39" t="s">
        <v>108</v>
      </c>
      <c r="R51" s="34">
        <f t="shared" si="22"/>
        <v>0</v>
      </c>
      <c r="S51" s="34">
        <f t="shared" si="23"/>
        <v>2</v>
      </c>
      <c r="T51" s="34">
        <f t="shared" si="24"/>
        <v>1</v>
      </c>
      <c r="U51" s="34">
        <f t="shared" si="25"/>
        <v>2</v>
      </c>
      <c r="V51" s="34">
        <f t="shared" si="26"/>
        <v>0</v>
      </c>
      <c r="W51" s="34">
        <f t="shared" si="27"/>
        <v>1</v>
      </c>
      <c r="X51" s="34">
        <f t="shared" si="28"/>
        <v>2</v>
      </c>
      <c r="Y51" s="34">
        <f t="shared" si="29"/>
        <v>1</v>
      </c>
      <c r="Z51" s="34">
        <f t="shared" si="30"/>
        <v>1</v>
      </c>
      <c r="AA51" s="300">
        <f t="shared" ref="AA51:AA56" si="31">SUM(R51:Z51)</f>
        <v>10</v>
      </c>
    </row>
    <row r="52" spans="1:41" x14ac:dyDescent="0.25">
      <c r="B52" s="39" t="s">
        <v>110</v>
      </c>
      <c r="C52" s="68">
        <v>0</v>
      </c>
      <c r="D52" s="68">
        <v>0</v>
      </c>
      <c r="E52" s="68">
        <v>0</v>
      </c>
      <c r="F52" s="68">
        <v>1</v>
      </c>
      <c r="G52" s="68">
        <v>3</v>
      </c>
      <c r="H52" s="68">
        <v>0</v>
      </c>
      <c r="I52" s="68">
        <v>0</v>
      </c>
      <c r="J52" s="68">
        <v>0</v>
      </c>
      <c r="K52" s="24">
        <v>0</v>
      </c>
      <c r="L52" s="29">
        <f t="shared" si="21"/>
        <v>4</v>
      </c>
      <c r="Q52" s="39" t="s">
        <v>110</v>
      </c>
      <c r="R52" s="34">
        <f t="shared" si="22"/>
        <v>1</v>
      </c>
      <c r="S52" s="34">
        <f t="shared" si="23"/>
        <v>0</v>
      </c>
      <c r="T52" s="34">
        <f t="shared" si="24"/>
        <v>1</v>
      </c>
      <c r="U52" s="34">
        <f t="shared" si="25"/>
        <v>3</v>
      </c>
      <c r="V52" s="34">
        <f t="shared" si="26"/>
        <v>4</v>
      </c>
      <c r="W52" s="34">
        <f t="shared" si="27"/>
        <v>1</v>
      </c>
      <c r="X52" s="34">
        <f t="shared" si="28"/>
        <v>0</v>
      </c>
      <c r="Y52" s="34">
        <f t="shared" si="29"/>
        <v>0</v>
      </c>
      <c r="Z52" s="34">
        <f t="shared" si="30"/>
        <v>0</v>
      </c>
      <c r="AA52" s="300">
        <f t="shared" si="31"/>
        <v>10</v>
      </c>
    </row>
    <row r="53" spans="1:41" x14ac:dyDescent="0.25">
      <c r="B53" s="39" t="s">
        <v>109</v>
      </c>
      <c r="C53" s="68">
        <v>0</v>
      </c>
      <c r="D53" s="68">
        <v>0</v>
      </c>
      <c r="E53" s="68">
        <v>0</v>
      </c>
      <c r="F53" s="68">
        <v>0</v>
      </c>
      <c r="G53" s="68">
        <v>0</v>
      </c>
      <c r="H53" s="68">
        <v>1</v>
      </c>
      <c r="I53" s="68">
        <v>0</v>
      </c>
      <c r="J53" s="34">
        <v>3</v>
      </c>
      <c r="K53" s="24">
        <v>0</v>
      </c>
      <c r="L53" s="29">
        <f t="shared" si="21"/>
        <v>4</v>
      </c>
      <c r="Q53" s="39" t="s">
        <v>109</v>
      </c>
      <c r="R53" s="34">
        <f t="shared" si="22"/>
        <v>1</v>
      </c>
      <c r="S53" s="34">
        <f t="shared" si="23"/>
        <v>1</v>
      </c>
      <c r="T53" s="34">
        <f t="shared" si="24"/>
        <v>0</v>
      </c>
      <c r="U53" s="34">
        <f t="shared" si="25"/>
        <v>0</v>
      </c>
      <c r="V53" s="34">
        <f t="shared" si="26"/>
        <v>1</v>
      </c>
      <c r="W53" s="34">
        <f t="shared" si="27"/>
        <v>1</v>
      </c>
      <c r="X53" s="34">
        <f t="shared" si="28"/>
        <v>0</v>
      </c>
      <c r="Y53" s="34">
        <f t="shared" si="29"/>
        <v>4</v>
      </c>
      <c r="Z53" s="34">
        <f t="shared" si="30"/>
        <v>2</v>
      </c>
      <c r="AA53" s="300">
        <f t="shared" si="31"/>
        <v>10</v>
      </c>
    </row>
    <row r="54" spans="1:41" x14ac:dyDescent="0.25">
      <c r="B54" s="39" t="s">
        <v>111</v>
      </c>
      <c r="C54" s="23">
        <v>1</v>
      </c>
      <c r="D54" s="23">
        <v>0</v>
      </c>
      <c r="E54" s="23">
        <v>2</v>
      </c>
      <c r="F54" s="56">
        <v>0</v>
      </c>
      <c r="G54" s="68">
        <v>0</v>
      </c>
      <c r="H54" s="68">
        <v>0</v>
      </c>
      <c r="I54" s="23">
        <v>1</v>
      </c>
      <c r="J54" s="68">
        <v>0</v>
      </c>
      <c r="K54" s="24">
        <v>0</v>
      </c>
      <c r="L54" s="29">
        <f t="shared" si="21"/>
        <v>4</v>
      </c>
      <c r="Q54" s="39" t="s">
        <v>111</v>
      </c>
      <c r="R54" s="34">
        <f t="shared" si="22"/>
        <v>1</v>
      </c>
      <c r="S54" s="34">
        <f t="shared" si="23"/>
        <v>0</v>
      </c>
      <c r="T54" s="34">
        <f t="shared" si="24"/>
        <v>2</v>
      </c>
      <c r="U54" s="34">
        <f t="shared" si="25"/>
        <v>1</v>
      </c>
      <c r="V54" s="34">
        <f t="shared" si="26"/>
        <v>1</v>
      </c>
      <c r="W54" s="34">
        <f t="shared" si="27"/>
        <v>2</v>
      </c>
      <c r="X54" s="34">
        <f t="shared" si="28"/>
        <v>1</v>
      </c>
      <c r="Y54" s="34">
        <f t="shared" si="29"/>
        <v>1</v>
      </c>
      <c r="Z54" s="34">
        <f t="shared" si="30"/>
        <v>1</v>
      </c>
      <c r="AA54" s="300">
        <f t="shared" si="31"/>
        <v>10</v>
      </c>
    </row>
    <row r="55" spans="1:41" x14ac:dyDescent="0.25">
      <c r="B55" s="39" t="s">
        <v>121</v>
      </c>
      <c r="C55" s="56">
        <v>0</v>
      </c>
      <c r="D55" s="23">
        <v>1</v>
      </c>
      <c r="E55" s="23">
        <v>1</v>
      </c>
      <c r="F55" s="23">
        <v>1</v>
      </c>
      <c r="G55" s="68">
        <v>0</v>
      </c>
      <c r="H55" s="68">
        <v>0</v>
      </c>
      <c r="I55" s="23">
        <v>1</v>
      </c>
      <c r="J55" s="68">
        <v>0</v>
      </c>
      <c r="K55" s="24">
        <v>0</v>
      </c>
      <c r="L55" s="29">
        <f t="shared" si="21"/>
        <v>4</v>
      </c>
      <c r="Q55" s="39" t="s">
        <v>121</v>
      </c>
      <c r="R55" s="34">
        <f t="shared" si="22"/>
        <v>0</v>
      </c>
      <c r="S55" s="34">
        <f t="shared" si="23"/>
        <v>4</v>
      </c>
      <c r="T55" s="34">
        <f t="shared" si="24"/>
        <v>1</v>
      </c>
      <c r="U55" s="34">
        <f t="shared" si="25"/>
        <v>2</v>
      </c>
      <c r="V55" s="34">
        <f t="shared" si="26"/>
        <v>0</v>
      </c>
      <c r="W55" s="34">
        <f t="shared" si="27"/>
        <v>0</v>
      </c>
      <c r="X55" s="34">
        <f t="shared" si="28"/>
        <v>1</v>
      </c>
      <c r="Y55" s="34">
        <f t="shared" si="29"/>
        <v>0</v>
      </c>
      <c r="Z55" s="34">
        <f t="shared" si="30"/>
        <v>2</v>
      </c>
      <c r="AA55" s="300">
        <f t="shared" si="31"/>
        <v>10</v>
      </c>
    </row>
    <row r="56" spans="1:41" ht="15.75" thickBot="1" x14ac:dyDescent="0.3">
      <c r="B56" s="40" t="s">
        <v>126</v>
      </c>
      <c r="C56" s="26">
        <v>2</v>
      </c>
      <c r="D56" s="26">
        <v>0</v>
      </c>
      <c r="E56" s="26">
        <v>0</v>
      </c>
      <c r="F56" s="26">
        <v>0</v>
      </c>
      <c r="G56" s="26">
        <v>0</v>
      </c>
      <c r="H56" s="26">
        <v>0</v>
      </c>
      <c r="I56" s="26">
        <v>0</v>
      </c>
      <c r="J56" s="26">
        <v>1</v>
      </c>
      <c r="K56" s="27">
        <v>1</v>
      </c>
      <c r="L56" s="29">
        <f t="shared" si="21"/>
        <v>4</v>
      </c>
      <c r="Q56" s="39" t="s">
        <v>126</v>
      </c>
      <c r="R56" s="34">
        <f t="shared" si="22"/>
        <v>6</v>
      </c>
      <c r="S56" s="34">
        <f t="shared" si="23"/>
        <v>1</v>
      </c>
      <c r="T56" s="34">
        <f t="shared" si="24"/>
        <v>0</v>
      </c>
      <c r="U56" s="34">
        <f t="shared" si="25"/>
        <v>0</v>
      </c>
      <c r="V56" s="34">
        <f t="shared" si="26"/>
        <v>0</v>
      </c>
      <c r="W56" s="34">
        <f t="shared" si="27"/>
        <v>0</v>
      </c>
      <c r="X56" s="34">
        <f t="shared" si="28"/>
        <v>1</v>
      </c>
      <c r="Y56" s="34">
        <f t="shared" si="29"/>
        <v>1</v>
      </c>
      <c r="Z56" s="34">
        <f t="shared" si="30"/>
        <v>1</v>
      </c>
      <c r="AA56" s="300">
        <f t="shared" si="31"/>
        <v>10</v>
      </c>
    </row>
    <row r="57" spans="1:41" ht="15.75" thickBot="1" x14ac:dyDescent="0.3">
      <c r="B57" s="40" t="s">
        <v>92</v>
      </c>
      <c r="C57" s="50">
        <f>SUM(C48:C56)</f>
        <v>4</v>
      </c>
      <c r="D57" s="50">
        <f t="shared" ref="D57:K57" si="32">SUM(D48:D56)</f>
        <v>4</v>
      </c>
      <c r="E57" s="50">
        <f t="shared" si="32"/>
        <v>4</v>
      </c>
      <c r="F57" s="50">
        <f t="shared" si="32"/>
        <v>4</v>
      </c>
      <c r="G57" s="50">
        <f t="shared" si="32"/>
        <v>4</v>
      </c>
      <c r="H57" s="50">
        <f t="shared" si="32"/>
        <v>4</v>
      </c>
      <c r="I57" s="50">
        <f t="shared" si="32"/>
        <v>4</v>
      </c>
      <c r="J57" s="50">
        <f t="shared" si="32"/>
        <v>4</v>
      </c>
      <c r="K57" s="50">
        <f t="shared" si="32"/>
        <v>4</v>
      </c>
      <c r="L57" s="42"/>
      <c r="Q57" s="299" t="s">
        <v>92</v>
      </c>
      <c r="R57" s="301">
        <f>SUM(R48:R56)</f>
        <v>10</v>
      </c>
      <c r="S57" s="301">
        <f t="shared" ref="S57" si="33">SUM(S48:S56)</f>
        <v>10</v>
      </c>
      <c r="T57" s="301">
        <f t="shared" ref="T57" si="34">SUM(T48:T56)</f>
        <v>10</v>
      </c>
      <c r="U57" s="301">
        <f t="shared" ref="U57" si="35">SUM(U48:U56)</f>
        <v>10</v>
      </c>
      <c r="V57" s="301">
        <f t="shared" ref="V57" si="36">SUM(V48:V56)</f>
        <v>10</v>
      </c>
      <c r="W57" s="301">
        <f t="shared" ref="W57" si="37">SUM(W48:W56)</f>
        <v>10</v>
      </c>
      <c r="X57" s="301">
        <f t="shared" ref="X57" si="38">SUM(X48:X56)</f>
        <v>10</v>
      </c>
      <c r="Y57" s="301">
        <f t="shared" ref="Y57" si="39">SUM(Y48:Y56)</f>
        <v>10</v>
      </c>
      <c r="Z57" s="301">
        <f t="shared" ref="Z57" si="40">SUM(Z48:Z56)</f>
        <v>10</v>
      </c>
      <c r="AA57" s="299"/>
    </row>
    <row r="58" spans="1:41" ht="15.75" thickBot="1" x14ac:dyDescent="0.3">
      <c r="K58" s="256"/>
    </row>
    <row r="59" spans="1:41" ht="15.75" thickBot="1" x14ac:dyDescent="0.3">
      <c r="A59" s="23"/>
      <c r="B59" s="293" t="s">
        <v>131</v>
      </c>
      <c r="C59" s="403" t="s">
        <v>87</v>
      </c>
      <c r="D59" s="404"/>
      <c r="E59" s="404"/>
      <c r="F59" s="404"/>
      <c r="G59" s="404"/>
      <c r="H59" s="404"/>
      <c r="I59" s="404"/>
      <c r="J59" s="404"/>
      <c r="K59" s="405"/>
      <c r="L59" s="21" t="s">
        <v>92</v>
      </c>
    </row>
    <row r="60" spans="1:41" s="297" customFormat="1" ht="15.75" thickBot="1" x14ac:dyDescent="0.3">
      <c r="B60" s="157"/>
      <c r="C60" s="294" t="s">
        <v>23</v>
      </c>
      <c r="D60" s="294" t="s">
        <v>24</v>
      </c>
      <c r="E60" s="294" t="s">
        <v>25</v>
      </c>
      <c r="F60" s="294" t="s">
        <v>26</v>
      </c>
      <c r="G60" s="294" t="s">
        <v>27</v>
      </c>
      <c r="H60" s="294" t="s">
        <v>62</v>
      </c>
      <c r="I60" s="294" t="s">
        <v>63</v>
      </c>
      <c r="J60" s="295" t="s">
        <v>128</v>
      </c>
      <c r="K60" s="298" t="s">
        <v>129</v>
      </c>
      <c r="L60" s="157"/>
      <c r="Q60" s="430" t="s">
        <v>133</v>
      </c>
      <c r="R60" s="430"/>
      <c r="S60" s="430"/>
      <c r="T60" s="430"/>
      <c r="U60" s="430"/>
      <c r="V60" s="430"/>
      <c r="W60" s="430"/>
      <c r="X60" s="430"/>
      <c r="Y60" s="430"/>
      <c r="Z60" s="430"/>
      <c r="AA60" s="430"/>
    </row>
    <row r="61" spans="1:41" x14ac:dyDescent="0.25">
      <c r="B61" s="39" t="s">
        <v>105</v>
      </c>
      <c r="C61" s="68">
        <v>0</v>
      </c>
      <c r="D61" s="68">
        <v>0</v>
      </c>
      <c r="E61" s="68">
        <v>2</v>
      </c>
      <c r="F61" s="68">
        <v>1</v>
      </c>
      <c r="G61" s="68">
        <v>0</v>
      </c>
      <c r="H61" s="68">
        <v>1</v>
      </c>
      <c r="I61" s="68">
        <v>0</v>
      </c>
      <c r="J61" s="68">
        <v>0</v>
      </c>
      <c r="K61" s="68">
        <v>0</v>
      </c>
      <c r="L61" s="44">
        <f>SUM(C61:K61)</f>
        <v>4</v>
      </c>
      <c r="Q61" t="s">
        <v>48</v>
      </c>
      <c r="R61" s="430" t="s">
        <v>159</v>
      </c>
      <c r="S61" s="430"/>
      <c r="T61" s="430"/>
      <c r="U61" s="430"/>
      <c r="V61" s="430"/>
      <c r="W61" s="430"/>
      <c r="X61" s="430"/>
      <c r="Y61" s="430"/>
      <c r="Z61" s="430"/>
    </row>
    <row r="62" spans="1:41" ht="15.75" thickBot="1" x14ac:dyDescent="0.3">
      <c r="B62" s="39" t="s">
        <v>106</v>
      </c>
      <c r="C62" s="68">
        <v>0</v>
      </c>
      <c r="D62" s="68">
        <v>0</v>
      </c>
      <c r="E62" s="68">
        <v>1</v>
      </c>
      <c r="F62" s="68">
        <v>0</v>
      </c>
      <c r="G62" s="68">
        <v>1</v>
      </c>
      <c r="H62" s="68">
        <v>0</v>
      </c>
      <c r="I62" s="68">
        <v>1</v>
      </c>
      <c r="J62" s="68">
        <v>1</v>
      </c>
      <c r="K62" s="68">
        <v>0</v>
      </c>
      <c r="L62" s="44">
        <f t="shared" ref="L62:L69" si="41">SUM(C62:K62)</f>
        <v>4</v>
      </c>
      <c r="R62" t="s">
        <v>23</v>
      </c>
      <c r="S62" t="s">
        <v>24</v>
      </c>
      <c r="T62" t="s">
        <v>25</v>
      </c>
      <c r="U62" t="s">
        <v>26</v>
      </c>
      <c r="V62" t="s">
        <v>27</v>
      </c>
      <c r="W62" t="s">
        <v>62</v>
      </c>
      <c r="X62" t="s">
        <v>63</v>
      </c>
      <c r="Y62" t="s">
        <v>128</v>
      </c>
      <c r="Z62" t="s">
        <v>129</v>
      </c>
      <c r="AA62" t="s">
        <v>158</v>
      </c>
      <c r="AB62" t="s">
        <v>92</v>
      </c>
      <c r="AE62" t="s">
        <v>23</v>
      </c>
      <c r="AF62" t="s">
        <v>24</v>
      </c>
      <c r="AG62" t="s">
        <v>25</v>
      </c>
      <c r="AH62" t="s">
        <v>26</v>
      </c>
      <c r="AI62" t="s">
        <v>27</v>
      </c>
      <c r="AJ62" t="s">
        <v>62</v>
      </c>
      <c r="AK62" t="s">
        <v>63</v>
      </c>
      <c r="AL62" t="s">
        <v>128</v>
      </c>
      <c r="AM62" t="s">
        <v>129</v>
      </c>
      <c r="AN62" t="s">
        <v>158</v>
      </c>
      <c r="AO62" t="s">
        <v>92</v>
      </c>
    </row>
    <row r="63" spans="1:41" x14ac:dyDescent="0.25">
      <c r="B63" s="39" t="s">
        <v>107</v>
      </c>
      <c r="C63" s="68">
        <v>0</v>
      </c>
      <c r="D63" s="68">
        <v>0</v>
      </c>
      <c r="E63" s="68">
        <v>0</v>
      </c>
      <c r="F63" s="68">
        <v>1</v>
      </c>
      <c r="G63" s="68">
        <v>2</v>
      </c>
      <c r="H63" s="68">
        <v>0</v>
      </c>
      <c r="I63" s="68">
        <v>1</v>
      </c>
      <c r="J63" s="68">
        <v>0</v>
      </c>
      <c r="K63" s="68">
        <v>0</v>
      </c>
      <c r="L63" s="44">
        <f t="shared" si="41"/>
        <v>4</v>
      </c>
      <c r="Q63" t="s">
        <v>105</v>
      </c>
      <c r="R63" s="371"/>
      <c r="S63" s="379"/>
      <c r="T63" s="376">
        <v>1</v>
      </c>
      <c r="U63" s="385"/>
      <c r="V63" s="362">
        <v>1</v>
      </c>
      <c r="W63" s="354">
        <v>1</v>
      </c>
      <c r="X63" s="359"/>
      <c r="Y63" s="368"/>
      <c r="Z63" s="365">
        <v>1</v>
      </c>
      <c r="AA63" s="21">
        <v>1</v>
      </c>
      <c r="AB63">
        <f>SUM(R63:AA63)</f>
        <v>5</v>
      </c>
      <c r="AD63" t="s">
        <v>105</v>
      </c>
      <c r="AE63" s="43">
        <f>R63*1</f>
        <v>0</v>
      </c>
      <c r="AF63" s="20">
        <f>S63*0.1</f>
        <v>0</v>
      </c>
      <c r="AG63" s="20">
        <f>T63*0.2</f>
        <v>0.2</v>
      </c>
      <c r="AH63" s="20">
        <f>U63*0.3</f>
        <v>0</v>
      </c>
      <c r="AI63" s="20">
        <f>V63*0.45</f>
        <v>0.45</v>
      </c>
      <c r="AJ63" s="20">
        <f>W63*0.55</f>
        <v>0.55000000000000004</v>
      </c>
      <c r="AK63" s="20">
        <f>X63*0.7</f>
        <v>0</v>
      </c>
      <c r="AL63" s="20">
        <f>Y63*0.8</f>
        <v>0</v>
      </c>
      <c r="AM63" s="20">
        <f>Z63*0.9</f>
        <v>0.9</v>
      </c>
      <c r="AN63" s="21">
        <f>AA63*0</f>
        <v>0</v>
      </c>
      <c r="AO63">
        <f>SUM(AE63:AN63)</f>
        <v>2.1</v>
      </c>
    </row>
    <row r="64" spans="1:41" x14ac:dyDescent="0.25">
      <c r="B64" s="39" t="s">
        <v>108</v>
      </c>
      <c r="C64" s="68">
        <v>0</v>
      </c>
      <c r="D64" s="68">
        <v>0</v>
      </c>
      <c r="E64" s="68">
        <v>1</v>
      </c>
      <c r="F64" s="68">
        <v>0</v>
      </c>
      <c r="G64" s="68">
        <v>0</v>
      </c>
      <c r="H64" s="68">
        <v>0</v>
      </c>
      <c r="I64" s="68">
        <v>1</v>
      </c>
      <c r="J64" s="68">
        <v>1</v>
      </c>
      <c r="K64" s="68">
        <v>1</v>
      </c>
      <c r="L64" s="44">
        <f t="shared" si="41"/>
        <v>4</v>
      </c>
      <c r="Q64" t="s">
        <v>106</v>
      </c>
      <c r="R64" s="372"/>
      <c r="S64" s="380"/>
      <c r="T64" s="377">
        <v>1</v>
      </c>
      <c r="U64" s="386"/>
      <c r="V64" s="363"/>
      <c r="W64" s="355">
        <v>1</v>
      </c>
      <c r="X64" s="360">
        <v>2</v>
      </c>
      <c r="Y64" s="369">
        <v>1</v>
      </c>
      <c r="Z64" s="366"/>
      <c r="AA64" s="24"/>
      <c r="AB64">
        <f t="shared" ref="AB64:AB72" si="42">SUM(R64:AA64)</f>
        <v>5</v>
      </c>
      <c r="AD64" t="s">
        <v>106</v>
      </c>
      <c r="AE64" s="22">
        <f t="shared" ref="AE64:AE72" si="43">R64*1</f>
        <v>0</v>
      </c>
      <c r="AF64" s="23">
        <f t="shared" ref="AF64:AF72" si="44">S64*0.1</f>
        <v>0</v>
      </c>
      <c r="AG64" s="23">
        <f t="shared" ref="AG64:AG72" si="45">T64*0.2</f>
        <v>0.2</v>
      </c>
      <c r="AH64" s="23">
        <f t="shared" ref="AH64:AH72" si="46">U64*0.3</f>
        <v>0</v>
      </c>
      <c r="AI64" s="23">
        <f t="shared" ref="AI64:AI72" si="47">V64*0.45</f>
        <v>0</v>
      </c>
      <c r="AJ64" s="23">
        <f t="shared" ref="AJ64:AJ72" si="48">W64*0.55</f>
        <v>0.55000000000000004</v>
      </c>
      <c r="AK64" s="23">
        <f t="shared" ref="AK64:AK72" si="49">X64*0.7</f>
        <v>1.4</v>
      </c>
      <c r="AL64" s="23">
        <f t="shared" ref="AL64:AL72" si="50">Y64*0.8</f>
        <v>0.8</v>
      </c>
      <c r="AM64" s="23">
        <f t="shared" ref="AM64:AM72" si="51">Z64*0.9</f>
        <v>0</v>
      </c>
      <c r="AN64" s="24">
        <f t="shared" ref="AN64:AN72" si="52">AA64*0</f>
        <v>0</v>
      </c>
      <c r="AO64">
        <f t="shared" ref="AO64:AO72" si="53">SUM(AE64:AN64)</f>
        <v>2.95</v>
      </c>
    </row>
    <row r="65" spans="1:41" x14ac:dyDescent="0.25">
      <c r="B65" s="39" t="s">
        <v>110</v>
      </c>
      <c r="C65" s="68">
        <v>1</v>
      </c>
      <c r="D65" s="68">
        <v>0</v>
      </c>
      <c r="E65" s="68">
        <v>0</v>
      </c>
      <c r="F65" s="68">
        <v>2</v>
      </c>
      <c r="G65" s="68">
        <v>0</v>
      </c>
      <c r="H65" s="68">
        <v>1</v>
      </c>
      <c r="I65" s="68">
        <v>0</v>
      </c>
      <c r="J65" s="68">
        <v>0</v>
      </c>
      <c r="K65" s="68">
        <v>0</v>
      </c>
      <c r="L65" s="44">
        <f t="shared" si="41"/>
        <v>4</v>
      </c>
      <c r="Q65" t="s">
        <v>107</v>
      </c>
      <c r="R65" s="372"/>
      <c r="S65" s="380"/>
      <c r="T65" s="377"/>
      <c r="U65" s="386">
        <v>1</v>
      </c>
      <c r="V65" s="363"/>
      <c r="W65" s="355"/>
      <c r="X65" s="360">
        <v>1</v>
      </c>
      <c r="Y65" s="369">
        <v>2</v>
      </c>
      <c r="Z65" s="366"/>
      <c r="AA65" s="24">
        <v>1</v>
      </c>
      <c r="AB65">
        <f t="shared" si="42"/>
        <v>5</v>
      </c>
      <c r="AD65" t="s">
        <v>107</v>
      </c>
      <c r="AE65" s="22">
        <f t="shared" si="43"/>
        <v>0</v>
      </c>
      <c r="AF65" s="23">
        <f t="shared" si="44"/>
        <v>0</v>
      </c>
      <c r="AG65" s="23">
        <f t="shared" si="45"/>
        <v>0</v>
      </c>
      <c r="AH65" s="23">
        <f t="shared" si="46"/>
        <v>0.3</v>
      </c>
      <c r="AI65" s="23">
        <f t="shared" si="47"/>
        <v>0</v>
      </c>
      <c r="AJ65" s="23">
        <f t="shared" si="48"/>
        <v>0</v>
      </c>
      <c r="AK65" s="23">
        <f t="shared" si="49"/>
        <v>0.7</v>
      </c>
      <c r="AL65" s="23">
        <f t="shared" si="50"/>
        <v>1.6</v>
      </c>
      <c r="AM65" s="23">
        <f t="shared" si="51"/>
        <v>0</v>
      </c>
      <c r="AN65" s="24">
        <f t="shared" si="52"/>
        <v>0</v>
      </c>
      <c r="AO65">
        <f t="shared" si="53"/>
        <v>2.6</v>
      </c>
    </row>
    <row r="66" spans="1:41" x14ac:dyDescent="0.25">
      <c r="B66" s="39" t="s">
        <v>109</v>
      </c>
      <c r="C66" s="68">
        <v>0</v>
      </c>
      <c r="D66" s="68">
        <v>1</v>
      </c>
      <c r="E66" s="68">
        <v>0</v>
      </c>
      <c r="F66" s="68">
        <v>0</v>
      </c>
      <c r="G66" s="68">
        <v>0</v>
      </c>
      <c r="H66" s="68">
        <v>0</v>
      </c>
      <c r="I66" s="68">
        <v>0</v>
      </c>
      <c r="J66" s="68">
        <v>1</v>
      </c>
      <c r="K66" s="68">
        <v>2</v>
      </c>
      <c r="L66" s="44">
        <f t="shared" si="41"/>
        <v>4</v>
      </c>
      <c r="Q66" t="s">
        <v>108</v>
      </c>
      <c r="R66" s="372"/>
      <c r="S66" s="380">
        <v>1</v>
      </c>
      <c r="T66" s="377">
        <v>1</v>
      </c>
      <c r="U66" s="386">
        <v>1</v>
      </c>
      <c r="V66" s="363">
        <v>1</v>
      </c>
      <c r="W66" s="355"/>
      <c r="X66" s="360"/>
      <c r="Y66" s="369">
        <v>1</v>
      </c>
      <c r="Z66" s="366"/>
      <c r="AA66" s="24"/>
      <c r="AB66">
        <f t="shared" si="42"/>
        <v>5</v>
      </c>
      <c r="AD66" t="s">
        <v>108</v>
      </c>
      <c r="AE66" s="22">
        <f t="shared" si="43"/>
        <v>0</v>
      </c>
      <c r="AF66" s="23">
        <f t="shared" si="44"/>
        <v>0.1</v>
      </c>
      <c r="AG66" s="23">
        <f t="shared" si="45"/>
        <v>0.2</v>
      </c>
      <c r="AH66" s="23">
        <f t="shared" si="46"/>
        <v>0.3</v>
      </c>
      <c r="AI66" s="23">
        <f t="shared" si="47"/>
        <v>0.45</v>
      </c>
      <c r="AJ66" s="23">
        <f t="shared" si="48"/>
        <v>0</v>
      </c>
      <c r="AK66" s="23">
        <f t="shared" si="49"/>
        <v>0</v>
      </c>
      <c r="AL66" s="23">
        <f t="shared" si="50"/>
        <v>0.8</v>
      </c>
      <c r="AM66" s="23">
        <f t="shared" si="51"/>
        <v>0</v>
      </c>
      <c r="AN66" s="24">
        <f t="shared" si="52"/>
        <v>0</v>
      </c>
      <c r="AO66">
        <f t="shared" si="53"/>
        <v>1.85</v>
      </c>
    </row>
    <row r="67" spans="1:41" x14ac:dyDescent="0.25">
      <c r="B67" s="39" t="s">
        <v>111</v>
      </c>
      <c r="C67" s="68">
        <v>0</v>
      </c>
      <c r="D67" s="68">
        <v>0</v>
      </c>
      <c r="E67" s="68">
        <v>0</v>
      </c>
      <c r="F67" s="68">
        <v>0</v>
      </c>
      <c r="G67" s="68">
        <v>1</v>
      </c>
      <c r="H67" s="68">
        <v>2</v>
      </c>
      <c r="I67" s="68">
        <v>0</v>
      </c>
      <c r="J67" s="68">
        <v>1</v>
      </c>
      <c r="K67" s="68">
        <v>0</v>
      </c>
      <c r="L67" s="44">
        <f t="shared" si="41"/>
        <v>4</v>
      </c>
      <c r="Q67" t="s">
        <v>110</v>
      </c>
      <c r="R67" s="372">
        <v>1</v>
      </c>
      <c r="S67" s="380"/>
      <c r="T67" s="377"/>
      <c r="U67" s="386">
        <v>1</v>
      </c>
      <c r="V67" s="363"/>
      <c r="W67" s="355">
        <v>2</v>
      </c>
      <c r="X67" s="360">
        <v>1</v>
      </c>
      <c r="Y67" s="369"/>
      <c r="Z67" s="366"/>
      <c r="AA67" s="24"/>
      <c r="AB67">
        <f t="shared" si="42"/>
        <v>5</v>
      </c>
      <c r="AD67" t="s">
        <v>110</v>
      </c>
      <c r="AE67" s="22">
        <f t="shared" si="43"/>
        <v>1</v>
      </c>
      <c r="AF67" s="23">
        <f t="shared" si="44"/>
        <v>0</v>
      </c>
      <c r="AG67" s="23">
        <f t="shared" si="45"/>
        <v>0</v>
      </c>
      <c r="AH67" s="23">
        <f t="shared" si="46"/>
        <v>0.3</v>
      </c>
      <c r="AI67" s="23">
        <f t="shared" si="47"/>
        <v>0</v>
      </c>
      <c r="AJ67" s="23">
        <f t="shared" si="48"/>
        <v>1.1000000000000001</v>
      </c>
      <c r="AK67" s="23">
        <f t="shared" si="49"/>
        <v>0.7</v>
      </c>
      <c r="AL67" s="23">
        <f t="shared" si="50"/>
        <v>0</v>
      </c>
      <c r="AM67" s="23">
        <f t="shared" si="51"/>
        <v>0</v>
      </c>
      <c r="AN67" s="24">
        <f t="shared" si="52"/>
        <v>0</v>
      </c>
      <c r="AO67">
        <f t="shared" si="53"/>
        <v>3.1000000000000005</v>
      </c>
    </row>
    <row r="68" spans="1:41" x14ac:dyDescent="0.25">
      <c r="B68" s="39" t="s">
        <v>121</v>
      </c>
      <c r="C68" s="68">
        <v>0</v>
      </c>
      <c r="D68" s="68">
        <v>3</v>
      </c>
      <c r="E68" s="68">
        <v>0</v>
      </c>
      <c r="F68" s="68">
        <v>0</v>
      </c>
      <c r="G68" s="68">
        <v>0</v>
      </c>
      <c r="H68" s="68">
        <v>0</v>
      </c>
      <c r="I68" s="68">
        <v>0</v>
      </c>
      <c r="J68" s="68">
        <v>0</v>
      </c>
      <c r="K68" s="68">
        <v>1</v>
      </c>
      <c r="L68" s="44">
        <f t="shared" si="41"/>
        <v>4</v>
      </c>
      <c r="Q68" t="s">
        <v>109</v>
      </c>
      <c r="R68" s="372"/>
      <c r="S68" s="380">
        <v>1</v>
      </c>
      <c r="T68" s="377"/>
      <c r="U68" s="386"/>
      <c r="V68" s="363"/>
      <c r="W68" s="355">
        <v>1</v>
      </c>
      <c r="X68" s="360"/>
      <c r="Y68" s="369"/>
      <c r="Z68" s="366">
        <v>2</v>
      </c>
      <c r="AA68" s="24">
        <v>1</v>
      </c>
      <c r="AB68">
        <f t="shared" si="42"/>
        <v>5</v>
      </c>
      <c r="AD68" t="s">
        <v>109</v>
      </c>
      <c r="AE68" s="22">
        <f t="shared" si="43"/>
        <v>0</v>
      </c>
      <c r="AF68" s="23">
        <f t="shared" si="44"/>
        <v>0.1</v>
      </c>
      <c r="AG68" s="23">
        <f t="shared" si="45"/>
        <v>0</v>
      </c>
      <c r="AH68" s="23">
        <f t="shared" si="46"/>
        <v>0</v>
      </c>
      <c r="AI68" s="23">
        <f t="shared" si="47"/>
        <v>0</v>
      </c>
      <c r="AJ68" s="23">
        <f t="shared" si="48"/>
        <v>0.55000000000000004</v>
      </c>
      <c r="AK68" s="23">
        <f t="shared" si="49"/>
        <v>0</v>
      </c>
      <c r="AL68" s="23">
        <f t="shared" si="50"/>
        <v>0</v>
      </c>
      <c r="AM68" s="23">
        <f t="shared" si="51"/>
        <v>1.8</v>
      </c>
      <c r="AN68" s="24">
        <f t="shared" si="52"/>
        <v>0</v>
      </c>
      <c r="AO68">
        <f t="shared" si="53"/>
        <v>2.4500000000000002</v>
      </c>
    </row>
    <row r="69" spans="1:41" ht="15.75" thickBot="1" x14ac:dyDescent="0.3">
      <c r="B69" s="39" t="s">
        <v>126</v>
      </c>
      <c r="C69" s="68">
        <v>3</v>
      </c>
      <c r="D69" s="68">
        <v>0</v>
      </c>
      <c r="E69" s="68">
        <v>0</v>
      </c>
      <c r="F69" s="68">
        <v>0</v>
      </c>
      <c r="G69" s="68">
        <v>0</v>
      </c>
      <c r="H69" s="68">
        <v>0</v>
      </c>
      <c r="I69" s="68">
        <v>1</v>
      </c>
      <c r="J69" s="68">
        <v>0</v>
      </c>
      <c r="K69" s="68">
        <v>0</v>
      </c>
      <c r="L69" s="44">
        <f t="shared" si="41"/>
        <v>4</v>
      </c>
      <c r="Q69" t="s">
        <v>111</v>
      </c>
      <c r="R69" s="372"/>
      <c r="S69" s="380"/>
      <c r="T69" s="377"/>
      <c r="U69" s="386">
        <v>1</v>
      </c>
      <c r="V69" s="363">
        <v>2</v>
      </c>
      <c r="W69" s="355"/>
      <c r="X69" s="360"/>
      <c r="Y69" s="369">
        <v>1</v>
      </c>
      <c r="Z69" s="366">
        <v>1</v>
      </c>
      <c r="AA69" s="24"/>
      <c r="AB69">
        <f t="shared" si="42"/>
        <v>5</v>
      </c>
      <c r="AD69" t="s">
        <v>111</v>
      </c>
      <c r="AE69" s="22">
        <f t="shared" si="43"/>
        <v>0</v>
      </c>
      <c r="AF69" s="23">
        <f t="shared" si="44"/>
        <v>0</v>
      </c>
      <c r="AG69" s="23">
        <f t="shared" si="45"/>
        <v>0</v>
      </c>
      <c r="AH69" s="23">
        <f t="shared" si="46"/>
        <v>0.3</v>
      </c>
      <c r="AI69" s="23">
        <f t="shared" si="47"/>
        <v>0.9</v>
      </c>
      <c r="AJ69" s="23">
        <f t="shared" si="48"/>
        <v>0</v>
      </c>
      <c r="AK69" s="23">
        <f t="shared" si="49"/>
        <v>0</v>
      </c>
      <c r="AL69" s="23">
        <f t="shared" si="50"/>
        <v>0.8</v>
      </c>
      <c r="AM69" s="23">
        <f t="shared" si="51"/>
        <v>0.9</v>
      </c>
      <c r="AN69" s="24">
        <f t="shared" si="52"/>
        <v>0</v>
      </c>
      <c r="AO69">
        <f t="shared" si="53"/>
        <v>2.9</v>
      </c>
    </row>
    <row r="70" spans="1:41" ht="15.75" thickBot="1" x14ac:dyDescent="0.3">
      <c r="B70" s="42" t="s">
        <v>92</v>
      </c>
      <c r="C70" s="49">
        <f>SUM(C61:C69)</f>
        <v>4</v>
      </c>
      <c r="D70" s="49">
        <f t="shared" ref="D70" si="54">SUM(D61:D69)</f>
        <v>4</v>
      </c>
      <c r="E70" s="49">
        <f t="shared" ref="E70" si="55">SUM(E61:E69)</f>
        <v>4</v>
      </c>
      <c r="F70" s="49">
        <f t="shared" ref="F70" si="56">SUM(F61:F69)</f>
        <v>4</v>
      </c>
      <c r="G70" s="49">
        <f t="shared" ref="G70" si="57">SUM(G61:G69)</f>
        <v>4</v>
      </c>
      <c r="H70" s="49">
        <f t="shared" ref="H70" si="58">SUM(H61:H69)</f>
        <v>4</v>
      </c>
      <c r="I70" s="49">
        <f t="shared" ref="I70" si="59">SUM(I61:I69)</f>
        <v>4</v>
      </c>
      <c r="J70" s="49">
        <f t="shared" ref="J70" si="60">SUM(J61:J69)</f>
        <v>4</v>
      </c>
      <c r="K70" s="49">
        <f t="shared" ref="K70" si="61">SUM(K61:K69)</f>
        <v>4</v>
      </c>
      <c r="L70" s="42"/>
      <c r="Q70" t="s">
        <v>147</v>
      </c>
      <c r="R70" s="372"/>
      <c r="S70" s="380"/>
      <c r="T70" s="377">
        <v>1</v>
      </c>
      <c r="U70" s="386">
        <v>1</v>
      </c>
      <c r="V70" s="363">
        <v>1</v>
      </c>
      <c r="W70" s="355"/>
      <c r="X70" s="360"/>
      <c r="Y70" s="369"/>
      <c r="Z70" s="366">
        <v>1</v>
      </c>
      <c r="AA70" s="24">
        <v>1</v>
      </c>
      <c r="AB70">
        <f t="shared" si="42"/>
        <v>5</v>
      </c>
      <c r="AD70" t="s">
        <v>147</v>
      </c>
      <c r="AE70" s="22">
        <f t="shared" si="43"/>
        <v>0</v>
      </c>
      <c r="AF70" s="23">
        <f t="shared" si="44"/>
        <v>0</v>
      </c>
      <c r="AG70" s="23">
        <f t="shared" si="45"/>
        <v>0.2</v>
      </c>
      <c r="AH70" s="23">
        <f t="shared" si="46"/>
        <v>0.3</v>
      </c>
      <c r="AI70" s="23">
        <f t="shared" si="47"/>
        <v>0.45</v>
      </c>
      <c r="AJ70" s="23">
        <f t="shared" si="48"/>
        <v>0</v>
      </c>
      <c r="AK70" s="23">
        <f t="shared" si="49"/>
        <v>0</v>
      </c>
      <c r="AL70" s="23">
        <f t="shared" si="50"/>
        <v>0</v>
      </c>
      <c r="AM70" s="23">
        <f t="shared" si="51"/>
        <v>0.9</v>
      </c>
      <c r="AN70" s="24">
        <f t="shared" si="52"/>
        <v>0</v>
      </c>
      <c r="AO70">
        <f t="shared" si="53"/>
        <v>1.85</v>
      </c>
    </row>
    <row r="71" spans="1:41" ht="15.75" thickBot="1" x14ac:dyDescent="0.3">
      <c r="K71" s="256"/>
      <c r="Q71" t="s">
        <v>148</v>
      </c>
      <c r="R71" s="372">
        <v>2</v>
      </c>
      <c r="S71" s="380">
        <v>2</v>
      </c>
      <c r="T71" s="377"/>
      <c r="U71" s="386"/>
      <c r="V71" s="363"/>
      <c r="W71" s="355"/>
      <c r="X71" s="360">
        <v>1</v>
      </c>
      <c r="Y71" s="369"/>
      <c r="Z71" s="366"/>
      <c r="AA71" s="24"/>
      <c r="AB71">
        <f t="shared" si="42"/>
        <v>5</v>
      </c>
      <c r="AD71" t="s">
        <v>148</v>
      </c>
      <c r="AE71" s="22">
        <f t="shared" si="43"/>
        <v>2</v>
      </c>
      <c r="AF71" s="23">
        <f t="shared" si="44"/>
        <v>0.2</v>
      </c>
      <c r="AG71" s="23">
        <f t="shared" si="45"/>
        <v>0</v>
      </c>
      <c r="AH71" s="23">
        <f t="shared" si="46"/>
        <v>0</v>
      </c>
      <c r="AI71" s="23">
        <f t="shared" si="47"/>
        <v>0</v>
      </c>
      <c r="AJ71" s="23">
        <f t="shared" si="48"/>
        <v>0</v>
      </c>
      <c r="AK71" s="23">
        <f t="shared" si="49"/>
        <v>0.7</v>
      </c>
      <c r="AL71" s="23">
        <f t="shared" si="50"/>
        <v>0</v>
      </c>
      <c r="AM71" s="23">
        <f t="shared" si="51"/>
        <v>0</v>
      </c>
      <c r="AN71" s="24">
        <f t="shared" si="52"/>
        <v>0</v>
      </c>
      <c r="AO71">
        <f t="shared" si="53"/>
        <v>2.9000000000000004</v>
      </c>
    </row>
    <row r="72" spans="1:41" ht="15.75" thickBot="1" x14ac:dyDescent="0.3">
      <c r="A72" s="23"/>
      <c r="B72" s="293" t="s">
        <v>132</v>
      </c>
      <c r="C72" s="403" t="s">
        <v>87</v>
      </c>
      <c r="D72" s="404"/>
      <c r="E72" s="404"/>
      <c r="F72" s="404"/>
      <c r="G72" s="404"/>
      <c r="H72" s="404"/>
      <c r="I72" s="404"/>
      <c r="J72" s="404"/>
      <c r="K72" s="405"/>
      <c r="L72" s="21" t="s">
        <v>92</v>
      </c>
      <c r="Q72" t="s">
        <v>156</v>
      </c>
      <c r="R72" s="374">
        <v>2</v>
      </c>
      <c r="S72" s="381">
        <v>1</v>
      </c>
      <c r="T72" s="378">
        <v>1</v>
      </c>
      <c r="U72" s="387"/>
      <c r="V72" s="364"/>
      <c r="W72" s="356"/>
      <c r="X72" s="361"/>
      <c r="Y72" s="370"/>
      <c r="Z72" s="367"/>
      <c r="AA72" s="27">
        <v>1</v>
      </c>
      <c r="AB72">
        <f t="shared" si="42"/>
        <v>5</v>
      </c>
      <c r="AD72" t="s">
        <v>156</v>
      </c>
      <c r="AE72" s="25">
        <f t="shared" si="43"/>
        <v>2</v>
      </c>
      <c r="AF72" s="26">
        <f t="shared" si="44"/>
        <v>0.1</v>
      </c>
      <c r="AG72" s="26">
        <f t="shared" si="45"/>
        <v>0.2</v>
      </c>
      <c r="AH72" s="26">
        <f t="shared" si="46"/>
        <v>0</v>
      </c>
      <c r="AI72" s="26">
        <f t="shared" si="47"/>
        <v>0</v>
      </c>
      <c r="AJ72" s="26">
        <f t="shared" si="48"/>
        <v>0</v>
      </c>
      <c r="AK72" s="26">
        <f t="shared" si="49"/>
        <v>0</v>
      </c>
      <c r="AL72" s="26">
        <f t="shared" si="50"/>
        <v>0</v>
      </c>
      <c r="AM72" s="26">
        <f t="shared" si="51"/>
        <v>0</v>
      </c>
      <c r="AN72" s="27">
        <f t="shared" si="52"/>
        <v>0</v>
      </c>
      <c r="AO72">
        <f t="shared" si="53"/>
        <v>2.3000000000000003</v>
      </c>
    </row>
    <row r="73" spans="1:41" s="297" customFormat="1" ht="15.75" thickBot="1" x14ac:dyDescent="0.3">
      <c r="B73" s="157"/>
      <c r="C73" s="294" t="s">
        <v>23</v>
      </c>
      <c r="D73" s="294" t="s">
        <v>24</v>
      </c>
      <c r="E73" s="294" t="s">
        <v>25</v>
      </c>
      <c r="F73" s="294" t="s">
        <v>26</v>
      </c>
      <c r="G73" s="294" t="s">
        <v>27</v>
      </c>
      <c r="H73" s="294" t="s">
        <v>62</v>
      </c>
      <c r="I73" s="294" t="s">
        <v>63</v>
      </c>
      <c r="J73" s="295" t="s">
        <v>128</v>
      </c>
      <c r="K73" s="296" t="s">
        <v>129</v>
      </c>
      <c r="L73" s="157"/>
      <c r="Q73" t="s">
        <v>92</v>
      </c>
      <c r="R73">
        <f>SUM(R63:R72)</f>
        <v>5</v>
      </c>
      <c r="S73">
        <f t="shared" ref="S73:U73" si="62">SUM(S63:S72)</f>
        <v>5</v>
      </c>
      <c r="T73">
        <f t="shared" si="62"/>
        <v>5</v>
      </c>
      <c r="U73">
        <f t="shared" si="62"/>
        <v>5</v>
      </c>
      <c r="V73">
        <f>SUM(V63:V72)</f>
        <v>5</v>
      </c>
      <c r="W73">
        <f>SUM(W63:W72)</f>
        <v>5</v>
      </c>
      <c r="X73">
        <f t="shared" ref="X73:AA73" si="63">SUM(X63:X72)</f>
        <v>5</v>
      </c>
      <c r="Y73">
        <f t="shared" si="63"/>
        <v>5</v>
      </c>
      <c r="Z73">
        <f t="shared" si="63"/>
        <v>5</v>
      </c>
      <c r="AA73">
        <f t="shared" si="63"/>
        <v>5</v>
      </c>
      <c r="AB73"/>
      <c r="AD73" t="s">
        <v>92</v>
      </c>
      <c r="AE73">
        <f>SUM(AE63:AE72)</f>
        <v>5</v>
      </c>
      <c r="AF73">
        <f t="shared" ref="AF73:AN73" si="64">SUM(AF63:AF72)</f>
        <v>0.5</v>
      </c>
      <c r="AG73">
        <f t="shared" si="64"/>
        <v>1</v>
      </c>
      <c r="AH73">
        <f t="shared" si="64"/>
        <v>1.5</v>
      </c>
      <c r="AI73">
        <f t="shared" si="64"/>
        <v>2.25</v>
      </c>
      <c r="AJ73">
        <f t="shared" si="64"/>
        <v>2.75</v>
      </c>
      <c r="AK73">
        <f t="shared" si="64"/>
        <v>3.5</v>
      </c>
      <c r="AL73">
        <f t="shared" si="64"/>
        <v>4</v>
      </c>
      <c r="AM73">
        <f t="shared" si="64"/>
        <v>4.5</v>
      </c>
      <c r="AN73">
        <f t="shared" si="64"/>
        <v>0</v>
      </c>
    </row>
    <row r="74" spans="1:41" x14ac:dyDescent="0.25">
      <c r="B74" s="39" t="s">
        <v>105</v>
      </c>
      <c r="C74" s="68">
        <v>0</v>
      </c>
      <c r="D74" s="68">
        <v>0</v>
      </c>
      <c r="E74" s="68">
        <v>0</v>
      </c>
      <c r="F74" s="68">
        <v>0</v>
      </c>
      <c r="G74" s="68">
        <v>0</v>
      </c>
      <c r="H74" s="68">
        <v>1</v>
      </c>
      <c r="I74" s="68">
        <v>0</v>
      </c>
      <c r="J74" s="68">
        <v>1</v>
      </c>
      <c r="K74" s="68">
        <v>0</v>
      </c>
      <c r="L74" s="116">
        <f>SUM(C74:K74)</f>
        <v>2</v>
      </c>
    </row>
    <row r="75" spans="1:41" ht="15.75" thickBot="1" x14ac:dyDescent="0.3">
      <c r="B75" s="39" t="s">
        <v>106</v>
      </c>
      <c r="C75" s="68">
        <v>0</v>
      </c>
      <c r="D75" s="68">
        <v>0</v>
      </c>
      <c r="E75" s="68">
        <v>1</v>
      </c>
      <c r="F75" s="68">
        <v>0</v>
      </c>
      <c r="G75" s="68">
        <v>0</v>
      </c>
      <c r="H75" s="68">
        <v>0</v>
      </c>
      <c r="I75" s="68">
        <v>1</v>
      </c>
      <c r="J75" s="68">
        <v>0</v>
      </c>
      <c r="K75" s="68">
        <v>0</v>
      </c>
      <c r="L75" s="44">
        <f t="shared" ref="L75:L82" si="65">SUM(C75:K75)</f>
        <v>2</v>
      </c>
    </row>
    <row r="76" spans="1:41" ht="15.75" thickBot="1" x14ac:dyDescent="0.3">
      <c r="B76" s="39" t="s">
        <v>107</v>
      </c>
      <c r="C76" s="68">
        <v>0</v>
      </c>
      <c r="D76" s="68">
        <v>0</v>
      </c>
      <c r="E76" s="68">
        <v>0</v>
      </c>
      <c r="F76" s="68">
        <v>0</v>
      </c>
      <c r="G76" s="68">
        <v>0</v>
      </c>
      <c r="H76" s="68">
        <v>1</v>
      </c>
      <c r="I76" s="68">
        <v>0</v>
      </c>
      <c r="J76" s="68">
        <v>1</v>
      </c>
      <c r="K76" s="68">
        <v>0</v>
      </c>
      <c r="L76" s="44">
        <f t="shared" si="65"/>
        <v>2</v>
      </c>
      <c r="Q76" s="383"/>
      <c r="R76" s="359"/>
      <c r="S76" s="20"/>
      <c r="T76" s="362"/>
      <c r="U76" s="354"/>
      <c r="V76" s="365"/>
      <c r="W76" s="368"/>
      <c r="X76" s="385"/>
      <c r="Y76" s="379"/>
      <c r="Z76" s="357"/>
      <c r="AA76" s="334"/>
      <c r="AD76" s="41" t="s">
        <v>105</v>
      </c>
      <c r="AE76" s="21">
        <f>AO63/10</f>
        <v>0.21000000000000002</v>
      </c>
    </row>
    <row r="77" spans="1:41" ht="15.75" thickBot="1" x14ac:dyDescent="0.3">
      <c r="B77" s="39" t="s">
        <v>108</v>
      </c>
      <c r="C77" s="68">
        <v>0</v>
      </c>
      <c r="D77" s="68">
        <v>1</v>
      </c>
      <c r="E77" s="68">
        <v>0</v>
      </c>
      <c r="F77" s="68">
        <v>0</v>
      </c>
      <c r="G77" s="68">
        <v>0</v>
      </c>
      <c r="H77" s="68">
        <v>0</v>
      </c>
      <c r="I77" s="68">
        <v>1</v>
      </c>
      <c r="J77" s="68">
        <v>0</v>
      </c>
      <c r="K77" s="68">
        <v>0</v>
      </c>
      <c r="L77" s="44">
        <f t="shared" si="65"/>
        <v>2</v>
      </c>
      <c r="Q77" s="22"/>
      <c r="R77" s="360"/>
      <c r="S77" s="369"/>
      <c r="T77" s="377"/>
      <c r="U77" s="355"/>
      <c r="V77" s="366"/>
      <c r="W77" s="386"/>
      <c r="X77" s="363"/>
      <c r="Y77" s="373"/>
      <c r="Z77" s="382"/>
      <c r="AA77" s="334"/>
      <c r="AD77" s="39" t="s">
        <v>106</v>
      </c>
      <c r="AE77" s="21">
        <f t="shared" ref="AE77:AE85" si="66">AO64/10</f>
        <v>0.29500000000000004</v>
      </c>
    </row>
    <row r="78" spans="1:41" ht="15.75" thickBot="1" x14ac:dyDescent="0.3">
      <c r="B78" s="39" t="s">
        <v>110</v>
      </c>
      <c r="C78" s="68">
        <v>0</v>
      </c>
      <c r="D78" s="68">
        <v>0</v>
      </c>
      <c r="E78" s="68">
        <v>1</v>
      </c>
      <c r="F78" s="68">
        <v>0</v>
      </c>
      <c r="G78" s="68">
        <v>1</v>
      </c>
      <c r="H78" s="68">
        <v>0</v>
      </c>
      <c r="I78" s="68">
        <v>0</v>
      </c>
      <c r="J78" s="68">
        <v>0</v>
      </c>
      <c r="K78" s="68">
        <v>0</v>
      </c>
      <c r="L78" s="44">
        <f t="shared" si="65"/>
        <v>2</v>
      </c>
      <c r="Q78" s="389"/>
      <c r="R78" s="377"/>
      <c r="S78" s="386"/>
      <c r="T78" s="369"/>
      <c r="U78" s="373"/>
      <c r="V78" s="380"/>
      <c r="W78" s="363"/>
      <c r="X78" s="366"/>
      <c r="Y78" s="360"/>
      <c r="Z78" s="24"/>
      <c r="AA78" s="334"/>
      <c r="AD78" s="39" t="s">
        <v>107</v>
      </c>
      <c r="AE78" s="21">
        <f t="shared" si="66"/>
        <v>0.26</v>
      </c>
    </row>
    <row r="79" spans="1:41" ht="15.75" thickBot="1" x14ac:dyDescent="0.3">
      <c r="B79" s="39" t="s">
        <v>109</v>
      </c>
      <c r="C79" s="68">
        <v>1</v>
      </c>
      <c r="D79" s="68">
        <v>0</v>
      </c>
      <c r="E79" s="68">
        <v>0</v>
      </c>
      <c r="F79" s="68">
        <v>0</v>
      </c>
      <c r="G79" s="68">
        <v>1</v>
      </c>
      <c r="H79" s="68">
        <v>0</v>
      </c>
      <c r="I79" s="68">
        <v>0</v>
      </c>
      <c r="J79" s="68">
        <v>0</v>
      </c>
      <c r="K79" s="68">
        <v>0</v>
      </c>
      <c r="L79" s="44">
        <f t="shared" si="65"/>
        <v>2</v>
      </c>
      <c r="Q79" s="388"/>
      <c r="R79" s="355"/>
      <c r="S79" s="369"/>
      <c r="T79" s="386"/>
      <c r="U79" s="360"/>
      <c r="V79" s="23"/>
      <c r="W79" s="366"/>
      <c r="X79" s="377"/>
      <c r="Y79" s="380"/>
      <c r="Z79" s="358"/>
      <c r="AA79" s="334"/>
      <c r="AD79" s="39" t="s">
        <v>108</v>
      </c>
      <c r="AE79" s="21">
        <f t="shared" si="66"/>
        <v>0.185</v>
      </c>
    </row>
    <row r="80" spans="1:41" ht="15.75" thickBot="1" x14ac:dyDescent="0.3">
      <c r="B80" s="39" t="s">
        <v>111</v>
      </c>
      <c r="C80" s="68">
        <v>0</v>
      </c>
      <c r="D80" s="68">
        <v>0</v>
      </c>
      <c r="E80" s="68">
        <v>0</v>
      </c>
      <c r="F80" s="68">
        <v>1</v>
      </c>
      <c r="G80" s="68">
        <v>0</v>
      </c>
      <c r="H80" s="68">
        <v>0</v>
      </c>
      <c r="I80" s="68">
        <v>0</v>
      </c>
      <c r="J80" s="68">
        <v>0</v>
      </c>
      <c r="K80" s="68">
        <v>1</v>
      </c>
      <c r="L80" s="44">
        <f t="shared" si="65"/>
        <v>2</v>
      </c>
      <c r="Q80" s="390"/>
      <c r="R80" s="370"/>
      <c r="S80" s="361"/>
      <c r="T80" s="381"/>
      <c r="U80" s="387"/>
      <c r="V80" s="356"/>
      <c r="W80" s="364"/>
      <c r="X80" s="26"/>
      <c r="Y80" s="375"/>
      <c r="Z80" s="384"/>
      <c r="AA80" s="347"/>
      <c r="AD80" s="39" t="s">
        <v>110</v>
      </c>
      <c r="AE80" s="21">
        <f t="shared" si="66"/>
        <v>0.31000000000000005</v>
      </c>
    </row>
    <row r="81" spans="2:31" ht="15.75" thickBot="1" x14ac:dyDescent="0.3">
      <c r="B81" s="39" t="s">
        <v>147</v>
      </c>
      <c r="C81" s="68">
        <v>0</v>
      </c>
      <c r="D81" s="68">
        <v>0</v>
      </c>
      <c r="E81" s="68">
        <v>0</v>
      </c>
      <c r="F81" s="68">
        <v>1</v>
      </c>
      <c r="G81" s="68">
        <v>0</v>
      </c>
      <c r="H81" s="68">
        <v>0</v>
      </c>
      <c r="I81" s="68">
        <v>0</v>
      </c>
      <c r="J81" s="68">
        <v>0</v>
      </c>
      <c r="K81" s="68">
        <v>1</v>
      </c>
      <c r="L81" s="44">
        <f t="shared" si="65"/>
        <v>2</v>
      </c>
      <c r="AD81" s="39" t="s">
        <v>109</v>
      </c>
      <c r="AE81" s="21">
        <f t="shared" si="66"/>
        <v>0.24500000000000002</v>
      </c>
    </row>
    <row r="82" spans="2:31" ht="15.75" thickBot="1" x14ac:dyDescent="0.3">
      <c r="B82" s="40" t="s">
        <v>148</v>
      </c>
      <c r="C82" s="68">
        <v>1</v>
      </c>
      <c r="D82" s="68">
        <v>1</v>
      </c>
      <c r="E82" s="68">
        <v>0</v>
      </c>
      <c r="F82" s="68">
        <v>0</v>
      </c>
      <c r="G82" s="68">
        <v>0</v>
      </c>
      <c r="H82" s="68">
        <v>0</v>
      </c>
      <c r="I82" s="68">
        <v>0</v>
      </c>
      <c r="J82" s="68">
        <v>0</v>
      </c>
      <c r="K82" s="68">
        <v>0</v>
      </c>
      <c r="L82" s="44">
        <f t="shared" si="65"/>
        <v>2</v>
      </c>
      <c r="AD82" s="39" t="s">
        <v>111</v>
      </c>
      <c r="AE82" s="21">
        <f t="shared" si="66"/>
        <v>0.28999999999999998</v>
      </c>
    </row>
    <row r="83" spans="2:31" ht="15.75" thickBot="1" x14ac:dyDescent="0.3">
      <c r="B83" s="40" t="s">
        <v>92</v>
      </c>
      <c r="C83" s="48">
        <f>SUM(C74:C82)</f>
        <v>2</v>
      </c>
      <c r="D83" s="49">
        <f t="shared" ref="D83" si="67">SUM(D74:D82)</f>
        <v>2</v>
      </c>
      <c r="E83" s="49">
        <f t="shared" ref="E83" si="68">SUM(E74:E82)</f>
        <v>2</v>
      </c>
      <c r="F83" s="49">
        <f t="shared" ref="F83" si="69">SUM(F74:F82)</f>
        <v>2</v>
      </c>
      <c r="G83" s="49">
        <f t="shared" ref="G83" si="70">SUM(G74:G82)</f>
        <v>2</v>
      </c>
      <c r="H83" s="49">
        <f t="shared" ref="H83" si="71">SUM(H74:H82)</f>
        <v>2</v>
      </c>
      <c r="I83" s="49">
        <f t="shared" ref="I83" si="72">SUM(I74:I82)</f>
        <v>2</v>
      </c>
      <c r="J83" s="49">
        <f t="shared" ref="J83" si="73">SUM(J74:J82)</f>
        <v>2</v>
      </c>
      <c r="K83" s="49">
        <f t="shared" ref="K83" si="74">SUM(K74:K82)</f>
        <v>2</v>
      </c>
      <c r="L83" s="42"/>
      <c r="AD83" s="39" t="s">
        <v>147</v>
      </c>
      <c r="AE83" s="21">
        <f t="shared" si="66"/>
        <v>0.185</v>
      </c>
    </row>
    <row r="84" spans="2:31" ht="15.75" thickBot="1" x14ac:dyDescent="0.3">
      <c r="AD84" s="39" t="s">
        <v>148</v>
      </c>
      <c r="AE84" s="21">
        <f t="shared" si="66"/>
        <v>0.29000000000000004</v>
      </c>
    </row>
    <row r="85" spans="2:31" ht="15.75" thickBot="1" x14ac:dyDescent="0.3">
      <c r="AD85" s="40" t="s">
        <v>156</v>
      </c>
      <c r="AE85" s="21">
        <f t="shared" si="66"/>
        <v>0.23000000000000004</v>
      </c>
    </row>
    <row r="87" spans="2:31" x14ac:dyDescent="0.25">
      <c r="C87" s="297"/>
      <c r="D87" s="297"/>
      <c r="E87" s="297"/>
      <c r="F87" s="297"/>
      <c r="G87" s="297"/>
      <c r="H87" s="297"/>
      <c r="I87" s="297"/>
      <c r="J87" s="297"/>
      <c r="K87" s="297"/>
    </row>
    <row r="88" spans="2:31" x14ac:dyDescent="0.25">
      <c r="C88" s="438" t="s">
        <v>139</v>
      </c>
      <c r="D88" s="438"/>
    </row>
    <row r="89" spans="2:31" x14ac:dyDescent="0.25">
      <c r="C89" s="276" t="s">
        <v>105</v>
      </c>
      <c r="D89" s="276">
        <v>0.46</v>
      </c>
    </row>
    <row r="90" spans="2:31" x14ac:dyDescent="0.25">
      <c r="C90" s="276" t="s">
        <v>106</v>
      </c>
      <c r="D90" s="276">
        <v>0.45</v>
      </c>
    </row>
    <row r="91" spans="2:31" x14ac:dyDescent="0.25">
      <c r="C91" s="276" t="s">
        <v>107</v>
      </c>
      <c r="D91" s="276">
        <v>0.41</v>
      </c>
    </row>
    <row r="92" spans="2:31" x14ac:dyDescent="0.25">
      <c r="C92" s="276" t="s">
        <v>108</v>
      </c>
      <c r="D92" s="276">
        <v>0.48</v>
      </c>
    </row>
    <row r="93" spans="2:31" x14ac:dyDescent="0.25">
      <c r="C93" s="276" t="s">
        <v>110</v>
      </c>
      <c r="D93" s="276">
        <v>0.6</v>
      </c>
    </row>
    <row r="94" spans="2:31" x14ac:dyDescent="0.25">
      <c r="C94" s="276" t="s">
        <v>109</v>
      </c>
      <c r="D94" s="276">
        <v>0.33</v>
      </c>
    </row>
    <row r="95" spans="2:31" x14ac:dyDescent="0.25">
      <c r="C95" s="276" t="s">
        <v>111</v>
      </c>
      <c r="D95" s="276">
        <v>0.48</v>
      </c>
    </row>
    <row r="96" spans="2:31" x14ac:dyDescent="0.25">
      <c r="C96" s="276" t="s">
        <v>147</v>
      </c>
      <c r="D96" s="276">
        <v>0.57999999999999996</v>
      </c>
    </row>
    <row r="97" spans="3:4" x14ac:dyDescent="0.25">
      <c r="C97" s="276" t="s">
        <v>148</v>
      </c>
      <c r="D97" s="276">
        <v>0.73</v>
      </c>
    </row>
  </sheetData>
  <mergeCells count="14">
    <mergeCell ref="R46:Z46"/>
    <mergeCell ref="Q45:AA45"/>
    <mergeCell ref="C46:K46"/>
    <mergeCell ref="C59:K59"/>
    <mergeCell ref="C88:D88"/>
    <mergeCell ref="C72:K72"/>
    <mergeCell ref="Q60:AA60"/>
    <mergeCell ref="R61:Z61"/>
    <mergeCell ref="B28:H28"/>
    <mergeCell ref="B15:H15"/>
    <mergeCell ref="A1:K1"/>
    <mergeCell ref="B2:H2"/>
    <mergeCell ref="A14:K14"/>
    <mergeCell ref="A27:K27"/>
  </mergeCells>
  <pageMargins left="0.7" right="0.7" top="0.75" bottom="0.75" header="0.3" footer="0.3"/>
  <pageSetup orientation="portrait" horizontalDpi="4294967293" verticalDpi="4294967293"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72"/>
  <sheetViews>
    <sheetView topLeftCell="A43" zoomScale="75" zoomScaleNormal="75" workbookViewId="0">
      <selection activeCell="H82" sqref="H82"/>
    </sheetView>
  </sheetViews>
  <sheetFormatPr defaultRowHeight="15" x14ac:dyDescent="0.25"/>
  <cols>
    <col min="1" max="1" width="20.140625" customWidth="1"/>
    <col min="2" max="2" width="13.140625" customWidth="1"/>
    <col min="3" max="3" width="15.28515625" customWidth="1"/>
    <col min="4" max="4" width="12.85546875" customWidth="1"/>
    <col min="5" max="5" width="15.28515625" customWidth="1"/>
    <col min="6" max="6" width="10.28515625" customWidth="1"/>
    <col min="7" max="7" width="13.5703125" customWidth="1"/>
    <col min="8" max="8" width="20.7109375" customWidth="1"/>
  </cols>
  <sheetData>
    <row r="1" spans="1:11" ht="15.75" thickBot="1" x14ac:dyDescent="0.3">
      <c r="A1" s="439" t="s">
        <v>54</v>
      </c>
      <c r="B1" s="439"/>
      <c r="C1" s="439"/>
      <c r="D1" s="439"/>
      <c r="E1" s="439"/>
      <c r="F1" s="439"/>
      <c r="G1" s="439"/>
      <c r="H1" s="439"/>
      <c r="I1" s="34"/>
      <c r="J1" s="23"/>
      <c r="K1" s="23"/>
    </row>
    <row r="2" spans="1:11" ht="15.75" thickBot="1" x14ac:dyDescent="0.3">
      <c r="A2" s="406" t="s">
        <v>66</v>
      </c>
      <c r="B2" s="407"/>
      <c r="C2" s="407"/>
      <c r="D2" s="407"/>
      <c r="E2" s="407"/>
      <c r="F2" s="407"/>
      <c r="G2" s="407"/>
      <c r="H2" s="408"/>
      <c r="I2" s="23"/>
      <c r="J2" s="23"/>
      <c r="K2" s="23"/>
    </row>
    <row r="3" spans="1:11" ht="15.75" thickBot="1" x14ac:dyDescent="0.3">
      <c r="A3" s="43"/>
      <c r="B3" s="433" t="s">
        <v>1</v>
      </c>
      <c r="C3" s="434"/>
      <c r="D3" s="433" t="s">
        <v>83</v>
      </c>
      <c r="E3" s="434"/>
      <c r="F3" s="433" t="s">
        <v>21</v>
      </c>
      <c r="G3" s="434"/>
      <c r="H3" s="41" t="s">
        <v>22</v>
      </c>
      <c r="I3" s="23"/>
      <c r="J3" s="23"/>
      <c r="K3" s="23"/>
    </row>
    <row r="4" spans="1:11" ht="15.75" thickBot="1" x14ac:dyDescent="0.3">
      <c r="A4" s="41"/>
      <c r="B4" s="28" t="s">
        <v>50</v>
      </c>
      <c r="C4" s="47" t="s">
        <v>65</v>
      </c>
      <c r="D4" s="46" t="s">
        <v>79</v>
      </c>
      <c r="E4" s="47" t="s">
        <v>80</v>
      </c>
      <c r="F4" s="20" t="s">
        <v>11</v>
      </c>
      <c r="G4" s="41" t="s">
        <v>12</v>
      </c>
      <c r="H4" s="41"/>
    </row>
    <row r="5" spans="1:11" x14ac:dyDescent="0.25">
      <c r="A5" s="22" t="s">
        <v>13</v>
      </c>
      <c r="B5" s="121">
        <v>0</v>
      </c>
      <c r="C5" s="73">
        <v>35</v>
      </c>
      <c r="D5" s="72">
        <v>32</v>
      </c>
      <c r="E5" s="73">
        <v>73</v>
      </c>
      <c r="F5" s="72"/>
      <c r="G5" s="73"/>
      <c r="H5" s="73">
        <f>SUM(B5:G5)</f>
        <v>140</v>
      </c>
    </row>
    <row r="6" spans="1:11" x14ac:dyDescent="0.25">
      <c r="A6" s="22" t="s">
        <v>15</v>
      </c>
      <c r="B6" s="73">
        <v>0</v>
      </c>
      <c r="C6" s="73">
        <v>24</v>
      </c>
      <c r="D6" s="72">
        <v>29</v>
      </c>
      <c r="E6" s="73">
        <v>69</v>
      </c>
      <c r="F6" s="72"/>
      <c r="G6" s="73"/>
      <c r="H6" s="213">
        <f t="shared" ref="H6:H11" si="0">SUM(B6:G6)</f>
        <v>122</v>
      </c>
    </row>
    <row r="7" spans="1:11" x14ac:dyDescent="0.25">
      <c r="A7" s="22" t="s">
        <v>6</v>
      </c>
      <c r="B7" s="73">
        <v>0</v>
      </c>
      <c r="C7" s="73">
        <v>28</v>
      </c>
      <c r="D7" s="72">
        <v>28</v>
      </c>
      <c r="E7" s="73">
        <v>70</v>
      </c>
      <c r="F7" s="72"/>
      <c r="G7" s="73"/>
      <c r="H7" s="215">
        <f t="shared" si="0"/>
        <v>126</v>
      </c>
    </row>
    <row r="8" spans="1:11" x14ac:dyDescent="0.25">
      <c r="A8" s="22" t="s">
        <v>56</v>
      </c>
      <c r="B8" s="73">
        <v>0</v>
      </c>
      <c r="C8" s="73">
        <v>12</v>
      </c>
      <c r="D8" s="72">
        <v>31</v>
      </c>
      <c r="E8" s="73">
        <v>73</v>
      </c>
      <c r="F8" s="72"/>
      <c r="G8" s="73"/>
      <c r="H8" s="212">
        <f t="shared" si="0"/>
        <v>116</v>
      </c>
    </row>
    <row r="9" spans="1:11" x14ac:dyDescent="0.25">
      <c r="A9" s="73" t="s">
        <v>104</v>
      </c>
      <c r="B9" s="73">
        <v>0</v>
      </c>
      <c r="C9" s="73">
        <v>24</v>
      </c>
      <c r="D9" s="72">
        <v>35</v>
      </c>
      <c r="E9" s="73">
        <v>70</v>
      </c>
      <c r="F9" s="72"/>
      <c r="G9" s="73"/>
      <c r="H9" s="214">
        <f t="shared" si="0"/>
        <v>129</v>
      </c>
    </row>
    <row r="10" spans="1:11" x14ac:dyDescent="0.25">
      <c r="A10" s="73" t="s">
        <v>86</v>
      </c>
      <c r="B10" s="73">
        <v>0</v>
      </c>
      <c r="C10" s="73">
        <v>30</v>
      </c>
      <c r="D10" s="72">
        <v>35</v>
      </c>
      <c r="E10" s="73">
        <v>74</v>
      </c>
      <c r="F10" s="72"/>
      <c r="G10" s="73"/>
      <c r="H10" s="216">
        <f t="shared" si="0"/>
        <v>139</v>
      </c>
    </row>
    <row r="11" spans="1:11" x14ac:dyDescent="0.25">
      <c r="A11" s="70" t="s">
        <v>82</v>
      </c>
      <c r="B11" s="73">
        <v>0</v>
      </c>
      <c r="C11" s="73">
        <v>19</v>
      </c>
      <c r="D11" s="72">
        <v>32</v>
      </c>
      <c r="E11" s="73">
        <v>70</v>
      </c>
      <c r="F11" s="72"/>
      <c r="G11" s="73"/>
      <c r="H11" s="308">
        <f t="shared" si="0"/>
        <v>121</v>
      </c>
    </row>
    <row r="12" spans="1:11" x14ac:dyDescent="0.25">
      <c r="A12" s="306" t="s">
        <v>121</v>
      </c>
      <c r="B12" s="306">
        <v>0</v>
      </c>
      <c r="C12" s="306">
        <v>20</v>
      </c>
      <c r="D12" s="306">
        <v>40</v>
      </c>
      <c r="E12" s="306">
        <v>68</v>
      </c>
      <c r="F12" s="306"/>
      <c r="G12" s="306"/>
      <c r="H12" s="306">
        <f>SUM(B12:G12)</f>
        <v>128</v>
      </c>
    </row>
    <row r="13" spans="1:11" x14ac:dyDescent="0.25">
      <c r="A13" s="276" t="s">
        <v>127</v>
      </c>
      <c r="B13" s="276">
        <v>0</v>
      </c>
      <c r="C13" s="276">
        <v>0</v>
      </c>
      <c r="D13" s="276">
        <v>52</v>
      </c>
      <c r="E13" s="276">
        <v>70</v>
      </c>
      <c r="F13" s="276"/>
      <c r="G13" s="276"/>
      <c r="H13" s="276">
        <f>SUM(B13:G13)</f>
        <v>122</v>
      </c>
    </row>
    <row r="18" spans="1:8" ht="15.75" thickBot="1" x14ac:dyDescent="0.3">
      <c r="A18" s="439" t="s">
        <v>55</v>
      </c>
      <c r="B18" s="439"/>
      <c r="C18" s="439"/>
      <c r="D18" s="439"/>
      <c r="E18" s="439"/>
      <c r="F18" s="439"/>
      <c r="G18" s="439"/>
      <c r="H18" s="439"/>
    </row>
    <row r="19" spans="1:8" ht="15.75" thickBot="1" x14ac:dyDescent="0.3">
      <c r="A19" s="406" t="s">
        <v>66</v>
      </c>
      <c r="B19" s="407"/>
      <c r="C19" s="407"/>
      <c r="D19" s="407"/>
      <c r="E19" s="407"/>
      <c r="F19" s="407"/>
      <c r="G19" s="407"/>
      <c r="H19" s="408"/>
    </row>
    <row r="20" spans="1:8" ht="15.75" thickBot="1" x14ac:dyDescent="0.3">
      <c r="A20" s="43"/>
      <c r="B20" s="433" t="s">
        <v>1</v>
      </c>
      <c r="C20" s="434"/>
      <c r="D20" s="433" t="s">
        <v>83</v>
      </c>
      <c r="E20" s="434"/>
      <c r="F20" s="433" t="s">
        <v>21</v>
      </c>
      <c r="G20" s="434"/>
      <c r="H20" s="41" t="s">
        <v>22</v>
      </c>
    </row>
    <row r="21" spans="1:8" ht="15.75" thickBot="1" x14ac:dyDescent="0.3">
      <c r="A21" s="41"/>
      <c r="B21" s="46" t="s">
        <v>50</v>
      </c>
      <c r="C21" s="47" t="s">
        <v>65</v>
      </c>
      <c r="D21" s="46" t="s">
        <v>79</v>
      </c>
      <c r="E21" s="47" t="s">
        <v>80</v>
      </c>
      <c r="F21" s="20" t="s">
        <v>11</v>
      </c>
      <c r="G21" s="41" t="s">
        <v>12</v>
      </c>
      <c r="H21" s="41"/>
    </row>
    <row r="22" spans="1:8" x14ac:dyDescent="0.25">
      <c r="A22" s="22" t="s">
        <v>13</v>
      </c>
      <c r="B22" s="41">
        <v>0</v>
      </c>
      <c r="C22" s="21">
        <v>20</v>
      </c>
      <c r="D22" s="21">
        <v>35</v>
      </c>
      <c r="E22" s="21">
        <v>81</v>
      </c>
      <c r="F22" s="23"/>
      <c r="G22" s="44"/>
      <c r="H22" s="218">
        <f>SUM(B22:G22)</f>
        <v>136</v>
      </c>
    </row>
    <row r="23" spans="1:8" x14ac:dyDescent="0.25">
      <c r="A23" s="22" t="s">
        <v>15</v>
      </c>
      <c r="B23" s="39">
        <v>0</v>
      </c>
      <c r="C23" s="24">
        <v>20</v>
      </c>
      <c r="D23" s="24">
        <v>35</v>
      </c>
      <c r="E23" s="24">
        <v>83</v>
      </c>
      <c r="F23" s="23"/>
      <c r="G23" s="39"/>
      <c r="H23" s="219">
        <f t="shared" ref="H23:H28" si="1">SUM(B23:G23)</f>
        <v>138</v>
      </c>
    </row>
    <row r="24" spans="1:8" x14ac:dyDescent="0.25">
      <c r="A24" s="22" t="s">
        <v>6</v>
      </c>
      <c r="B24" s="39">
        <v>0</v>
      </c>
      <c r="C24" s="24">
        <v>20</v>
      </c>
      <c r="D24" s="24">
        <v>33</v>
      </c>
      <c r="E24" s="24">
        <v>79</v>
      </c>
      <c r="F24" s="23"/>
      <c r="G24" s="39"/>
      <c r="H24" s="217">
        <f t="shared" si="1"/>
        <v>132</v>
      </c>
    </row>
    <row r="25" spans="1:8" x14ac:dyDescent="0.25">
      <c r="A25" s="22" t="s">
        <v>56</v>
      </c>
      <c r="B25" s="39">
        <v>0</v>
      </c>
      <c r="C25" s="24">
        <v>19</v>
      </c>
      <c r="D25" s="24">
        <v>34</v>
      </c>
      <c r="E25" s="24">
        <v>83</v>
      </c>
      <c r="F25" s="30"/>
      <c r="G25" s="45"/>
      <c r="H25" s="218">
        <f t="shared" si="1"/>
        <v>136</v>
      </c>
    </row>
    <row r="26" spans="1:8" x14ac:dyDescent="0.25">
      <c r="A26" s="70" t="s">
        <v>104</v>
      </c>
      <c r="B26" s="39">
        <v>0</v>
      </c>
      <c r="C26" s="24">
        <v>20</v>
      </c>
      <c r="D26" s="24">
        <v>33</v>
      </c>
      <c r="E26" s="24">
        <v>85</v>
      </c>
      <c r="F26" s="23"/>
      <c r="G26" s="39"/>
      <c r="H26" s="219">
        <f t="shared" si="1"/>
        <v>138</v>
      </c>
    </row>
    <row r="27" spans="1:8" x14ac:dyDescent="0.25">
      <c r="A27" s="70" t="s">
        <v>86</v>
      </c>
      <c r="B27" s="39">
        <v>0</v>
      </c>
      <c r="C27" s="24">
        <v>22</v>
      </c>
      <c r="D27" s="24">
        <v>34</v>
      </c>
      <c r="E27" s="24">
        <v>84</v>
      </c>
      <c r="F27" s="37"/>
      <c r="G27" s="39"/>
      <c r="H27" s="220">
        <f t="shared" si="1"/>
        <v>140</v>
      </c>
    </row>
    <row r="28" spans="1:8" x14ac:dyDescent="0.25">
      <c r="A28" s="70" t="s">
        <v>82</v>
      </c>
      <c r="B28" s="39">
        <v>0</v>
      </c>
      <c r="C28" s="24">
        <v>21</v>
      </c>
      <c r="D28" s="24">
        <v>35</v>
      </c>
      <c r="E28" s="24">
        <v>81</v>
      </c>
      <c r="F28" s="23"/>
      <c r="G28" s="39"/>
      <c r="H28" s="305">
        <f t="shared" si="1"/>
        <v>137</v>
      </c>
    </row>
    <row r="29" spans="1:8" x14ac:dyDescent="0.25">
      <c r="A29" s="306" t="s">
        <v>121</v>
      </c>
      <c r="B29" s="306">
        <v>0</v>
      </c>
      <c r="C29" s="306">
        <v>11</v>
      </c>
      <c r="D29" s="306">
        <v>20</v>
      </c>
      <c r="E29" s="307">
        <v>51</v>
      </c>
      <c r="F29" s="276"/>
      <c r="G29" s="276"/>
      <c r="H29" s="276">
        <f>SUM(B29:G29)</f>
        <v>82</v>
      </c>
    </row>
    <row r="30" spans="1:8" x14ac:dyDescent="0.25">
      <c r="A30" s="276" t="s">
        <v>126</v>
      </c>
      <c r="B30" s="276">
        <v>0</v>
      </c>
      <c r="C30" s="276">
        <v>2</v>
      </c>
      <c r="D30" s="276">
        <v>16</v>
      </c>
      <c r="E30" s="276">
        <v>32</v>
      </c>
      <c r="F30" s="276"/>
      <c r="G30" s="276"/>
      <c r="H30" s="276"/>
    </row>
    <row r="35" spans="1:3" ht="15.75" thickBot="1" x14ac:dyDescent="0.3">
      <c r="A35" s="428" t="s">
        <v>57</v>
      </c>
      <c r="B35" s="428"/>
      <c r="C35" s="428"/>
    </row>
    <row r="36" spans="1:3" ht="15.75" thickBot="1" x14ac:dyDescent="0.3">
      <c r="A36" s="42"/>
      <c r="B36" s="102" t="s">
        <v>58</v>
      </c>
      <c r="C36" s="103" t="s">
        <v>81</v>
      </c>
    </row>
    <row r="37" spans="1:3" x14ac:dyDescent="0.25">
      <c r="A37" s="22" t="s">
        <v>13</v>
      </c>
      <c r="B37" s="41">
        <v>0</v>
      </c>
      <c r="C37" s="224">
        <v>209</v>
      </c>
    </row>
    <row r="38" spans="1:3" x14ac:dyDescent="0.25">
      <c r="A38" s="22" t="s">
        <v>15</v>
      </c>
      <c r="B38" s="39">
        <v>0</v>
      </c>
      <c r="C38" s="222">
        <v>162</v>
      </c>
    </row>
    <row r="39" spans="1:3" x14ac:dyDescent="0.25">
      <c r="A39" s="22" t="s">
        <v>6</v>
      </c>
      <c r="B39" s="39">
        <v>0</v>
      </c>
      <c r="C39" s="225">
        <v>286</v>
      </c>
    </row>
    <row r="40" spans="1:3" x14ac:dyDescent="0.25">
      <c r="A40" s="22" t="s">
        <v>56</v>
      </c>
      <c r="B40" s="39">
        <v>0</v>
      </c>
      <c r="C40" s="226">
        <v>246</v>
      </c>
    </row>
    <row r="41" spans="1:3" x14ac:dyDescent="0.25">
      <c r="A41" s="73" t="s">
        <v>104</v>
      </c>
      <c r="B41" s="39">
        <v>0</v>
      </c>
      <c r="C41" s="223">
        <v>188</v>
      </c>
    </row>
    <row r="42" spans="1:3" x14ac:dyDescent="0.25">
      <c r="A42" s="73" t="s">
        <v>86</v>
      </c>
      <c r="B42" s="39">
        <v>0</v>
      </c>
      <c r="C42" s="221">
        <v>65</v>
      </c>
    </row>
    <row r="43" spans="1:3" ht="15.75" thickBot="1" x14ac:dyDescent="0.3">
      <c r="A43" s="124" t="s">
        <v>82</v>
      </c>
      <c r="B43" s="40">
        <v>0</v>
      </c>
      <c r="C43" s="27">
        <v>298</v>
      </c>
    </row>
    <row r="44" spans="1:3" ht="15.75" thickBot="1" x14ac:dyDescent="0.3">
      <c r="A44" s="257" t="s">
        <v>121</v>
      </c>
      <c r="B44" s="260">
        <v>0</v>
      </c>
      <c r="C44" s="47">
        <v>187</v>
      </c>
    </row>
    <row r="45" spans="1:3" ht="15.75" thickBot="1" x14ac:dyDescent="0.3">
      <c r="A45" s="42" t="s">
        <v>126</v>
      </c>
      <c r="B45" s="42">
        <v>0</v>
      </c>
      <c r="C45" s="304">
        <v>59</v>
      </c>
    </row>
    <row r="52" spans="1:24" ht="26.25" x14ac:dyDescent="0.4">
      <c r="A52" s="12" t="s">
        <v>4</v>
      </c>
      <c r="B52" s="12"/>
      <c r="C52" s="12"/>
      <c r="D52" s="12"/>
      <c r="E52" s="12"/>
      <c r="F52" s="12" t="s">
        <v>5</v>
      </c>
      <c r="G52" s="12"/>
      <c r="H52" s="12"/>
      <c r="I52" s="12"/>
      <c r="J52" s="12"/>
      <c r="K52" s="12" t="s">
        <v>6</v>
      </c>
      <c r="L52" s="12"/>
      <c r="M52" s="12"/>
      <c r="N52" s="12"/>
      <c r="O52" s="12"/>
      <c r="P52" s="12"/>
      <c r="Q52" s="12" t="s">
        <v>7</v>
      </c>
      <c r="R52" s="12"/>
      <c r="S52" s="12"/>
      <c r="T52" s="12"/>
      <c r="U52" s="12"/>
      <c r="V52" s="12" t="s">
        <v>8</v>
      </c>
      <c r="W52" s="12"/>
      <c r="X52" s="12"/>
    </row>
    <row r="54" spans="1:24" ht="23.25" x14ac:dyDescent="0.35">
      <c r="A54" s="13"/>
      <c r="B54" s="13" t="s">
        <v>2</v>
      </c>
      <c r="C54" s="13"/>
      <c r="D54" s="14"/>
      <c r="E54" s="15" t="s">
        <v>1</v>
      </c>
      <c r="F54" s="15"/>
      <c r="G54" s="15" t="s">
        <v>2</v>
      </c>
      <c r="H54" s="15"/>
      <c r="I54" s="14"/>
      <c r="J54" s="16" t="s">
        <v>1</v>
      </c>
      <c r="K54" s="16"/>
      <c r="L54" s="16" t="s">
        <v>2</v>
      </c>
      <c r="M54" s="16"/>
      <c r="N54" s="16"/>
      <c r="O54" s="14"/>
      <c r="P54" s="17" t="s">
        <v>1</v>
      </c>
      <c r="Q54" s="17"/>
      <c r="R54" s="17" t="s">
        <v>2</v>
      </c>
      <c r="S54" s="17"/>
      <c r="T54" s="14"/>
      <c r="U54" s="18" t="s">
        <v>1</v>
      </c>
      <c r="V54" s="18"/>
      <c r="W54" s="18" t="s">
        <v>2</v>
      </c>
      <c r="X54" s="18"/>
    </row>
    <row r="55" spans="1:24" x14ac:dyDescent="0.25">
      <c r="A55" s="2" t="s">
        <v>3</v>
      </c>
      <c r="B55" s="2" t="s">
        <v>0</v>
      </c>
      <c r="C55" s="2" t="s">
        <v>3</v>
      </c>
      <c r="D55" s="1"/>
      <c r="E55" s="4" t="s">
        <v>0</v>
      </c>
      <c r="F55" s="4" t="s">
        <v>3</v>
      </c>
      <c r="G55" s="4" t="s">
        <v>0</v>
      </c>
      <c r="H55" s="4" t="s">
        <v>3</v>
      </c>
      <c r="I55" s="1"/>
      <c r="J55" s="6" t="s">
        <v>0</v>
      </c>
      <c r="K55" s="6" t="s">
        <v>3</v>
      </c>
      <c r="L55" s="6" t="s">
        <v>0</v>
      </c>
      <c r="M55" s="6" t="s">
        <v>3</v>
      </c>
      <c r="N55" s="6"/>
      <c r="O55" s="1"/>
      <c r="P55" s="8" t="s">
        <v>0</v>
      </c>
      <c r="Q55" s="8" t="s">
        <v>3</v>
      </c>
      <c r="R55" s="8" t="s">
        <v>0</v>
      </c>
      <c r="S55" s="8" t="s">
        <v>3</v>
      </c>
      <c r="T55" s="1"/>
      <c r="U55" s="10" t="s">
        <v>0</v>
      </c>
      <c r="V55" s="10" t="s">
        <v>3</v>
      </c>
      <c r="W55" s="10" t="s">
        <v>0</v>
      </c>
      <c r="X55" s="10" t="s">
        <v>3</v>
      </c>
    </row>
    <row r="56" spans="1:24" x14ac:dyDescent="0.25">
      <c r="A56" s="19"/>
      <c r="B56" s="19"/>
      <c r="C56" s="19"/>
      <c r="D56" s="19"/>
      <c r="E56" s="19"/>
      <c r="F56" s="19"/>
      <c r="G56" s="19"/>
      <c r="H56" s="19"/>
      <c r="I56" s="19"/>
      <c r="J56" s="19"/>
      <c r="K56" s="19"/>
      <c r="L56" s="19"/>
      <c r="M56" s="19"/>
      <c r="N56" s="19"/>
      <c r="O56" s="19"/>
      <c r="P56" s="19"/>
      <c r="Q56" s="19"/>
      <c r="R56" s="19"/>
      <c r="S56" s="19"/>
      <c r="T56" s="19"/>
      <c r="U56" s="19"/>
      <c r="V56" s="19"/>
      <c r="W56" s="19"/>
      <c r="X56" s="19"/>
    </row>
    <row r="57" spans="1:24" x14ac:dyDescent="0.25">
      <c r="A57" s="3">
        <v>1166875</v>
      </c>
      <c r="B57" s="3">
        <v>6217991</v>
      </c>
      <c r="C57" s="3">
        <v>1268012</v>
      </c>
      <c r="E57" s="5">
        <v>20065</v>
      </c>
      <c r="F57" s="5">
        <v>1226421</v>
      </c>
      <c r="G57" s="5">
        <v>2738118</v>
      </c>
      <c r="H57" s="5">
        <v>2684743</v>
      </c>
      <c r="J57" s="7">
        <v>20823</v>
      </c>
      <c r="K57" s="7">
        <v>1206050</v>
      </c>
      <c r="L57" s="7">
        <v>2852823</v>
      </c>
      <c r="M57" s="7">
        <v>2107791</v>
      </c>
      <c r="N57" s="7"/>
      <c r="P57" s="9">
        <v>17129</v>
      </c>
      <c r="Q57" s="9">
        <v>1207801</v>
      </c>
      <c r="R57" s="9">
        <v>2707456</v>
      </c>
      <c r="S57" s="9">
        <v>1726288</v>
      </c>
      <c r="U57" s="11">
        <v>20413</v>
      </c>
      <c r="V57" s="11">
        <v>1197553</v>
      </c>
      <c r="W57" s="11">
        <v>2386275</v>
      </c>
      <c r="X57" s="11">
        <v>1858582</v>
      </c>
    </row>
    <row r="58" spans="1:24" x14ac:dyDescent="0.25">
      <c r="A58">
        <v>6300000</v>
      </c>
      <c r="B58">
        <v>5760000</v>
      </c>
      <c r="C58">
        <v>13140000</v>
      </c>
      <c r="F58">
        <v>4320000</v>
      </c>
      <c r="G58">
        <v>5220000</v>
      </c>
      <c r="H58">
        <v>12420000</v>
      </c>
      <c r="K58">
        <v>5040000</v>
      </c>
      <c r="L58">
        <v>5040000</v>
      </c>
      <c r="M58">
        <v>12600000</v>
      </c>
      <c r="Q58">
        <v>2160000</v>
      </c>
      <c r="R58">
        <v>5580000</v>
      </c>
      <c r="S58">
        <v>13140000</v>
      </c>
      <c r="V58">
        <v>5400000</v>
      </c>
      <c r="W58">
        <v>6300000</v>
      </c>
      <c r="X58">
        <v>13320000</v>
      </c>
    </row>
    <row r="59" spans="1:24" x14ac:dyDescent="0.25">
      <c r="A59">
        <f>A58/180000</f>
        <v>35</v>
      </c>
      <c r="B59">
        <f t="shared" ref="B59:X59" si="2">B58/180000</f>
        <v>32</v>
      </c>
      <c r="C59">
        <f t="shared" si="2"/>
        <v>73</v>
      </c>
      <c r="D59">
        <f t="shared" si="2"/>
        <v>0</v>
      </c>
      <c r="E59">
        <f t="shared" si="2"/>
        <v>0</v>
      </c>
      <c r="F59">
        <f t="shared" si="2"/>
        <v>24</v>
      </c>
      <c r="G59">
        <f t="shared" si="2"/>
        <v>29</v>
      </c>
      <c r="H59">
        <f t="shared" si="2"/>
        <v>69</v>
      </c>
      <c r="I59">
        <f t="shared" si="2"/>
        <v>0</v>
      </c>
      <c r="J59">
        <f t="shared" si="2"/>
        <v>0</v>
      </c>
      <c r="K59">
        <f t="shared" si="2"/>
        <v>28</v>
      </c>
      <c r="L59">
        <f t="shared" si="2"/>
        <v>28</v>
      </c>
      <c r="M59">
        <f t="shared" si="2"/>
        <v>70</v>
      </c>
      <c r="N59">
        <f t="shared" si="2"/>
        <v>0</v>
      </c>
      <c r="O59">
        <f t="shared" si="2"/>
        <v>0</v>
      </c>
      <c r="P59">
        <f t="shared" si="2"/>
        <v>0</v>
      </c>
      <c r="Q59">
        <f t="shared" si="2"/>
        <v>12</v>
      </c>
      <c r="R59">
        <f t="shared" si="2"/>
        <v>31</v>
      </c>
      <c r="S59">
        <f t="shared" si="2"/>
        <v>73</v>
      </c>
      <c r="T59">
        <f t="shared" si="2"/>
        <v>0</v>
      </c>
      <c r="U59">
        <f t="shared" si="2"/>
        <v>0</v>
      </c>
      <c r="V59">
        <f t="shared" si="2"/>
        <v>30</v>
      </c>
      <c r="W59">
        <f t="shared" si="2"/>
        <v>35</v>
      </c>
      <c r="X59">
        <f t="shared" si="2"/>
        <v>74</v>
      </c>
    </row>
    <row r="60" spans="1:24" ht="15.75" thickBot="1" x14ac:dyDescent="0.3"/>
    <row r="61" spans="1:24" x14ac:dyDescent="0.25">
      <c r="A61" s="41" t="s">
        <v>69</v>
      </c>
      <c r="B61" s="43">
        <v>20055</v>
      </c>
      <c r="C61" s="21">
        <v>0</v>
      </c>
      <c r="D61" s="43">
        <v>1211497</v>
      </c>
      <c r="E61" s="21">
        <v>24</v>
      </c>
      <c r="F61" s="43">
        <v>2296634</v>
      </c>
      <c r="G61" s="21">
        <v>35</v>
      </c>
      <c r="H61" s="43">
        <v>1991719</v>
      </c>
      <c r="I61" s="21">
        <v>70</v>
      </c>
    </row>
    <row r="62" spans="1:24" ht="15.75" thickBot="1" x14ac:dyDescent="0.3">
      <c r="A62" s="40" t="s">
        <v>70</v>
      </c>
      <c r="B62" s="25">
        <v>20133</v>
      </c>
      <c r="C62" s="27">
        <v>0</v>
      </c>
      <c r="D62" s="25">
        <v>1362325</v>
      </c>
      <c r="E62" s="27">
        <v>19</v>
      </c>
      <c r="F62" s="25">
        <v>2198502</v>
      </c>
      <c r="G62" s="27">
        <v>32</v>
      </c>
      <c r="H62" s="25">
        <v>1601633</v>
      </c>
      <c r="I62" s="27">
        <v>70</v>
      </c>
    </row>
    <row r="66" spans="1:10" x14ac:dyDescent="0.25">
      <c r="A66" s="426" t="s">
        <v>134</v>
      </c>
      <c r="B66" s="426"/>
      <c r="C66" s="426"/>
      <c r="D66" s="426"/>
      <c r="E66" s="426"/>
      <c r="F66" s="426"/>
      <c r="G66" s="426"/>
      <c r="H66" s="426"/>
      <c r="I66" s="426"/>
    </row>
    <row r="67" spans="1:10" x14ac:dyDescent="0.25">
      <c r="A67" s="276"/>
      <c r="B67" s="276" t="s">
        <v>105</v>
      </c>
      <c r="C67" s="276" t="s">
        <v>106</v>
      </c>
      <c r="D67" s="276" t="s">
        <v>107</v>
      </c>
      <c r="E67" s="276" t="s">
        <v>108</v>
      </c>
      <c r="F67" s="276" t="s">
        <v>110</v>
      </c>
      <c r="G67" s="276" t="s">
        <v>109</v>
      </c>
      <c r="H67" s="276" t="s">
        <v>111</v>
      </c>
      <c r="I67" s="276" t="s">
        <v>121</v>
      </c>
      <c r="J67" s="276" t="s">
        <v>126</v>
      </c>
    </row>
    <row r="68" spans="1:10" x14ac:dyDescent="0.25">
      <c r="A68" s="276" t="s">
        <v>90</v>
      </c>
      <c r="B68" s="276">
        <v>0</v>
      </c>
      <c r="C68" s="276">
        <v>0</v>
      </c>
      <c r="D68" s="276">
        <v>0</v>
      </c>
      <c r="E68" s="276">
        <v>0</v>
      </c>
      <c r="F68" s="276">
        <v>0</v>
      </c>
      <c r="G68" s="276">
        <v>0</v>
      </c>
      <c r="H68" s="276">
        <v>0</v>
      </c>
      <c r="I68" s="276">
        <v>0</v>
      </c>
      <c r="J68" s="276">
        <v>0</v>
      </c>
    </row>
    <row r="69" spans="1:10" x14ac:dyDescent="0.25">
      <c r="A69" s="276" t="s">
        <v>91</v>
      </c>
      <c r="B69" s="276">
        <v>55</v>
      </c>
      <c r="C69" s="276">
        <v>44</v>
      </c>
      <c r="D69" s="276">
        <v>48</v>
      </c>
      <c r="E69" s="276">
        <v>31</v>
      </c>
      <c r="F69" s="276">
        <v>44</v>
      </c>
      <c r="G69" s="276">
        <v>52</v>
      </c>
      <c r="H69" s="276">
        <v>40</v>
      </c>
      <c r="I69" s="276">
        <v>31</v>
      </c>
      <c r="J69" s="276">
        <v>2</v>
      </c>
    </row>
    <row r="70" spans="1:10" x14ac:dyDescent="0.25">
      <c r="A70" s="276" t="s">
        <v>89</v>
      </c>
      <c r="B70" s="276">
        <v>276</v>
      </c>
      <c r="C70" s="276">
        <v>226</v>
      </c>
      <c r="D70" s="276">
        <v>347</v>
      </c>
      <c r="E70" s="276">
        <v>311</v>
      </c>
      <c r="F70" s="276">
        <v>256</v>
      </c>
      <c r="G70" s="276">
        <v>134</v>
      </c>
      <c r="H70" s="276">
        <v>365</v>
      </c>
      <c r="I70" s="276">
        <v>247</v>
      </c>
      <c r="J70" s="276">
        <v>127</v>
      </c>
    </row>
    <row r="71" spans="1:10" ht="15.75" thickBot="1" x14ac:dyDescent="0.3">
      <c r="A71" s="289" t="s">
        <v>88</v>
      </c>
      <c r="B71" s="289">
        <v>154</v>
      </c>
      <c r="C71" s="289">
        <v>152</v>
      </c>
      <c r="D71" s="289">
        <v>149</v>
      </c>
      <c r="E71" s="289">
        <v>156</v>
      </c>
      <c r="F71" s="289">
        <v>155</v>
      </c>
      <c r="G71" s="289">
        <v>158</v>
      </c>
      <c r="H71" s="289">
        <v>151</v>
      </c>
      <c r="I71" s="289">
        <v>119</v>
      </c>
      <c r="J71" s="289">
        <v>102</v>
      </c>
    </row>
    <row r="72" spans="1:10" ht="15.75" thickBot="1" x14ac:dyDescent="0.3">
      <c r="A72" s="309" t="s">
        <v>92</v>
      </c>
      <c r="B72" s="310">
        <f>SUM(B68:B71)</f>
        <v>485</v>
      </c>
      <c r="C72" s="310">
        <f t="shared" ref="C72:J72" si="3">SUM(C68:C71)</f>
        <v>422</v>
      </c>
      <c r="D72" s="310">
        <f t="shared" si="3"/>
        <v>544</v>
      </c>
      <c r="E72" s="310">
        <f t="shared" si="3"/>
        <v>498</v>
      </c>
      <c r="F72" s="310">
        <f t="shared" si="3"/>
        <v>455</v>
      </c>
      <c r="G72" s="310">
        <f t="shared" si="3"/>
        <v>344</v>
      </c>
      <c r="H72" s="310">
        <f t="shared" si="3"/>
        <v>556</v>
      </c>
      <c r="I72" s="310">
        <f t="shared" si="3"/>
        <v>397</v>
      </c>
      <c r="J72" s="311">
        <f t="shared" si="3"/>
        <v>231</v>
      </c>
    </row>
  </sheetData>
  <mergeCells count="12">
    <mergeCell ref="A66:I66"/>
    <mergeCell ref="A1:H1"/>
    <mergeCell ref="A35:C35"/>
    <mergeCell ref="B3:C3"/>
    <mergeCell ref="D3:E3"/>
    <mergeCell ref="F3:G3"/>
    <mergeCell ref="A2:H2"/>
    <mergeCell ref="A18:H18"/>
    <mergeCell ref="A19:H19"/>
    <mergeCell ref="B20:C20"/>
    <mergeCell ref="D20:E20"/>
    <mergeCell ref="F20:G20"/>
  </mergeCells>
  <pageMargins left="0.7" right="0.7" top="0.75" bottom="0.75" header="0.3" footer="0.3"/>
  <pageSetup orientation="portrait" horizontalDpi="4294967293" verticalDpi="4294967293"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Fedx Results</vt:lpstr>
      <vt:lpstr>SemagrowResults</vt:lpstr>
      <vt:lpstr>Koral Results</vt:lpstr>
      <vt:lpstr>benchmark-execution</vt:lpstr>
      <vt:lpstr>average-execution-time</vt:lpstr>
      <vt:lpstr>query-mix-per-hour</vt:lpstr>
      <vt:lpstr>query-per-second</vt:lpstr>
      <vt:lpstr>scores</vt:lpstr>
      <vt:lpstr>timeout queries</vt:lpstr>
      <vt:lpstr>partition time</vt:lpstr>
      <vt:lpstr>Partition-sizes</vt:lpstr>
      <vt:lpstr>Gini-coefficient</vt:lpstr>
      <vt:lpstr>Standard-deviation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Windows User</cp:lastModifiedBy>
  <cp:lastPrinted>2020-12-17T16:57:27Z</cp:lastPrinted>
  <dcterms:created xsi:type="dcterms:W3CDTF">2018-01-09T21:58:49Z</dcterms:created>
  <dcterms:modified xsi:type="dcterms:W3CDTF">2020-12-19T06:11:47Z</dcterms:modified>
</cp:coreProperties>
</file>