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ckk\IdeaProjects\vocalmotion\resources\"/>
    </mc:Choice>
  </mc:AlternateContent>
  <xr:revisionPtr revIDLastSave="0" documentId="13_ncr:1_{D0EB3090-F46D-4C72-BC15-58C97753002F}" xr6:coauthVersionLast="47" xr6:coauthVersionMax="47" xr10:uidLastSave="{00000000-0000-0000-0000-000000000000}"/>
  <bookViews>
    <workbookView xWindow="7320" yWindow="870" windowWidth="21375" windowHeight="13830" firstSheet="2" activeTab="2" xr2:uid="{00000000-000D-0000-FFFF-FFFF00000000}"/>
  </bookViews>
  <sheets>
    <sheet name="Leden" sheetId="1" r:id="rId1"/>
    <sheet name="Transacties" sheetId="2" r:id="rId2"/>
    <sheet name="Resultaten" sheetId="3" r:id="rId3"/>
    <sheet name="Bezittingen" sheetId="4" r:id="rId4"/>
    <sheet name="Apparatuur" sheetId="5" r:id="rId5"/>
    <sheet name="Debiteuren" sheetId="6" r:id="rId6"/>
    <sheet name="Rekeningschema" sheetId="7" r:id="rId7"/>
    <sheet name="Standaardwaarde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C3" i="3"/>
  <c r="D3" i="3"/>
  <c r="E3" i="3"/>
  <c r="D13" i="3"/>
  <c r="D12" i="3"/>
  <c r="D11" i="3"/>
  <c r="D10" i="3"/>
  <c r="D7" i="3"/>
  <c r="D6" i="3"/>
  <c r="D5" i="3"/>
  <c r="D4" i="3"/>
  <c r="J29" i="1"/>
  <c r="J28" i="1"/>
  <c r="J27" i="1"/>
  <c r="J26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5" i="4"/>
  <c r="F5" i="2" l="1"/>
  <c r="K23" i="1"/>
  <c r="K24" i="1"/>
  <c r="D10" i="6"/>
  <c r="E24" i="5"/>
  <c r="C24" i="5"/>
  <c r="F22" i="5"/>
  <c r="D22" i="5"/>
  <c r="F21" i="5"/>
  <c r="D21" i="5"/>
  <c r="F20" i="5"/>
  <c r="D20" i="5" s="1"/>
  <c r="F19" i="5"/>
  <c r="D19" i="5" s="1"/>
  <c r="F18" i="5"/>
  <c r="D18" i="5"/>
  <c r="F17" i="5"/>
  <c r="D17" i="5"/>
  <c r="F16" i="5"/>
  <c r="D16" i="5" s="1"/>
  <c r="F15" i="5"/>
  <c r="D15" i="5" s="1"/>
  <c r="F14" i="5"/>
  <c r="D14" i="5"/>
  <c r="F13" i="5"/>
  <c r="D13" i="5"/>
  <c r="F12" i="5"/>
  <c r="D12" i="5" s="1"/>
  <c r="F11" i="5"/>
  <c r="D11" i="5" s="1"/>
  <c r="F10" i="5"/>
  <c r="D10" i="5"/>
  <c r="F9" i="5"/>
  <c r="D9" i="5"/>
  <c r="F8" i="5"/>
  <c r="D8" i="5" s="1"/>
  <c r="F7" i="5"/>
  <c r="D7" i="5" s="1"/>
  <c r="F6" i="5"/>
  <c r="D6" i="5"/>
  <c r="F5" i="5"/>
  <c r="D5" i="5"/>
  <c r="F4" i="5"/>
  <c r="F24" i="5" s="1"/>
  <c r="D19" i="3" s="1"/>
  <c r="C10" i="4"/>
  <c r="D7" i="4"/>
  <c r="D3" i="4"/>
  <c r="C3" i="4"/>
  <c r="E17" i="3"/>
  <c r="E21" i="3" s="1"/>
  <c r="C17" i="3"/>
  <c r="C21" i="3" s="1"/>
  <c r="K29" i="1"/>
  <c r="K28" i="1"/>
  <c r="K27" i="1"/>
  <c r="K26" i="1"/>
  <c r="K25" i="1"/>
  <c r="K22" i="1"/>
  <c r="I21" i="1"/>
  <c r="K21" i="1" s="1"/>
  <c r="I20" i="1"/>
  <c r="K20" i="1" s="1"/>
  <c r="I19" i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J19" i="1" l="1"/>
  <c r="K19" i="1" s="1"/>
  <c r="D4" i="5"/>
  <c r="D24" i="5" s="1"/>
  <c r="D8" i="4" l="1"/>
  <c r="D10" i="4" s="1"/>
  <c r="D9" i="3"/>
  <c r="D17" i="3" s="1"/>
  <c r="D21" i="3" s="1"/>
  <c r="D14" i="6"/>
</calcChain>
</file>

<file path=xl/sharedStrings.xml><?xml version="1.0" encoding="utf-8"?>
<sst xmlns="http://schemas.openxmlformats.org/spreadsheetml/2006/main" count="104" uniqueCount="78">
  <si>
    <t>Rekeningnr</t>
  </si>
  <si>
    <t>Naam</t>
  </si>
  <si>
    <t>Aantal</t>
  </si>
  <si>
    <t>Adres</t>
  </si>
  <si>
    <t>Woonplaats</t>
  </si>
  <si>
    <t>Lid sinds</t>
  </si>
  <si>
    <t>Laatste betaling</t>
  </si>
  <si>
    <t>Lid tot</t>
  </si>
  <si>
    <t>Contributie</t>
  </si>
  <si>
    <t>Openstaand</t>
  </si>
  <si>
    <t>Werkelijk</t>
  </si>
  <si>
    <t>datum</t>
  </si>
  <si>
    <t>eigen rekening</t>
  </si>
  <si>
    <t>grootboek-rekening</t>
  </si>
  <si>
    <t>rekening</t>
  </si>
  <si>
    <t>Plus- Min</t>
  </si>
  <si>
    <t>Bedrag</t>
  </si>
  <si>
    <t>Omschrijving</t>
  </si>
  <si>
    <t>Resultatenrekening</t>
  </si>
  <si>
    <t>Begroting</t>
  </si>
  <si>
    <t>Grootboekrekening</t>
  </si>
  <si>
    <t>Zaalhuur</t>
  </si>
  <si>
    <t>Dirigent</t>
  </si>
  <si>
    <t>Pianist</t>
  </si>
  <si>
    <t>Overige kosten</t>
  </si>
  <si>
    <t>Bankkosten</t>
  </si>
  <si>
    <t>Bladmuziek/rechten</t>
  </si>
  <si>
    <t>Verzekeringen</t>
  </si>
  <si>
    <t>Resultaat voor afschrijvingen</t>
  </si>
  <si>
    <t>Afschrijvingen</t>
  </si>
  <si>
    <t>Netto resultaat</t>
  </si>
  <si>
    <t>Bezittingen</t>
  </si>
  <si>
    <t>Saldo rekening courant</t>
  </si>
  <si>
    <t>Saldo spaarrekening</t>
  </si>
  <si>
    <t>Apparatuur</t>
  </si>
  <si>
    <t>Debiteuren</t>
  </si>
  <si>
    <t>Totaal</t>
  </si>
  <si>
    <t>jaren in bezit</t>
  </si>
  <si>
    <t>nieuwwaarde</t>
  </si>
  <si>
    <t>boekwaarde</t>
  </si>
  <si>
    <t>restwaarde</t>
  </si>
  <si>
    <t>Jaarlijkse afschrijvingen</t>
  </si>
  <si>
    <t xml:space="preserve">Yamaha PA </t>
  </si>
  <si>
    <t>Digitale piano</t>
  </si>
  <si>
    <t>Behringer PMP2000D</t>
  </si>
  <si>
    <t>HK Audiopro 12 incl cover</t>
  </si>
  <si>
    <t>HK Audiopro</t>
  </si>
  <si>
    <t>Microfoons en Kabels</t>
  </si>
  <si>
    <t>Shure microfoons</t>
  </si>
  <si>
    <t>Draadloze microfoons 4 x</t>
  </si>
  <si>
    <t>Factuurnr</t>
  </si>
  <si>
    <t>Factuurdatum</t>
  </si>
  <si>
    <t>Betaaldatum</t>
  </si>
  <si>
    <t>Contributies</t>
  </si>
  <si>
    <t>Bankrek</t>
  </si>
  <si>
    <t>grbrek</t>
  </si>
  <si>
    <t>V&amp;W</t>
  </si>
  <si>
    <t>Herkenning</t>
  </si>
  <si>
    <t>min bedrag</t>
  </si>
  <si>
    <t>max bedrag</t>
  </si>
  <si>
    <t>Bij</t>
  </si>
  <si>
    <t>*</t>
  </si>
  <si>
    <t>Af</t>
  </si>
  <si>
    <t>Schoor</t>
  </si>
  <si>
    <t>Elia</t>
  </si>
  <si>
    <t>Blom</t>
  </si>
  <si>
    <t>Optredens</t>
  </si>
  <si>
    <t>Oranje fonds</t>
  </si>
  <si>
    <t>betalingsverkeer</t>
  </si>
  <si>
    <t>Balk</t>
  </si>
  <si>
    <t>Assurantie</t>
  </si>
  <si>
    <t>Balans</t>
  </si>
  <si>
    <t>Inventaris</t>
  </si>
  <si>
    <t>tot maand</t>
  </si>
  <si>
    <t>Contributiebedrag</t>
  </si>
  <si>
    <t>Totaal openstaand</t>
  </si>
  <si>
    <t>Contributie nog te ontvangen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</si>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</sst>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7" formatCode="&quot;€&quot;\ #,##0.00;&quot;€&quot;\ \-#,##0.00"/>
    <numFmt numFmtId="164" formatCode="&quot;€&quot;\ #,##0.00"/>
    <numFmt numFmtId="165" formatCode="yyyy\-mm\-dd\ h:mm:ss"/>
    <numFmt numFmtId="166" formatCode="d/mm/yy;@"/>
    <numFmt numFmtId="167" formatCode="[$-413]d/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1" fontId="0" fillId="0" borderId="0" xfId="0" applyNumberFormat="1" applyAlignment="1">
      <alignment wrapText="1"/>
    </xf>
    <xf numFmtId="1" fontId="0" fillId="0" borderId="0" xfId="0" applyNumberFormat="1"/>
    <xf numFmtId="14" fontId="0" fillId="0" borderId="0" xfId="0" applyNumberFormat="1"/>
    <xf numFmtId="4" fontId="0" fillId="0" borderId="0" xfId="0" applyNumberFormat="1" applyAlignment="1">
      <alignment wrapText="1"/>
    </xf>
    <xf numFmtId="4" fontId="0" fillId="0" borderId="0" xfId="0" applyNumberFormat="1"/>
    <xf numFmtId="164" fontId="0" fillId="0" borderId="0" xfId="0" applyNumberFormat="1" applyAlignment="1">
      <alignment wrapText="1"/>
    </xf>
    <xf numFmtId="167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6" fontId="0" fillId="0" borderId="0" xfId="0" applyNumberFormat="1"/>
    <xf numFmtId="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2:K40"/>
  <sheetViews>
    <sheetView workbookViewId="0">
      <selection activeCell="J3" sqref="J3"/>
    </sheetView>
  </sheetViews>
  <sheetFormatPr defaultRowHeight="15" x14ac:dyDescent="0.25"/>
  <cols>
    <col min="1" max="1" width="17" customWidth="1"/>
    <col min="2" max="2" width="47.85546875" customWidth="1"/>
    <col min="3" max="3" width="9.85546875" customWidth="1"/>
    <col min="4" max="4" width="28.140625" customWidth="1"/>
    <col min="5" max="5" width="20.85546875" customWidth="1"/>
    <col min="6" max="6" width="11.42578125" customWidth="1"/>
    <col min="7" max="7" width="12.140625" customWidth="1"/>
    <col min="8" max="8" width="10.42578125" customWidth="1"/>
    <col min="9" max="9" width="12.5703125" customWidth="1"/>
    <col min="10" max="10" width="12.85546875" customWidth="1"/>
    <col min="11" max="11" width="10.5703125" customWidth="1"/>
  </cols>
  <sheetData>
    <row r="2" spans="1:11" s="1" customFormat="1" ht="30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F3" s="9"/>
      <c r="G3" s="5"/>
      <c r="H3" s="9"/>
      <c r="I3" s="2">
        <f>IF(ISBLANK(C3),1,C3)*IF(AND(ISBLANK(F3),ISBLANK(H3)),12*Standaardwaarden!$B$2,IF(ISBLANK(F3),MONTH(H3)*Standaardwaarden!$B$2,IF(ISBLANK(H3),(13-MONTH(F3))*Standaardwaarden!$B$2,(MONTH(H3)-MONTH(F3))*Standaardwaarden!$B$2)))</f>
        <v>342</v>
      </c>
      <c r="J3" s="2">
        <f>I3 - SUMIFS(Transacties!$F$3:'Transacties'!$F$286,Transacties!$C$3:'Transacties'!$C$286,500,Transacties!$D$3:'Transacties'!$D$286, A3)</f>
        <v>342</v>
      </c>
      <c r="K3" s="2">
        <f t="shared" ref="K3:K13" si="0">J3</f>
        <v>342</v>
      </c>
    </row>
    <row r="4" spans="1:11" x14ac:dyDescent="0.25">
      <c r="F4" s="9"/>
      <c r="G4" s="5"/>
      <c r="H4" s="9"/>
      <c r="I4" s="2">
        <f>IF(ISBLANK(C4),1,C4)*IF(AND(ISBLANK(F4),ISBLANK(H4)),12*Standaardwaarden!$B$2,IF(ISBLANK(F4),MONTH(H4)*Standaardwaarden!$B$2,IF(ISBLANK(H4),(13-MONTH(F4))*Standaardwaarden!$B$2,(MONTH(H4)-MONTH(F4))*Standaardwaarden!$B$2)))</f>
        <v>342</v>
      </c>
      <c r="J4" s="2">
        <f>I4 - SUMIFS(Transacties!$F$3:'Transacties'!$F$286,Transacties!$C$3:'Transacties'!$C$286,500,Transacties!$D$3:'Transacties'!$D$286, A4)</f>
        <v>342</v>
      </c>
      <c r="K4" s="2">
        <f t="shared" si="0"/>
        <v>342</v>
      </c>
    </row>
    <row r="5" spans="1:11" x14ac:dyDescent="0.25">
      <c r="F5" s="9"/>
      <c r="G5" s="5"/>
      <c r="H5" s="9"/>
      <c r="I5" s="2">
        <f>IF(ISBLANK(C5),1,C5)*IF(AND(ISBLANK(F5),ISBLANK(H5)),12*Standaardwaarden!$B$2,IF(ISBLANK(F5),MONTH(H5)*Standaardwaarden!$B$2,IF(ISBLANK(H5),(13-MONTH(F5))*Standaardwaarden!$B$2,(MONTH(H5)-MONTH(F5))*Standaardwaarden!$B$2)))</f>
        <v>342</v>
      </c>
      <c r="J5" s="2">
        <f>I5 - SUMIFS(Transacties!$F$3:'Transacties'!$F$286,Transacties!$C$3:'Transacties'!$C$286,500,Transacties!$D$3:'Transacties'!$D$286, A5)</f>
        <v>342</v>
      </c>
      <c r="K5" s="2">
        <f t="shared" si="0"/>
        <v>342</v>
      </c>
    </row>
    <row r="6" spans="1:11" x14ac:dyDescent="0.25">
      <c r="F6" s="9"/>
      <c r="G6" s="5"/>
      <c r="H6" s="9"/>
      <c r="I6" s="2">
        <f>IF(ISBLANK(C6),1,C6)*IF(AND(ISBLANK(F6),ISBLANK(H6)),12*Standaardwaarden!$B$2,IF(ISBLANK(F6),MONTH(H6)*Standaardwaarden!$B$2,IF(ISBLANK(H6),(13-MONTH(F6))*Standaardwaarden!$B$2,(MONTH(H6)-MONTH(F6))*Standaardwaarden!$B$2)))</f>
        <v>342</v>
      </c>
      <c r="J6" s="2">
        <f>I6 - SUMIFS(Transacties!$F$3:'Transacties'!$F$286,Transacties!$C$3:'Transacties'!$C$286,500,Transacties!$D$3:'Transacties'!$D$286, A6)</f>
        <v>342</v>
      </c>
      <c r="K6" s="2">
        <f t="shared" si="0"/>
        <v>342</v>
      </c>
    </row>
    <row r="7" spans="1:11" x14ac:dyDescent="0.25">
      <c r="F7" s="9"/>
      <c r="G7" s="5"/>
      <c r="H7" s="9"/>
      <c r="I7" s="2">
        <f>IF(ISBLANK(C7),1,C7)*IF(AND(ISBLANK(F7),ISBLANK(H7)),12*Standaardwaarden!$B$2,IF(ISBLANK(F7),MONTH(H7)*Standaardwaarden!$B$2,IF(ISBLANK(H7),(13-MONTH(F7))*Standaardwaarden!$B$2,(MONTH(H7)-MONTH(F7))*Standaardwaarden!$B$2)))</f>
        <v>342</v>
      </c>
      <c r="J7" s="2">
        <f>I7 - SUMIFS(Transacties!$F$3:'Transacties'!$F$286,Transacties!$C$3:'Transacties'!$C$286,500,Transacties!$D$3:'Transacties'!$D$286, A7)</f>
        <v>342</v>
      </c>
      <c r="K7" s="2">
        <f t="shared" si="0"/>
        <v>342</v>
      </c>
    </row>
    <row r="8" spans="1:11" x14ac:dyDescent="0.25">
      <c r="F8" s="9"/>
      <c r="G8" s="5"/>
      <c r="H8" s="9"/>
      <c r="I8" s="2">
        <f>IF(ISBLANK(C8),1,C8)*IF(AND(ISBLANK(F8),ISBLANK(H8)),12*Standaardwaarden!$B$2,IF(ISBLANK(F8),MONTH(H8)*Standaardwaarden!$B$2,IF(ISBLANK(H8),(13-MONTH(F8))*Standaardwaarden!$B$2,(MONTH(H8)-MONTH(F8))*Standaardwaarden!$B$2)))</f>
        <v>342</v>
      </c>
      <c r="J8" s="2">
        <f>I8 - SUMIFS(Transacties!$F$3:'Transacties'!$F$286,Transacties!$C$3:'Transacties'!$C$286,500,Transacties!$D$3:'Transacties'!$D$286, A8)</f>
        <v>342</v>
      </c>
      <c r="K8" s="2">
        <f t="shared" si="0"/>
        <v>342</v>
      </c>
    </row>
    <row r="9" spans="1:11" x14ac:dyDescent="0.25">
      <c r="F9" s="9"/>
      <c r="G9" s="5"/>
      <c r="H9" s="9"/>
      <c r="I9" s="2">
        <f>IF(ISBLANK(C9),1,C9)*IF(AND(ISBLANK(F9),ISBLANK(H9)),12*Standaardwaarden!$B$2,IF(ISBLANK(F9),MONTH(H9)*Standaardwaarden!$B$2,IF(ISBLANK(H9),(13-MONTH(F9))*Standaardwaarden!$B$2,(MONTH(H9)-MONTH(F9))*Standaardwaarden!$B$2)))</f>
        <v>342</v>
      </c>
      <c r="J9" s="2">
        <f>I9 - SUMIFS(Transacties!$F$3:'Transacties'!$F$286,Transacties!$C$3:'Transacties'!$C$286,500,Transacties!$D$3:'Transacties'!$D$286, A9)</f>
        <v>342</v>
      </c>
      <c r="K9" s="2">
        <f t="shared" si="0"/>
        <v>342</v>
      </c>
    </row>
    <row r="10" spans="1:11" x14ac:dyDescent="0.25">
      <c r="F10" s="9"/>
      <c r="G10" s="5"/>
      <c r="H10" s="9"/>
      <c r="I10" s="2">
        <f>IF(ISBLANK(C10),1,C10)*IF(AND(ISBLANK(F10),ISBLANK(H10)),12*Standaardwaarden!$B$2,IF(ISBLANK(F10),MONTH(H10)*Standaardwaarden!$B$2,IF(ISBLANK(H10),(13-MONTH(F10))*Standaardwaarden!$B$2,(MONTH(H10)-MONTH(F10))*Standaardwaarden!$B$2)))</f>
        <v>342</v>
      </c>
      <c r="J10" s="2">
        <f>I10 - SUMIFS(Transacties!$F$3:'Transacties'!$F$286,Transacties!$C$3:'Transacties'!$C$286,500,Transacties!$D$3:'Transacties'!$D$286, A10)</f>
        <v>342</v>
      </c>
      <c r="K10" s="2">
        <f t="shared" si="0"/>
        <v>342</v>
      </c>
    </row>
    <row r="11" spans="1:11" x14ac:dyDescent="0.25">
      <c r="F11" s="9"/>
      <c r="G11" s="5"/>
      <c r="H11" s="9"/>
      <c r="I11" s="2">
        <f>IF(ISBLANK(C11),1,C11)*IF(AND(ISBLANK(F11),ISBLANK(H11)),12*Standaardwaarden!$B$2,IF(ISBLANK(F11),MONTH(H11)*Standaardwaarden!$B$2,IF(ISBLANK(H11),(13-MONTH(F11))*Standaardwaarden!$B$2,(MONTH(H11)-MONTH(F11))*Standaardwaarden!$B$2)))</f>
        <v>342</v>
      </c>
      <c r="J11" s="2">
        <f>I11 - SUMIFS(Transacties!$F$3:'Transacties'!$F$286,Transacties!$C$3:'Transacties'!$C$286,500,Transacties!$D$3:'Transacties'!$D$286, A11)</f>
        <v>342</v>
      </c>
      <c r="K11" s="2">
        <f t="shared" si="0"/>
        <v>342</v>
      </c>
    </row>
    <row r="12" spans="1:11" x14ac:dyDescent="0.25">
      <c r="F12" s="9"/>
      <c r="G12" s="5"/>
      <c r="H12" s="9"/>
      <c r="I12" s="2">
        <f>IF(ISBLANK(C12),1,C12)*IF(AND(ISBLANK(F12),ISBLANK(H12)),12*Standaardwaarden!$B$2,IF(ISBLANK(F12),MONTH(H12)*Standaardwaarden!$B$2,IF(ISBLANK(H12),(13-MONTH(F12))*Standaardwaarden!$B$2,(MONTH(H12)-MONTH(F12))*Standaardwaarden!$B$2)))</f>
        <v>342</v>
      </c>
      <c r="J12" s="2">
        <f>I12 - SUMIFS(Transacties!$F$3:'Transacties'!$F$286,Transacties!$C$3:'Transacties'!$C$286,500,Transacties!$D$3:'Transacties'!$D$286, A12)</f>
        <v>342</v>
      </c>
      <c r="K12" s="2">
        <f>J12</f>
        <v>342</v>
      </c>
    </row>
    <row r="13" spans="1:11" x14ac:dyDescent="0.25">
      <c r="F13" s="9"/>
      <c r="G13" s="5"/>
      <c r="H13" s="9"/>
      <c r="I13" s="2">
        <f>IF(ISBLANK(C13),1,C13)*IF(AND(ISBLANK(F13),ISBLANK(H13)),12*Standaardwaarden!$B$2,IF(ISBLANK(F13),MONTH(H13)*Standaardwaarden!$B$2,IF(ISBLANK(H13),(13-MONTH(F13))*Standaardwaarden!$B$2,(MONTH(H13)-MONTH(F13))*Standaardwaarden!$B$2)))</f>
        <v>342</v>
      </c>
      <c r="J13" s="2">
        <f>I13 - SUMIFS(Transacties!$F$3:'Transacties'!$F$286,Transacties!$C$3:'Transacties'!$C$286,500,Transacties!$D$3:'Transacties'!$D$286, A13)</f>
        <v>342</v>
      </c>
      <c r="K13" s="2">
        <f t="shared" si="0"/>
        <v>342</v>
      </c>
    </row>
    <row r="14" spans="1:11" x14ac:dyDescent="0.25">
      <c r="F14" s="9"/>
      <c r="G14" s="5"/>
      <c r="H14" s="9"/>
      <c r="I14" s="2">
        <f>IF(ISBLANK(C14),1,C14)*IF(AND(ISBLANK(F14),ISBLANK(H14)),12*Standaardwaarden!$B$2,IF(ISBLANK(F14),MONTH(H14)*Standaardwaarden!$B$2,IF(ISBLANK(H14),(13-MONTH(F14))*Standaardwaarden!$B$2,(MONTH(H14)-MONTH(F14))*Standaardwaarden!$B$2)))</f>
        <v>342</v>
      </c>
      <c r="J14" s="2">
        <f>I14 - SUMIFS(Transacties!$F$3:'Transacties'!$F$286,Transacties!$C$3:'Transacties'!$C$286,500,Transacties!$D$3:'Transacties'!$D$286, A14)</f>
        <v>342</v>
      </c>
      <c r="K14" s="2">
        <f t="shared" ref="K14:K29" si="1">J14</f>
        <v>342</v>
      </c>
    </row>
    <row r="15" spans="1:11" x14ac:dyDescent="0.25">
      <c r="F15" s="9"/>
      <c r="G15" s="5"/>
      <c r="H15" s="9"/>
      <c r="I15" s="2">
        <f>IF(ISBLANK(C15),1,C15)*IF(AND(ISBLANK(F15),ISBLANK(H15)),12*Standaardwaarden!$B$2,IF(ISBLANK(F15),MONTH(H15)*Standaardwaarden!$B$2,IF(ISBLANK(H15),(13-MONTH(F15))*Standaardwaarden!$B$2,(MONTH(H15)-MONTH(F15))*Standaardwaarden!$B$2)))</f>
        <v>342</v>
      </c>
      <c r="J15" s="2">
        <f>I15 - SUMIFS(Transacties!$F$3:'Transacties'!$F$286,Transacties!$C$3:'Transacties'!$C$286,500,Transacties!$D$3:'Transacties'!$D$286, A15)</f>
        <v>342</v>
      </c>
      <c r="K15" s="2">
        <f t="shared" si="1"/>
        <v>342</v>
      </c>
    </row>
    <row r="16" spans="1:11" x14ac:dyDescent="0.25">
      <c r="F16" s="9"/>
      <c r="G16" s="5"/>
      <c r="H16" s="9"/>
      <c r="I16" s="2">
        <f>IF(ISBLANK(C16),1,C16)*IF(AND(ISBLANK(F16),ISBLANK(H16)),12*Standaardwaarden!$B$2,IF(ISBLANK(F16),MONTH(H16)*Standaardwaarden!$B$2,IF(ISBLANK(H16),(13-MONTH(F16))*Standaardwaarden!$B$2,(MONTH(H16)-MONTH(F16))*Standaardwaarden!$B$2)))</f>
        <v>342</v>
      </c>
      <c r="J16" s="2">
        <f>I16 - SUMIFS(Transacties!$F$3:'Transacties'!$F$286,Transacties!$C$3:'Transacties'!$C$286,500,Transacties!$D$3:'Transacties'!$D$286, A16)</f>
        <v>342</v>
      </c>
      <c r="K16" s="2">
        <f t="shared" si="1"/>
        <v>342</v>
      </c>
    </row>
    <row r="17" spans="6:11" x14ac:dyDescent="0.25">
      <c r="F17" s="9"/>
      <c r="G17" s="5"/>
      <c r="H17" s="9"/>
      <c r="I17" s="2">
        <f>IF(ISBLANK(C17),1,C17)*IF(AND(ISBLANK(F17),ISBLANK(H17)),12*Standaardwaarden!$B$2,IF(ISBLANK(F17),MONTH(H17)*Standaardwaarden!$B$2,IF(ISBLANK(H17),(13-MONTH(F17))*Standaardwaarden!$B$2,(MONTH(H17)-MONTH(F17))*Standaardwaarden!$B$2)))</f>
        <v>342</v>
      </c>
      <c r="J17" s="2">
        <f>I17 - SUMIFS(Transacties!$F$3:'Transacties'!$F$286,Transacties!$C$3:'Transacties'!$C$286,500,Transacties!$D$3:'Transacties'!$D$286, A17)</f>
        <v>342</v>
      </c>
      <c r="K17" s="2">
        <f t="shared" si="1"/>
        <v>342</v>
      </c>
    </row>
    <row r="18" spans="6:11" x14ac:dyDescent="0.25">
      <c r="F18" s="9"/>
      <c r="G18" s="5"/>
      <c r="H18" s="9"/>
      <c r="I18" s="2">
        <f>IF(ISBLANK(C18),1,C18)*IF(AND(ISBLANK(F18),ISBLANK(H18)),12*Standaardwaarden!$B$2,IF(ISBLANK(F18),MONTH(H18)*Standaardwaarden!$B$2,IF(ISBLANK(H18),(13-MONTH(F18))*Standaardwaarden!$B$2,(MONTH(H18)-MONTH(F18))*Standaardwaarden!$B$2)))</f>
        <v>342</v>
      </c>
      <c r="J18" s="2">
        <f>I18 - SUMIFS(Transacties!$F$3:'Transacties'!$F$286,Transacties!$C$3:'Transacties'!$C$286,500,Transacties!$D$3:'Transacties'!$D$286, A18)</f>
        <v>342</v>
      </c>
      <c r="K18" s="2">
        <f t="shared" si="1"/>
        <v>342</v>
      </c>
    </row>
    <row r="19" spans="6:11" x14ac:dyDescent="0.25">
      <c r="F19" s="9"/>
      <c r="G19" s="5"/>
      <c r="H19" s="9"/>
      <c r="I19" s="2">
        <f>IF(ISBLANK(C19),1,C19)*IF(AND(ISBLANK(F19),ISBLANK(H19)),12*Standaardwaarden!$B$2,IF(ISBLANK(F19),MONTH(H19)*Standaardwaarden!$B$2,IF(ISBLANK(H19),(13-MONTH(F19))*Standaardwaarden!$B$2,(MONTH(H19)-MONTH(F19))*Standaardwaarden!$B$2)))</f>
        <v>342</v>
      </c>
      <c r="J19" s="2">
        <f>I19 - SUMIFS(Transacties!$F$3:'Transacties'!$F$286,Transacties!$C$3:'Transacties'!$C$286,500,Transacties!$D$3:'Transacties'!$D$286, A19)</f>
        <v>342</v>
      </c>
      <c r="K19" s="2">
        <f t="shared" si="1"/>
        <v>342</v>
      </c>
    </row>
    <row r="20" spans="6:11" x14ac:dyDescent="0.25">
      <c r="F20" s="9"/>
      <c r="G20" s="5"/>
      <c r="H20" s="9"/>
      <c r="I20" s="2">
        <f>IF(ISBLANK(C20),1,C20)*IF(AND(ISBLANK(F20),ISBLANK(H20)),12*Standaardwaarden!$B$2,IF(ISBLANK(F20),MONTH(H20)*Standaardwaarden!$B$2,IF(ISBLANK(H20),(13-MONTH(F20))*Standaardwaarden!$B$2,(MONTH(H20)-MONTH(F20))*Standaardwaarden!$B$2)))</f>
        <v>342</v>
      </c>
      <c r="J20" s="2">
        <f>I20 - SUMIFS(Transacties!$F$3:'Transacties'!$F$286,Transacties!$C$3:'Transacties'!$C$286,500,Transacties!$D$3:'Transacties'!$D$286, A20)</f>
        <v>342</v>
      </c>
      <c r="K20" s="2">
        <f t="shared" si="1"/>
        <v>342</v>
      </c>
    </row>
    <row r="21" spans="6:11" x14ac:dyDescent="0.25">
      <c r="F21" s="9"/>
      <c r="G21" s="5"/>
      <c r="H21" s="9"/>
      <c r="I21" s="2">
        <f>IF(ISBLANK(C21),1,C21)*IF(AND(ISBLANK(F21),ISBLANK(H21)),12*Standaardwaarden!$B$2,IF(ISBLANK(F21),MONTH(H21)*Standaardwaarden!$B$2,IF(ISBLANK(H21),(13-MONTH(F21))*Standaardwaarden!$B$2,(MONTH(H21)-MONTH(F21))*Standaardwaarden!$B$2)))</f>
        <v>342</v>
      </c>
      <c r="J21" s="2">
        <f>I21 - SUMIFS(Transacties!$F$3:'Transacties'!$F$286,Transacties!$C$3:'Transacties'!$C$286,500,Transacties!$D$3:'Transacties'!$D$286, A21)</f>
        <v>342</v>
      </c>
      <c r="K21" s="2">
        <f t="shared" si="1"/>
        <v>342</v>
      </c>
    </row>
    <row r="22" spans="6:11" x14ac:dyDescent="0.25">
      <c r="F22" s="10"/>
      <c r="G22" s="5"/>
      <c r="I22" s="2">
        <v>342</v>
      </c>
      <c r="J22" s="2">
        <f>I22 - SUMIFS(Transacties!$F$3:'Transacties'!$F$286,Transacties!$C$3:'Transacties'!$C$286,500,Transacties!$D$3:'Transacties'!$D$286, A22)</f>
        <v>342</v>
      </c>
      <c r="K22" s="2">
        <f>J22</f>
        <v>342</v>
      </c>
    </row>
    <row r="23" spans="6:11" x14ac:dyDescent="0.25">
      <c r="F23" s="9"/>
      <c r="G23" s="5"/>
      <c r="I23" s="2">
        <v>342</v>
      </c>
      <c r="J23" s="2">
        <f>I23 - SUMIFS(Transacties!$F$3:'Transacties'!$F$286,Transacties!$C$3:'Transacties'!$C$286,500,Transacties!$D$3:'Transacties'!$D$286, A23)</f>
        <v>342</v>
      </c>
      <c r="K23" s="2">
        <f t="shared" si="1"/>
        <v>342</v>
      </c>
    </row>
    <row r="24" spans="6:11" x14ac:dyDescent="0.25">
      <c r="F24" s="10"/>
      <c r="G24" s="5"/>
      <c r="I24" s="2">
        <v>342</v>
      </c>
      <c r="J24" s="2">
        <f>I24 - SUMIFS(Transacties!$F$3:'Transacties'!$F$286,Transacties!$C$3:'Transacties'!$C$286,500,Transacties!$D$3:'Transacties'!$D$286, A24)</f>
        <v>342</v>
      </c>
      <c r="K24" s="2">
        <f t="shared" si="1"/>
        <v>342</v>
      </c>
    </row>
    <row r="25" spans="6:11" x14ac:dyDescent="0.25">
      <c r="G25" s="5"/>
      <c r="I25" s="2">
        <v>342</v>
      </c>
      <c r="J25" s="2">
        <f>I25 - SUMIFS(Transacties!$F$3:'Transacties'!$F$286,Transacties!$C$3:'Transacties'!$C$286,500,Transacties!$D$3:'Transacties'!$D$286, A25)</f>
        <v>342</v>
      </c>
      <c r="K25" s="2">
        <f t="shared" si="1"/>
        <v>342</v>
      </c>
    </row>
    <row r="26" spans="6:11" x14ac:dyDescent="0.25">
      <c r="G26" s="5"/>
      <c r="I26" s="2">
        <v>342</v>
      </c>
      <c r="J26" s="2">
        <f>I26 - SUMIFS(Transacties!$F$3:'Transacties'!$F$286,Transacties!$C$3:'Transacties'!$C$286,500,Transacties!$D$3:'Transacties'!$D$286, A26)</f>
        <v>342</v>
      </c>
      <c r="K26" s="2">
        <f t="shared" si="1"/>
        <v>342</v>
      </c>
    </row>
    <row r="27" spans="6:11" x14ac:dyDescent="0.25">
      <c r="G27" s="5"/>
      <c r="I27" s="2">
        <v>342</v>
      </c>
      <c r="J27" s="2">
        <f>I27 - SUMIFS(Transacties!$F$3:'Transacties'!$F$286,Transacties!$C$3:'Transacties'!$C$286,500,Transacties!$D$3:'Transacties'!$D$286, A27)</f>
        <v>342</v>
      </c>
      <c r="K27" s="2">
        <f t="shared" si="1"/>
        <v>342</v>
      </c>
    </row>
    <row r="28" spans="6:11" x14ac:dyDescent="0.25">
      <c r="G28" s="5"/>
      <c r="I28" s="2">
        <v>342</v>
      </c>
      <c r="J28" s="2">
        <f>I28 - SUMIFS(Transacties!$F$3:'Transacties'!$F$286,Transacties!$C$3:'Transacties'!$C$286,500,Transacties!$D$3:'Transacties'!$D$286, A28)</f>
        <v>342</v>
      </c>
      <c r="K28" s="2">
        <f t="shared" si="1"/>
        <v>342</v>
      </c>
    </row>
    <row r="29" spans="6:11" x14ac:dyDescent="0.25">
      <c r="G29" s="5"/>
      <c r="I29" s="2">
        <v>342</v>
      </c>
      <c r="J29" s="2">
        <f>I29 - SUMIFS(Transacties!$F$3:'Transacties'!$F$286,Transacties!$C$3:'Transacties'!$C$286,500,Transacties!$D$3:'Transacties'!$D$286, A29)</f>
        <v>342</v>
      </c>
      <c r="K29" s="2">
        <f t="shared" si="1"/>
        <v>342</v>
      </c>
    </row>
    <row r="30" spans="6:11" x14ac:dyDescent="0.25">
      <c r="G30" s="5"/>
      <c r="I30" s="2"/>
      <c r="J30" s="2"/>
    </row>
    <row r="31" spans="6:11" x14ac:dyDescent="0.25">
      <c r="G31" s="5"/>
      <c r="I31" s="2"/>
      <c r="J31" s="2"/>
    </row>
    <row r="32" spans="6:11" x14ac:dyDescent="0.25">
      <c r="G32" s="5"/>
      <c r="I32" s="2"/>
      <c r="J32" s="2"/>
    </row>
    <row r="33" spans="7:10" x14ac:dyDescent="0.25">
      <c r="G33" s="5"/>
      <c r="I33" s="2"/>
      <c r="J33" s="2"/>
    </row>
    <row r="34" spans="7:10" x14ac:dyDescent="0.25">
      <c r="G34" s="5"/>
      <c r="I34" s="2"/>
      <c r="J34" s="2"/>
    </row>
    <row r="35" spans="7:10" x14ac:dyDescent="0.25">
      <c r="G35" s="5"/>
      <c r="I35" s="2"/>
      <c r="J35" s="2"/>
    </row>
    <row r="36" spans="7:10" x14ac:dyDescent="0.25">
      <c r="G36" s="5"/>
      <c r="I36" s="2"/>
      <c r="J36" s="2"/>
    </row>
    <row r="37" spans="7:10" x14ac:dyDescent="0.25">
      <c r="G37" s="5"/>
      <c r="I37" s="2"/>
      <c r="J37" s="2"/>
    </row>
    <row r="38" spans="7:10" x14ac:dyDescent="0.25">
      <c r="G38" s="5"/>
      <c r="I38" s="2"/>
      <c r="J38" s="2"/>
    </row>
    <row r="39" spans="7:10" x14ac:dyDescent="0.25">
      <c r="G39" s="5"/>
      <c r="I39" s="2"/>
      <c r="J39" s="2"/>
    </row>
    <row r="40" spans="7:10" x14ac:dyDescent="0.25">
      <c r="G40" s="5"/>
      <c r="I40" s="2"/>
      <c r="J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2:I5"/>
  <sheetViews>
    <sheetView workbookViewId="0">
      <selection activeCell="F5" sqref="F5"/>
    </sheetView>
  </sheetViews>
  <sheetFormatPr defaultRowHeight="15" x14ac:dyDescent="0.25"/>
  <cols>
    <col min="1" max="1" width="23.28515625" style="11" customWidth="1"/>
    <col min="2" max="2" width="15.28515625" style="11" customWidth="1"/>
    <col min="3" max="3" width="16" customWidth="1"/>
    <col min="4" max="4" width="21.85546875" customWidth="1"/>
    <col min="5" max="5" width="7" customWidth="1"/>
    <col min="6" max="6" width="14.42578125" style="7" customWidth="1"/>
    <col min="7" max="7" width="85.42578125" customWidth="1"/>
    <col min="8" max="8" width="17.85546875" customWidth="1"/>
    <col min="9" max="9" width="9.140625" style="7" customWidth="1"/>
  </cols>
  <sheetData>
    <row r="2" spans="1:9" s="3" customFormat="1" ht="30" customHeight="1" x14ac:dyDescent="0.25">
      <c r="A2" s="12" t="s">
        <v>11</v>
      </c>
      <c r="B2" s="12" t="s">
        <v>12</v>
      </c>
      <c r="C2" s="3" t="s">
        <v>13</v>
      </c>
      <c r="D2" s="3" t="s">
        <v>14</v>
      </c>
      <c r="E2" s="3" t="s">
        <v>15</v>
      </c>
      <c r="F2" s="6" t="s">
        <v>16</v>
      </c>
      <c r="G2" s="3" t="s">
        <v>17</v>
      </c>
      <c r="I2" s="6"/>
    </row>
    <row r="5" spans="1:9" x14ac:dyDescent="0.25">
      <c r="F5" s="7">
        <f>SUM(F3:F4)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E21"/>
  <sheetViews>
    <sheetView tabSelected="1" workbookViewId="0">
      <selection activeCell="E15" sqref="E15"/>
    </sheetView>
  </sheetViews>
  <sheetFormatPr defaultRowHeight="15" x14ac:dyDescent="0.25"/>
  <cols>
    <col min="2" max="2" width="35.28515625" customWidth="1"/>
    <col min="3" max="3" width="12.42578125" customWidth="1"/>
    <col min="4" max="4" width="13.5703125" customWidth="1"/>
    <col min="5" max="5" width="14.42578125" customWidth="1"/>
  </cols>
  <sheetData>
    <row r="1" spans="1:5" x14ac:dyDescent="0.25">
      <c r="B1" t="s">
        <v>18</v>
      </c>
    </row>
    <row r="2" spans="1:5" x14ac:dyDescent="0.25">
      <c r="E2" t="s">
        <v>19</v>
      </c>
    </row>
    <row r="3" spans="1:5" x14ac:dyDescent="0.25">
      <c r="A3" t="s">
        <v>20</v>
      </c>
      <c r="C3" s="4">
        <f>Standaardwaarden!B3-1</f>
        <v>2019</v>
      </c>
      <c r="D3">
        <f>Standaardwaarden!B3</f>
        <v>2020</v>
      </c>
      <c r="E3">
        <f>Standaardwaarden!B3+1</f>
        <v>2021</v>
      </c>
    </row>
    <row r="4" spans="1:5" x14ac:dyDescent="0.25">
      <c r="A4">
        <v>500</v>
      </c>
      <c r="B4" t="s">
        <v>8</v>
      </c>
      <c r="C4" s="2">
        <v>0</v>
      </c>
      <c r="D4" s="2">
        <f>SUMIF(Transacties!$C$3:$C$286,A4,Transacties!$F$3:'Transacties'!$F$286)</f>
        <v>0</v>
      </c>
      <c r="E4" s="2">
        <v>0</v>
      </c>
    </row>
    <row r="5" spans="1:5" x14ac:dyDescent="0.25">
      <c r="A5">
        <v>600</v>
      </c>
      <c r="B5" t="s">
        <v>21</v>
      </c>
      <c r="C5" s="2">
        <v>0</v>
      </c>
      <c r="D5" s="2">
        <f>SUMIF(Transacties!$C$3:$C$286,A5,Transacties!$F$3:'Transacties'!$F$286)</f>
        <v>0</v>
      </c>
      <c r="E5" s="2">
        <v>0</v>
      </c>
    </row>
    <row r="6" spans="1:5" x14ac:dyDescent="0.25">
      <c r="A6">
        <v>700</v>
      </c>
      <c r="B6" t="s">
        <v>22</v>
      </c>
      <c r="C6" s="2">
        <v>0</v>
      </c>
      <c r="D6" s="2">
        <f>SUMIF(Transacties!$C$3:$C$286,A6,Transacties!$F$3:'Transacties'!$F$286)</f>
        <v>0</v>
      </c>
      <c r="E6" s="2">
        <v>0</v>
      </c>
    </row>
    <row r="7" spans="1:5" x14ac:dyDescent="0.25">
      <c r="A7">
        <v>701</v>
      </c>
      <c r="B7" t="s">
        <v>23</v>
      </c>
      <c r="C7" s="2">
        <v>0</v>
      </c>
      <c r="D7" s="2">
        <f>SUMIF(Transacties!$C$3:$C$286,A7,Transacties!$F$3:'Transacties'!$F$286)</f>
        <v>0</v>
      </c>
      <c r="E7" s="2">
        <v>0</v>
      </c>
    </row>
    <row r="8" spans="1:5" x14ac:dyDescent="0.25">
      <c r="B8" t="s">
        <v>66</v>
      </c>
      <c r="C8" s="2">
        <v>0</v>
      </c>
      <c r="D8" s="2">
        <v>0</v>
      </c>
      <c r="E8" s="2">
        <v>0</v>
      </c>
    </row>
    <row r="9" spans="1:5" x14ac:dyDescent="0.25">
      <c r="B9" t="s">
        <v>76</v>
      </c>
      <c r="C9" s="2"/>
      <c r="D9" s="2">
        <f>Debiteuren!D12</f>
        <v>0</v>
      </c>
      <c r="E9" s="2"/>
    </row>
    <row r="10" spans="1:5" x14ac:dyDescent="0.25">
      <c r="A10">
        <v>800</v>
      </c>
      <c r="B10" t="s">
        <v>24</v>
      </c>
      <c r="C10" s="2">
        <v>0</v>
      </c>
      <c r="D10" s="2">
        <f>SUMIF(Transacties!$C$3:$C$286,A10,Transacties!$F$3:'Transacties'!$F$286)</f>
        <v>0</v>
      </c>
      <c r="E10" s="2">
        <v>0</v>
      </c>
    </row>
    <row r="11" spans="1:5" x14ac:dyDescent="0.25">
      <c r="A11">
        <v>801</v>
      </c>
      <c r="B11" t="s">
        <v>25</v>
      </c>
      <c r="C11" s="2">
        <v>0</v>
      </c>
      <c r="D11" s="2">
        <f>SUMIF(Transacties!$C$3:$C$286,A11,Transacties!$F$3:'Transacties'!$F$286)</f>
        <v>0</v>
      </c>
      <c r="E11" s="2">
        <v>0</v>
      </c>
    </row>
    <row r="12" spans="1:5" x14ac:dyDescent="0.25">
      <c r="A12">
        <v>802</v>
      </c>
      <c r="B12" t="s">
        <v>26</v>
      </c>
      <c r="C12" s="2">
        <v>0</v>
      </c>
      <c r="D12" s="2">
        <f>SUMIF(Transacties!$C$3:$C$286,A12,Transacties!$F$3:'Transacties'!$F$286)</f>
        <v>0</v>
      </c>
      <c r="E12" s="2">
        <v>0</v>
      </c>
    </row>
    <row r="13" spans="1:5" x14ac:dyDescent="0.25">
      <c r="A13">
        <v>803</v>
      </c>
      <c r="B13" t="s">
        <v>27</v>
      </c>
      <c r="C13" s="2">
        <v>0</v>
      </c>
      <c r="D13" s="2">
        <f>SUMIF(Transacties!$C$3:$C$286,A13,Transacties!$F$3:'Transacties'!$F$286)</f>
        <v>0</v>
      </c>
      <c r="E13" s="2">
        <v>0</v>
      </c>
    </row>
    <row r="14" spans="1:5" x14ac:dyDescent="0.25">
      <c r="D14" s="2"/>
      <c r="E14" s="2"/>
    </row>
    <row r="15" spans="1:5" x14ac:dyDescent="0.25">
      <c r="E15" s="2"/>
    </row>
    <row r="16" spans="1:5" x14ac:dyDescent="0.25">
      <c r="E16" s="2"/>
    </row>
    <row r="17" spans="1:5" x14ac:dyDescent="0.25">
      <c r="B17" t="s">
        <v>28</v>
      </c>
      <c r="C17" s="2">
        <f>SUM(C4:C13)</f>
        <v>0</v>
      </c>
      <c r="D17" s="2">
        <f>SUM(D4:D13)</f>
        <v>0</v>
      </c>
      <c r="E17" s="2">
        <f>SUM(E4:E13)</f>
        <v>0</v>
      </c>
    </row>
    <row r="18" spans="1:5" x14ac:dyDescent="0.25">
      <c r="E18" s="2"/>
    </row>
    <row r="19" spans="1:5" x14ac:dyDescent="0.25">
      <c r="A19">
        <v>900</v>
      </c>
      <c r="B19" t="s">
        <v>29</v>
      </c>
      <c r="C19" s="2">
        <v>285.39999999999998</v>
      </c>
      <c r="D19" s="2">
        <f>Apparatuur!F24</f>
        <v>0</v>
      </c>
      <c r="E19" s="2">
        <v>0</v>
      </c>
    </row>
    <row r="21" spans="1:5" x14ac:dyDescent="0.25">
      <c r="B21" t="s">
        <v>30</v>
      </c>
      <c r="C21" s="2">
        <f>C17 - C19</f>
        <v>-285.39999999999998</v>
      </c>
      <c r="D21" s="2">
        <f>D17 - D19</f>
        <v>0</v>
      </c>
      <c r="E21" s="2">
        <f>E17 - E19</f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G14"/>
  <sheetViews>
    <sheetView workbookViewId="0">
      <selection activeCell="C7" sqref="C7"/>
    </sheetView>
  </sheetViews>
  <sheetFormatPr defaultRowHeight="15" x14ac:dyDescent="0.25"/>
  <cols>
    <col min="2" max="2" width="26.140625" customWidth="1"/>
    <col min="3" max="3" width="13.85546875" customWidth="1"/>
    <col min="4" max="4" width="14.28515625" customWidth="1"/>
  </cols>
  <sheetData>
    <row r="1" spans="1:7" x14ac:dyDescent="0.25">
      <c r="B1" t="s">
        <v>31</v>
      </c>
    </row>
    <row r="3" spans="1:7" x14ac:dyDescent="0.25">
      <c r="C3" s="4" t="e">
        <f>YEAR(Transacties!#REF!)-1</f>
        <v>#REF!</v>
      </c>
      <c r="D3" t="e">
        <f>YEAR(Transacties!#REF!)</f>
        <v>#REF!</v>
      </c>
    </row>
    <row r="5" spans="1:7" x14ac:dyDescent="0.25">
      <c r="A5">
        <v>100</v>
      </c>
      <c r="B5" t="s">
        <v>32</v>
      </c>
      <c r="C5" s="2">
        <v>1230.55</v>
      </c>
      <c r="D5" s="2">
        <v>995.77</v>
      </c>
      <c r="G5" s="2">
        <f>C5-D5</f>
        <v>234.77999999999997</v>
      </c>
    </row>
    <row r="6" spans="1:7" x14ac:dyDescent="0.25">
      <c r="A6">
        <v>101</v>
      </c>
      <c r="B6" t="s">
        <v>33</v>
      </c>
      <c r="C6" s="2">
        <v>2474.21</v>
      </c>
      <c r="D6" s="2">
        <v>2474.21</v>
      </c>
    </row>
    <row r="7" spans="1:7" x14ac:dyDescent="0.25">
      <c r="A7">
        <v>300</v>
      </c>
      <c r="B7" t="s">
        <v>34</v>
      </c>
      <c r="C7" s="2">
        <v>870.8</v>
      </c>
      <c r="D7" s="2">
        <f>Apparatuur!E24</f>
        <v>870.8</v>
      </c>
    </row>
    <row r="8" spans="1:7" x14ac:dyDescent="0.25">
      <c r="A8">
        <v>400</v>
      </c>
      <c r="B8" t="s">
        <v>35</v>
      </c>
      <c r="C8" s="2">
        <v>497.5</v>
      </c>
      <c r="D8" s="2">
        <f>SUM(Debiteuren!D10:D12)</f>
        <v>0</v>
      </c>
    </row>
    <row r="10" spans="1:7" x14ac:dyDescent="0.25">
      <c r="B10" t="s">
        <v>36</v>
      </c>
      <c r="C10" s="2">
        <f>SUM(C5:C8)</f>
        <v>5073.0600000000004</v>
      </c>
      <c r="D10" s="2">
        <f>SUM(D5:D8)</f>
        <v>4340.78</v>
      </c>
    </row>
    <row r="14" spans="1:7" x14ac:dyDescent="0.25">
      <c r="E14" s="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F24"/>
  <sheetViews>
    <sheetView workbookViewId="0">
      <selection activeCell="F11" sqref="F11"/>
    </sheetView>
  </sheetViews>
  <sheetFormatPr defaultRowHeight="15" x14ac:dyDescent="0.25"/>
  <cols>
    <col min="1" max="1" width="30.42578125" customWidth="1"/>
    <col min="3" max="4" width="16.5703125" customWidth="1"/>
    <col min="5" max="5" width="11" customWidth="1"/>
    <col min="6" max="6" width="13.42578125" customWidth="1"/>
  </cols>
  <sheetData>
    <row r="1" spans="1:6" x14ac:dyDescent="0.25">
      <c r="A1" t="s">
        <v>34</v>
      </c>
      <c r="E1" s="7"/>
      <c r="F1" s="2"/>
    </row>
    <row r="2" spans="1:6" x14ac:dyDescent="0.25">
      <c r="E2" s="7"/>
      <c r="F2" s="2"/>
    </row>
    <row r="3" spans="1:6" ht="45" customHeight="1" x14ac:dyDescent="0.25">
      <c r="A3" s="1"/>
      <c r="B3" s="1" t="s">
        <v>37</v>
      </c>
      <c r="C3" s="1" t="s">
        <v>38</v>
      </c>
      <c r="D3" s="1" t="s">
        <v>39</v>
      </c>
      <c r="E3" s="6" t="s">
        <v>40</v>
      </c>
      <c r="F3" s="8" t="s">
        <v>41</v>
      </c>
    </row>
    <row r="4" spans="1:6" x14ac:dyDescent="0.25">
      <c r="A4" t="s">
        <v>42</v>
      </c>
      <c r="B4">
        <v>12</v>
      </c>
      <c r="D4" s="2">
        <f t="shared" ref="D4:D22" si="0">C4-B4*F4</f>
        <v>0</v>
      </c>
      <c r="E4" s="2">
        <v>75</v>
      </c>
      <c r="F4" s="2">
        <f t="shared" ref="F4:F22" si="1">IF(B4&lt;5,C4/5,0)</f>
        <v>0</v>
      </c>
    </row>
    <row r="5" spans="1:6" x14ac:dyDescent="0.25">
      <c r="A5" t="s">
        <v>43</v>
      </c>
      <c r="B5">
        <v>12</v>
      </c>
      <c r="D5" s="2">
        <f t="shared" si="0"/>
        <v>0</v>
      </c>
      <c r="E5" s="2">
        <v>150</v>
      </c>
      <c r="F5" s="2">
        <f t="shared" si="1"/>
        <v>0</v>
      </c>
    </row>
    <row r="6" spans="1:6" x14ac:dyDescent="0.25">
      <c r="A6" t="s">
        <v>44</v>
      </c>
      <c r="B6">
        <v>5</v>
      </c>
      <c r="C6" s="2">
        <v>325</v>
      </c>
      <c r="D6" s="2">
        <f t="shared" si="0"/>
        <v>325</v>
      </c>
      <c r="E6" s="2">
        <v>130</v>
      </c>
      <c r="F6" s="2">
        <f t="shared" si="1"/>
        <v>0</v>
      </c>
    </row>
    <row r="7" spans="1:6" x14ac:dyDescent="0.25">
      <c r="A7" t="s">
        <v>45</v>
      </c>
      <c r="B7">
        <v>5</v>
      </c>
      <c r="C7" s="2">
        <v>382</v>
      </c>
      <c r="D7" s="2">
        <f t="shared" si="0"/>
        <v>382</v>
      </c>
      <c r="E7" s="2">
        <v>152.80000000000001</v>
      </c>
      <c r="F7" s="2">
        <f t="shared" si="1"/>
        <v>0</v>
      </c>
    </row>
    <row r="8" spans="1:6" x14ac:dyDescent="0.25">
      <c r="A8" t="s">
        <v>46</v>
      </c>
      <c r="B8">
        <v>5</v>
      </c>
      <c r="C8" s="2">
        <v>382</v>
      </c>
      <c r="D8" s="2">
        <f t="shared" si="0"/>
        <v>382</v>
      </c>
      <c r="E8" s="2">
        <v>152.80000000000001</v>
      </c>
      <c r="F8" s="2">
        <f t="shared" si="1"/>
        <v>0</v>
      </c>
    </row>
    <row r="9" spans="1:6" x14ac:dyDescent="0.25">
      <c r="A9" t="s">
        <v>47</v>
      </c>
      <c r="B9">
        <v>5</v>
      </c>
      <c r="C9" s="2">
        <v>338</v>
      </c>
      <c r="D9" s="2">
        <f t="shared" si="0"/>
        <v>338</v>
      </c>
      <c r="E9" s="2">
        <v>135.19999999999999</v>
      </c>
      <c r="F9" s="2">
        <f t="shared" si="1"/>
        <v>0</v>
      </c>
    </row>
    <row r="10" spans="1:6" x14ac:dyDescent="0.25">
      <c r="A10" t="s">
        <v>48</v>
      </c>
      <c r="B10">
        <v>12</v>
      </c>
      <c r="C10" s="2">
        <v>0</v>
      </c>
      <c r="D10" s="2">
        <f t="shared" si="0"/>
        <v>0</v>
      </c>
      <c r="E10" s="2">
        <v>25</v>
      </c>
      <c r="F10" s="2">
        <f t="shared" si="1"/>
        <v>0</v>
      </c>
    </row>
    <row r="11" spans="1:6" x14ac:dyDescent="0.25">
      <c r="A11" t="s">
        <v>49</v>
      </c>
      <c r="B11">
        <v>12</v>
      </c>
      <c r="C11" s="2">
        <v>0</v>
      </c>
      <c r="D11" s="2">
        <f t="shared" si="0"/>
        <v>0</v>
      </c>
      <c r="E11" s="2">
        <v>50</v>
      </c>
      <c r="F11" s="2">
        <f t="shared" si="1"/>
        <v>0</v>
      </c>
    </row>
    <row r="12" spans="1:6" x14ac:dyDescent="0.25">
      <c r="C12" s="2"/>
      <c r="D12" s="2">
        <f t="shared" si="0"/>
        <v>0</v>
      </c>
      <c r="E12" s="2"/>
      <c r="F12" s="2">
        <f t="shared" si="1"/>
        <v>0</v>
      </c>
    </row>
    <row r="13" spans="1:6" x14ac:dyDescent="0.25">
      <c r="D13" s="2">
        <f t="shared" si="0"/>
        <v>0</v>
      </c>
      <c r="F13" s="2">
        <f t="shared" si="1"/>
        <v>0</v>
      </c>
    </row>
    <row r="14" spans="1:6" x14ac:dyDescent="0.25">
      <c r="D14" s="2">
        <f t="shared" si="0"/>
        <v>0</v>
      </c>
      <c r="F14" s="2">
        <f t="shared" si="1"/>
        <v>0</v>
      </c>
    </row>
    <row r="15" spans="1:6" x14ac:dyDescent="0.25">
      <c r="D15" s="2">
        <f t="shared" si="0"/>
        <v>0</v>
      </c>
      <c r="F15" s="2">
        <f t="shared" si="1"/>
        <v>0</v>
      </c>
    </row>
    <row r="16" spans="1:6" x14ac:dyDescent="0.25">
      <c r="D16" s="2">
        <f t="shared" si="0"/>
        <v>0</v>
      </c>
      <c r="F16" s="2">
        <f t="shared" si="1"/>
        <v>0</v>
      </c>
    </row>
    <row r="17" spans="1:6" x14ac:dyDescent="0.25">
      <c r="D17" s="2">
        <f t="shared" si="0"/>
        <v>0</v>
      </c>
      <c r="F17" s="2">
        <f t="shared" si="1"/>
        <v>0</v>
      </c>
    </row>
    <row r="18" spans="1:6" x14ac:dyDescent="0.25">
      <c r="D18" s="2">
        <f t="shared" si="0"/>
        <v>0</v>
      </c>
      <c r="F18" s="2">
        <f t="shared" si="1"/>
        <v>0</v>
      </c>
    </row>
    <row r="19" spans="1:6" x14ac:dyDescent="0.25">
      <c r="D19" s="2">
        <f t="shared" si="0"/>
        <v>0</v>
      </c>
      <c r="F19" s="2">
        <f t="shared" si="1"/>
        <v>0</v>
      </c>
    </row>
    <row r="20" spans="1:6" x14ac:dyDescent="0.25">
      <c r="D20" s="2">
        <f t="shared" si="0"/>
        <v>0</v>
      </c>
      <c r="F20" s="2">
        <f t="shared" si="1"/>
        <v>0</v>
      </c>
    </row>
    <row r="21" spans="1:6" x14ac:dyDescent="0.25">
      <c r="D21" s="2">
        <f t="shared" si="0"/>
        <v>0</v>
      </c>
      <c r="F21" s="2">
        <f t="shared" si="1"/>
        <v>0</v>
      </c>
    </row>
    <row r="22" spans="1:6" x14ac:dyDescent="0.25">
      <c r="D22" s="2">
        <f t="shared" si="0"/>
        <v>0</v>
      </c>
      <c r="F22" s="2">
        <f t="shared" si="1"/>
        <v>0</v>
      </c>
    </row>
    <row r="24" spans="1:6" x14ac:dyDescent="0.25">
      <c r="A24" t="s">
        <v>36</v>
      </c>
      <c r="C24" s="2">
        <f>SUM(C4:C22)</f>
        <v>1427</v>
      </c>
      <c r="D24" s="2">
        <f>SUM(D4:D22)</f>
        <v>1427</v>
      </c>
      <c r="E24" s="2">
        <f>SUM(E4:E22)</f>
        <v>870.8</v>
      </c>
      <c r="F24" s="2">
        <f>SUM(F4:F22)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F20"/>
  <sheetViews>
    <sheetView workbookViewId="0">
      <selection activeCell="A12" sqref="A12"/>
    </sheetView>
  </sheetViews>
  <sheetFormatPr defaultRowHeight="15" x14ac:dyDescent="0.25"/>
  <cols>
    <col min="1" max="1" width="14" customWidth="1"/>
    <col min="2" max="2" width="49.140625" customWidth="1"/>
    <col min="3" max="4" width="19.5703125" customWidth="1"/>
    <col min="5" max="5" width="14.7109375" customWidth="1"/>
    <col min="6" max="6" width="14" customWidth="1"/>
  </cols>
  <sheetData>
    <row r="2" spans="1:6" x14ac:dyDescent="0.25">
      <c r="A2" t="s">
        <v>50</v>
      </c>
      <c r="B2" t="s">
        <v>1</v>
      </c>
      <c r="C2" t="s">
        <v>16</v>
      </c>
      <c r="E2" t="s">
        <v>51</v>
      </c>
      <c r="F2" t="s">
        <v>52</v>
      </c>
    </row>
    <row r="3" spans="1:6" x14ac:dyDescent="0.25">
      <c r="C3" s="2"/>
      <c r="D3" s="2"/>
    </row>
    <row r="4" spans="1:6" x14ac:dyDescent="0.25">
      <c r="C4" s="2"/>
    </row>
    <row r="5" spans="1:6" x14ac:dyDescent="0.25">
      <c r="C5" s="2"/>
    </row>
    <row r="6" spans="1:6" x14ac:dyDescent="0.25">
      <c r="C6" s="2"/>
    </row>
    <row r="7" spans="1:6" x14ac:dyDescent="0.25">
      <c r="C7" s="2"/>
    </row>
    <row r="8" spans="1:6" x14ac:dyDescent="0.25">
      <c r="C8" s="2"/>
    </row>
    <row r="9" spans="1:6" x14ac:dyDescent="0.25">
      <c r="C9" s="2"/>
    </row>
    <row r="10" spans="1:6" x14ac:dyDescent="0.25">
      <c r="B10" t="s">
        <v>9</v>
      </c>
      <c r="D10" s="2">
        <f>SUMIF(F3:F9,"",C3:C9)</f>
        <v>0</v>
      </c>
    </row>
    <row r="12" spans="1:6" x14ac:dyDescent="0.25">
      <c r="A12" t="s">
        <v>53</v>
      </c>
      <c r="D12" s="2">
        <f>SUMIF(Leden!A3:A29,"*",Leden!K3:K29)</f>
        <v>0</v>
      </c>
    </row>
    <row r="14" spans="1:6" x14ac:dyDescent="0.25">
      <c r="A14" t="s">
        <v>75</v>
      </c>
      <c r="D14" s="2">
        <f>SUM(D10:D12)</f>
        <v>0</v>
      </c>
    </row>
    <row r="20" spans="4:4" x14ac:dyDescent="0.25">
      <c r="D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2:G22"/>
  <sheetViews>
    <sheetView workbookViewId="0">
      <selection activeCell="A10" sqref="A10"/>
    </sheetView>
  </sheetViews>
  <sheetFormatPr defaultRowHeight="15" x14ac:dyDescent="0.25"/>
  <cols>
    <col min="2" max="2" width="15.7109375" customWidth="1"/>
    <col min="3" max="3" width="26.7109375" customWidth="1"/>
    <col min="4" max="4" width="12" customWidth="1"/>
    <col min="5" max="5" width="13.42578125" customWidth="1"/>
    <col min="6" max="7" width="11.5703125" customWidth="1"/>
  </cols>
  <sheetData>
    <row r="2" spans="1:7" x14ac:dyDescent="0.25">
      <c r="B2" t="s">
        <v>54</v>
      </c>
    </row>
    <row r="3" spans="1:7" x14ac:dyDescent="0.25">
      <c r="A3" t="s">
        <v>55</v>
      </c>
      <c r="B3" t="s">
        <v>56</v>
      </c>
      <c r="D3" t="s">
        <v>57</v>
      </c>
      <c r="F3" t="s">
        <v>58</v>
      </c>
      <c r="G3" t="s">
        <v>59</v>
      </c>
    </row>
    <row r="4" spans="1:7" x14ac:dyDescent="0.25">
      <c r="A4">
        <v>500</v>
      </c>
      <c r="C4" t="s">
        <v>8</v>
      </c>
      <c r="D4" t="s">
        <v>60</v>
      </c>
      <c r="E4" t="s">
        <v>61</v>
      </c>
      <c r="F4">
        <v>27.5</v>
      </c>
      <c r="G4">
        <v>28.5</v>
      </c>
    </row>
    <row r="5" spans="1:7" x14ac:dyDescent="0.25">
      <c r="A5">
        <v>600</v>
      </c>
      <c r="C5" t="s">
        <v>21</v>
      </c>
      <c r="D5" t="s">
        <v>62</v>
      </c>
      <c r="E5" t="s">
        <v>63</v>
      </c>
      <c r="F5" s="13">
        <v>70</v>
      </c>
      <c r="G5" s="13">
        <v>90</v>
      </c>
    </row>
    <row r="6" spans="1:7" x14ac:dyDescent="0.25">
      <c r="A6">
        <v>700</v>
      </c>
      <c r="C6" t="s">
        <v>22</v>
      </c>
      <c r="D6" t="s">
        <v>62</v>
      </c>
      <c r="E6" t="s">
        <v>64</v>
      </c>
    </row>
    <row r="7" spans="1:7" x14ac:dyDescent="0.25">
      <c r="A7">
        <v>701</v>
      </c>
      <c r="C7" t="s">
        <v>23</v>
      </c>
      <c r="D7" t="s">
        <v>62</v>
      </c>
      <c r="E7" t="s">
        <v>65</v>
      </c>
      <c r="F7" s="13">
        <v>30</v>
      </c>
      <c r="G7" s="13">
        <v>80</v>
      </c>
    </row>
    <row r="8" spans="1:7" x14ac:dyDescent="0.25">
      <c r="A8">
        <v>501</v>
      </c>
      <c r="C8" t="s">
        <v>66</v>
      </c>
    </row>
    <row r="9" spans="1:7" x14ac:dyDescent="0.25">
      <c r="A9">
        <v>502</v>
      </c>
      <c r="C9" t="s">
        <v>67</v>
      </c>
    </row>
    <row r="10" spans="1:7" x14ac:dyDescent="0.25">
      <c r="A10">
        <v>800</v>
      </c>
      <c r="C10" t="s">
        <v>24</v>
      </c>
      <c r="D10" t="s">
        <v>62</v>
      </c>
    </row>
    <row r="11" spans="1:7" x14ac:dyDescent="0.25">
      <c r="A11">
        <v>801</v>
      </c>
      <c r="C11" t="s">
        <v>25</v>
      </c>
      <c r="D11" t="s">
        <v>62</v>
      </c>
      <c r="E11" t="s">
        <v>68</v>
      </c>
    </row>
    <row r="12" spans="1:7" x14ac:dyDescent="0.25">
      <c r="A12">
        <v>802</v>
      </c>
      <c r="C12" t="s">
        <v>26</v>
      </c>
      <c r="D12" t="s">
        <v>62</v>
      </c>
      <c r="E12" t="s">
        <v>69</v>
      </c>
    </row>
    <row r="13" spans="1:7" x14ac:dyDescent="0.25">
      <c r="A13">
        <v>803</v>
      </c>
      <c r="C13" t="s">
        <v>27</v>
      </c>
      <c r="D13" t="s">
        <v>62</v>
      </c>
      <c r="E13" t="s">
        <v>70</v>
      </c>
    </row>
    <row r="14" spans="1:7" x14ac:dyDescent="0.25">
      <c r="A14">
        <v>900</v>
      </c>
      <c r="C14" t="s">
        <v>29</v>
      </c>
    </row>
    <row r="17" spans="1:3" x14ac:dyDescent="0.25">
      <c r="B17" t="s">
        <v>71</v>
      </c>
    </row>
    <row r="18" spans="1:3" x14ac:dyDescent="0.25">
      <c r="A18">
        <v>100</v>
      </c>
      <c r="C18" t="s">
        <v>32</v>
      </c>
    </row>
    <row r="19" spans="1:3" x14ac:dyDescent="0.25">
      <c r="A19">
        <v>101</v>
      </c>
      <c r="C19" t="s">
        <v>33</v>
      </c>
    </row>
    <row r="20" spans="1:3" x14ac:dyDescent="0.25">
      <c r="A20">
        <v>200</v>
      </c>
      <c r="C20" t="s">
        <v>72</v>
      </c>
    </row>
    <row r="21" spans="1:3" x14ac:dyDescent="0.25">
      <c r="A21">
        <v>300</v>
      </c>
      <c r="C21" t="s">
        <v>34</v>
      </c>
    </row>
    <row r="22" spans="1:3" x14ac:dyDescent="0.25">
      <c r="A22">
        <v>400</v>
      </c>
      <c r="C2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D4"/>
  <sheetViews>
    <sheetView workbookViewId="0">
      <selection activeCell="A4" sqref="A4"/>
    </sheetView>
  </sheetViews>
  <sheetFormatPr defaultRowHeight="15" x14ac:dyDescent="0.25"/>
  <cols>
    <col min="1" max="1" width="19.5703125" customWidth="1"/>
    <col min="2" max="2" width="14.42578125" customWidth="1"/>
    <col min="3" max="3" width="12.28515625" customWidth="1"/>
    <col min="4" max="4" width="9.5703125" customWidth="1"/>
  </cols>
  <sheetData>
    <row r="1" spans="1:4" x14ac:dyDescent="0.25">
      <c r="C1" t="s">
        <v>73</v>
      </c>
    </row>
    <row r="2" spans="1:4" x14ac:dyDescent="0.25">
      <c r="A2" t="s">
        <v>74</v>
      </c>
      <c r="B2" s="14">
        <v>28.5</v>
      </c>
      <c r="C2" s="4"/>
      <c r="D2" s="2"/>
    </row>
    <row r="3" spans="1:4" x14ac:dyDescent="0.25">
      <c r="A3" t="s">
        <v>77</v>
      </c>
      <c r="B3">
        <v>2020</v>
      </c>
    </row>
    <row r="4" spans="1:4" x14ac:dyDescent="0.25">
      <c r="D4" s="1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Leden</vt:lpstr>
      <vt:lpstr>Transacties</vt:lpstr>
      <vt:lpstr>Resultaten</vt:lpstr>
      <vt:lpstr>Bezittingen</vt:lpstr>
      <vt:lpstr>Apparatuur</vt:lpstr>
      <vt:lpstr>Debiteuren</vt:lpstr>
      <vt:lpstr>Rekeningschema</vt:lpstr>
      <vt:lpstr>Standaardwaarden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dickk</dc:creator>
  <cp:lastModifiedBy>dickk</cp:lastModifiedBy>
  <dcterms:created xsi:type="dcterms:W3CDTF">2020-12-19T10:30:17Z</dcterms:created>
  <dcterms:modified xsi:type="dcterms:W3CDTF">2021-08-22T13:03:05Z</dcterms:modified>
</cp:coreProperties>
</file>