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defaultThemeVersion="124226"/>
  <mc:AlternateContent xmlns:mc="http://schemas.openxmlformats.org/markup-compatibility/2006">
    <mc:Choice Requires="x15">
      <x15ac:absPath xmlns:x15ac="http://schemas.microsoft.com/office/spreadsheetml/2010/11/ac" url="C:\Users\YOGA 14\Downloads\Compressed\data  deepublish\"/>
    </mc:Choice>
  </mc:AlternateContent>
  <xr:revisionPtr revIDLastSave="0" documentId="13_ncr:1_{DE73BC09-5461-4BCF-A533-C56B0100DC0E}" xr6:coauthVersionLast="47" xr6:coauthVersionMax="47" xr10:uidLastSave="{00000000-0000-0000-0000-000000000000}"/>
  <bookViews>
    <workbookView xWindow="-108" yWindow="-108" windowWidth="23256" windowHeight="13176" firstSheet="4" activeTab="11" xr2:uid="{00000000-000D-0000-FFFF-FFFF00000000}"/>
  </bookViews>
  <sheets>
    <sheet name="M.JANUARI" sheetId="1" r:id="rId1"/>
    <sheet name="M.FEBRUARI" sheetId="5" r:id="rId2"/>
    <sheet name="M.MARET" sheetId="6" r:id="rId3"/>
    <sheet name="M.APRIL" sheetId="7" r:id="rId4"/>
    <sheet name="M.MEI" sheetId="8" r:id="rId5"/>
    <sheet name="M.JUNI" sheetId="9" r:id="rId6"/>
    <sheet name="M.JULI" sheetId="10" r:id="rId7"/>
    <sheet name="M.AGUSTUS" sheetId="11" r:id="rId8"/>
    <sheet name="M.SEPTEMBER" sheetId="12" r:id="rId9"/>
    <sheet name="M.OKTOBER" sheetId="13" r:id="rId10"/>
    <sheet name="M.NOVEMBER" sheetId="14" r:id="rId11"/>
    <sheet name="M.DESEMBER" sheetId="15" r:id="rId12"/>
  </sheets>
  <definedNames>
    <definedName name="_xlnm._FilterDatabase" localSheetId="7" hidden="1">M.AGUSTUS!$A$1:$W$331</definedName>
    <definedName name="_xlnm._FilterDatabase" localSheetId="3" hidden="1">M.APRIL!$A$1:$X$258</definedName>
    <definedName name="_xlnm._FilterDatabase" localSheetId="1" hidden="1">M.FEBRUARI!$A$1:$W$420</definedName>
    <definedName name="_xlnm._FilterDatabase" localSheetId="0" hidden="1">M.JANUARI!$A$1:$W$223</definedName>
    <definedName name="_xlnm._FilterDatabase" localSheetId="6" hidden="1">M.JULI!$A$1:$W$257</definedName>
    <definedName name="_xlnm._FilterDatabase" localSheetId="5" hidden="1">M.JUNI!$A$1:$W$247</definedName>
    <definedName name="_xlnm._FilterDatabase" localSheetId="2" hidden="1">M.MARET!$A$1:$W$346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91" i="15" l="1"/>
  <c r="K391" i="15" s="1"/>
  <c r="N391" i="15" s="1"/>
  <c r="I390" i="15"/>
  <c r="K390" i="15" s="1"/>
  <c r="N390" i="15" s="1"/>
  <c r="I389" i="15"/>
  <c r="K389" i="15" s="1"/>
  <c r="N389" i="15" s="1"/>
  <c r="I388" i="15"/>
  <c r="I387" i="15"/>
  <c r="I386" i="15"/>
  <c r="I385" i="15"/>
  <c r="K385" i="15" s="1"/>
  <c r="N385" i="15" s="1"/>
  <c r="I384" i="15"/>
  <c r="L383" i="15"/>
  <c r="I383" i="15"/>
  <c r="K383" i="15" s="1"/>
  <c r="N383" i="15" s="1"/>
  <c r="I382" i="15"/>
  <c r="I381" i="15"/>
  <c r="I380" i="15"/>
  <c r="K380" i="15" s="1"/>
  <c r="N380" i="15" s="1"/>
  <c r="I379" i="15"/>
  <c r="J379" i="15" s="1"/>
  <c r="K379" i="15" s="1"/>
  <c r="N379" i="15" s="1"/>
  <c r="I378" i="15"/>
  <c r="K378" i="15" s="1"/>
  <c r="N378" i="15" s="1"/>
  <c r="I377" i="15"/>
  <c r="J377" i="15" s="1"/>
  <c r="I376" i="15"/>
  <c r="J376" i="15" s="1"/>
  <c r="I375" i="15"/>
  <c r="J375" i="15" s="1"/>
  <c r="I374" i="15"/>
  <c r="J374" i="15" s="1"/>
  <c r="I373" i="15"/>
  <c r="J373" i="15" s="1"/>
  <c r="I372" i="15"/>
  <c r="J372" i="15" s="1"/>
  <c r="I371" i="15"/>
  <c r="J371" i="15" s="1"/>
  <c r="I370" i="15"/>
  <c r="J370" i="15" s="1"/>
  <c r="J369" i="15"/>
  <c r="K369" i="15" s="1"/>
  <c r="N369" i="15" s="1"/>
  <c r="I369" i="15"/>
  <c r="I368" i="15"/>
  <c r="J368" i="15" s="1"/>
  <c r="K368" i="15" s="1"/>
  <c r="N368" i="15" s="1"/>
  <c r="I367" i="15"/>
  <c r="J367" i="15" s="1"/>
  <c r="K367" i="15" s="1"/>
  <c r="N367" i="15" s="1"/>
  <c r="I366" i="15"/>
  <c r="J366" i="15" s="1"/>
  <c r="K366" i="15" s="1"/>
  <c r="N366" i="15" s="1"/>
  <c r="I365" i="15"/>
  <c r="K365" i="15" s="1"/>
  <c r="N365" i="15" s="1"/>
  <c r="I364" i="15"/>
  <c r="J364" i="15" s="1"/>
  <c r="L363" i="15"/>
  <c r="I363" i="15"/>
  <c r="K363" i="15" s="1"/>
  <c r="I362" i="15"/>
  <c r="I361" i="15"/>
  <c r="K361" i="15" s="1"/>
  <c r="N361" i="15" s="1"/>
  <c r="I360" i="15"/>
  <c r="K360" i="15" s="1"/>
  <c r="N360" i="15" s="1"/>
  <c r="I359" i="15"/>
  <c r="J359" i="15" s="1"/>
  <c r="K359" i="15" s="1"/>
  <c r="N359" i="15" s="1"/>
  <c r="I358" i="15"/>
  <c r="K358" i="15" s="1"/>
  <c r="N358" i="15" s="1"/>
  <c r="I357" i="15"/>
  <c r="K357" i="15" s="1"/>
  <c r="I356" i="15"/>
  <c r="K356" i="15" s="1"/>
  <c r="N356" i="15" s="1"/>
  <c r="I355" i="15"/>
  <c r="J355" i="15" s="1"/>
  <c r="K355" i="15" s="1"/>
  <c r="N355" i="15" s="1"/>
  <c r="I354" i="15"/>
  <c r="J354" i="15" s="1"/>
  <c r="K354" i="15" s="1"/>
  <c r="N354" i="15" s="1"/>
  <c r="L353" i="15"/>
  <c r="I353" i="15"/>
  <c r="K353" i="15" s="1"/>
  <c r="I352" i="15"/>
  <c r="K352" i="15" s="1"/>
  <c r="N352" i="15" s="1"/>
  <c r="L351" i="15"/>
  <c r="I351" i="15"/>
  <c r="K351" i="15" s="1"/>
  <c r="N351" i="15" s="1"/>
  <c r="I350" i="15"/>
  <c r="J350" i="15" s="1"/>
  <c r="I349" i="15"/>
  <c r="J349" i="15" s="1"/>
  <c r="K349" i="15" s="1"/>
  <c r="N349" i="15" s="1"/>
  <c r="I348" i="15"/>
  <c r="J348" i="15" s="1"/>
  <c r="K348" i="15" s="1"/>
  <c r="N348" i="15" s="1"/>
  <c r="I347" i="15"/>
  <c r="K347" i="15" s="1"/>
  <c r="N347" i="15" s="1"/>
  <c r="I346" i="15"/>
  <c r="J346" i="15" s="1"/>
  <c r="I345" i="15"/>
  <c r="I344" i="15"/>
  <c r="K344" i="15" s="1"/>
  <c r="N344" i="15" s="1"/>
  <c r="I343" i="15"/>
  <c r="J343" i="15" s="1"/>
  <c r="I342" i="15"/>
  <c r="I341" i="15"/>
  <c r="J341" i="15" s="1"/>
  <c r="I340" i="15"/>
  <c r="I339" i="15"/>
  <c r="K339" i="15" s="1"/>
  <c r="N339" i="15" s="1"/>
  <c r="I338" i="15"/>
  <c r="J338" i="15" s="1"/>
  <c r="K338" i="15" s="1"/>
  <c r="N338" i="15" s="1"/>
  <c r="I337" i="15"/>
  <c r="J337" i="15" s="1"/>
  <c r="K337" i="15" s="1"/>
  <c r="N337" i="15" s="1"/>
  <c r="I336" i="15"/>
  <c r="J336" i="15" s="1"/>
  <c r="K336" i="15" s="1"/>
  <c r="N336" i="15" s="1"/>
  <c r="I335" i="15"/>
  <c r="J335" i="15" s="1"/>
  <c r="K335" i="15" s="1"/>
  <c r="N335" i="15" s="1"/>
  <c r="I334" i="15"/>
  <c r="J334" i="15" s="1"/>
  <c r="K334" i="15" s="1"/>
  <c r="N334" i="15" s="1"/>
  <c r="I333" i="15"/>
  <c r="J333" i="15" s="1"/>
  <c r="K333" i="15" s="1"/>
  <c r="N333" i="15" s="1"/>
  <c r="I332" i="15"/>
  <c r="J332" i="15" s="1"/>
  <c r="K332" i="15" s="1"/>
  <c r="N332" i="15" s="1"/>
  <c r="I331" i="15"/>
  <c r="J331" i="15" s="1"/>
  <c r="K331" i="15" s="1"/>
  <c r="N331" i="15" s="1"/>
  <c r="I330" i="15"/>
  <c r="J330" i="15" s="1"/>
  <c r="K330" i="15" s="1"/>
  <c r="N330" i="15" s="1"/>
  <c r="I329" i="15"/>
  <c r="J329" i="15" s="1"/>
  <c r="K329" i="15" s="1"/>
  <c r="N329" i="15" s="1"/>
  <c r="I328" i="15"/>
  <c r="J328" i="15" s="1"/>
  <c r="K328" i="15" s="1"/>
  <c r="N328" i="15" s="1"/>
  <c r="I327" i="15"/>
  <c r="J327" i="15" s="1"/>
  <c r="K327" i="15" s="1"/>
  <c r="N327" i="15" s="1"/>
  <c r="I326" i="15"/>
  <c r="J326" i="15" s="1"/>
  <c r="K326" i="15" s="1"/>
  <c r="N326" i="15" s="1"/>
  <c r="I325" i="15"/>
  <c r="J325" i="15" s="1"/>
  <c r="K325" i="15" s="1"/>
  <c r="N325" i="15" s="1"/>
  <c r="I324" i="15"/>
  <c r="J324" i="15" s="1"/>
  <c r="K324" i="15" s="1"/>
  <c r="N324" i="15" s="1"/>
  <c r="I323" i="15"/>
  <c r="J323" i="15" s="1"/>
  <c r="K323" i="15" s="1"/>
  <c r="N323" i="15" s="1"/>
  <c r="I322" i="15"/>
  <c r="J322" i="15" s="1"/>
  <c r="K322" i="15" s="1"/>
  <c r="N322" i="15" s="1"/>
  <c r="I321" i="15"/>
  <c r="J321" i="15" s="1"/>
  <c r="K321" i="15" s="1"/>
  <c r="N321" i="15" s="1"/>
  <c r="I320" i="15"/>
  <c r="J320" i="15" s="1"/>
  <c r="K320" i="15" s="1"/>
  <c r="N320" i="15" s="1"/>
  <c r="I319" i="15"/>
  <c r="J319" i="15" s="1"/>
  <c r="K319" i="15" s="1"/>
  <c r="N319" i="15" s="1"/>
  <c r="I318" i="15"/>
  <c r="J318" i="15" s="1"/>
  <c r="K318" i="15" s="1"/>
  <c r="N318" i="15" s="1"/>
  <c r="I317" i="15"/>
  <c r="J317" i="15" s="1"/>
  <c r="K317" i="15" s="1"/>
  <c r="N317" i="15" s="1"/>
  <c r="I316" i="15"/>
  <c r="J316" i="15" s="1"/>
  <c r="K316" i="15" s="1"/>
  <c r="N316" i="15" s="1"/>
  <c r="I315" i="15"/>
  <c r="J315" i="15" s="1"/>
  <c r="K315" i="15" s="1"/>
  <c r="N315" i="15" s="1"/>
  <c r="I314" i="15"/>
  <c r="J314" i="15" s="1"/>
  <c r="K314" i="15" s="1"/>
  <c r="N314" i="15" s="1"/>
  <c r="J313" i="15"/>
  <c r="K313" i="15" s="1"/>
  <c r="N313" i="15" s="1"/>
  <c r="I313" i="15"/>
  <c r="I312" i="15"/>
  <c r="J312" i="15" s="1"/>
  <c r="K312" i="15" s="1"/>
  <c r="N312" i="15" s="1"/>
  <c r="I311" i="15"/>
  <c r="J311" i="15" s="1"/>
  <c r="K311" i="15" s="1"/>
  <c r="N311" i="15" s="1"/>
  <c r="I310" i="15"/>
  <c r="J310" i="15" s="1"/>
  <c r="K310" i="15" s="1"/>
  <c r="N310" i="15" s="1"/>
  <c r="I309" i="15"/>
  <c r="J309" i="15" s="1"/>
  <c r="K309" i="15" s="1"/>
  <c r="N309" i="15" s="1"/>
  <c r="I308" i="15"/>
  <c r="J308" i="15" s="1"/>
  <c r="K308" i="15" s="1"/>
  <c r="N308" i="15" s="1"/>
  <c r="I307" i="15"/>
  <c r="J307" i="15" s="1"/>
  <c r="K307" i="15" s="1"/>
  <c r="N307" i="15" s="1"/>
  <c r="I306" i="15"/>
  <c r="J306" i="15" s="1"/>
  <c r="K306" i="15" s="1"/>
  <c r="N306" i="15" s="1"/>
  <c r="I305" i="15"/>
  <c r="J305" i="15" s="1"/>
  <c r="K305" i="15" s="1"/>
  <c r="N305" i="15" s="1"/>
  <c r="I304" i="15"/>
  <c r="J304" i="15" s="1"/>
  <c r="K304" i="15" s="1"/>
  <c r="N304" i="15" s="1"/>
  <c r="I303" i="15"/>
  <c r="J303" i="15" s="1"/>
  <c r="K303" i="15" s="1"/>
  <c r="N303" i="15" s="1"/>
  <c r="I302" i="15"/>
  <c r="J302" i="15" s="1"/>
  <c r="K302" i="15" s="1"/>
  <c r="N302" i="15" s="1"/>
  <c r="I301" i="15"/>
  <c r="J301" i="15" s="1"/>
  <c r="K301" i="15" s="1"/>
  <c r="N301" i="15" s="1"/>
  <c r="I300" i="15"/>
  <c r="J300" i="15" s="1"/>
  <c r="K300" i="15" s="1"/>
  <c r="N300" i="15" s="1"/>
  <c r="I299" i="15"/>
  <c r="J299" i="15" s="1"/>
  <c r="K299" i="15" s="1"/>
  <c r="N299" i="15" s="1"/>
  <c r="I298" i="15"/>
  <c r="J298" i="15" s="1"/>
  <c r="K298" i="15" s="1"/>
  <c r="N298" i="15" s="1"/>
  <c r="I297" i="15"/>
  <c r="J297" i="15" s="1"/>
  <c r="K297" i="15" s="1"/>
  <c r="N297" i="15" s="1"/>
  <c r="I296" i="15"/>
  <c r="J296" i="15" s="1"/>
  <c r="K296" i="15" s="1"/>
  <c r="N296" i="15" s="1"/>
  <c r="I295" i="15"/>
  <c r="J295" i="15" s="1"/>
  <c r="K295" i="15" s="1"/>
  <c r="N295" i="15" s="1"/>
  <c r="I294" i="15"/>
  <c r="J294" i="15" s="1"/>
  <c r="K294" i="15" s="1"/>
  <c r="N294" i="15" s="1"/>
  <c r="I293" i="15"/>
  <c r="J293" i="15" s="1"/>
  <c r="K293" i="15" s="1"/>
  <c r="N293" i="15" s="1"/>
  <c r="I292" i="15"/>
  <c r="J292" i="15" s="1"/>
  <c r="K292" i="15" s="1"/>
  <c r="N292" i="15" s="1"/>
  <c r="J291" i="15"/>
  <c r="K291" i="15" s="1"/>
  <c r="N291" i="15" s="1"/>
  <c r="I291" i="15"/>
  <c r="I290" i="15"/>
  <c r="J290" i="15" s="1"/>
  <c r="K290" i="15" s="1"/>
  <c r="N290" i="15" s="1"/>
  <c r="I289" i="15"/>
  <c r="J289" i="15" s="1"/>
  <c r="K289" i="15" s="1"/>
  <c r="N289" i="15" s="1"/>
  <c r="I288" i="15"/>
  <c r="J288" i="15" s="1"/>
  <c r="K288" i="15" s="1"/>
  <c r="N288" i="15" s="1"/>
  <c r="I287" i="15"/>
  <c r="J287" i="15" s="1"/>
  <c r="K287" i="15" s="1"/>
  <c r="N287" i="15" s="1"/>
  <c r="I286" i="15"/>
  <c r="J286" i="15" s="1"/>
  <c r="K286" i="15" s="1"/>
  <c r="N286" i="15" s="1"/>
  <c r="I285" i="15"/>
  <c r="J285" i="15" s="1"/>
  <c r="K285" i="15" s="1"/>
  <c r="N285" i="15" s="1"/>
  <c r="I284" i="15"/>
  <c r="J284" i="15" s="1"/>
  <c r="K284" i="15" s="1"/>
  <c r="N284" i="15" s="1"/>
  <c r="I283" i="15"/>
  <c r="J283" i="15" s="1"/>
  <c r="K283" i="15" s="1"/>
  <c r="N283" i="15" s="1"/>
  <c r="I282" i="15"/>
  <c r="J282" i="15" s="1"/>
  <c r="K282" i="15" s="1"/>
  <c r="N282" i="15" s="1"/>
  <c r="L281" i="15"/>
  <c r="I281" i="15"/>
  <c r="K281" i="15" s="1"/>
  <c r="K280" i="15"/>
  <c r="K279" i="15"/>
  <c r="K278" i="15"/>
  <c r="K277" i="15"/>
  <c r="I276" i="15"/>
  <c r="K276" i="15" s="1"/>
  <c r="N276" i="15" s="1"/>
  <c r="I275" i="15"/>
  <c r="K275" i="15" s="1"/>
  <c r="N275" i="15" s="1"/>
  <c r="I274" i="15"/>
  <c r="J274" i="15" s="1"/>
  <c r="I273" i="15"/>
  <c r="I272" i="15"/>
  <c r="J272" i="15" s="1"/>
  <c r="I271" i="15"/>
  <c r="I270" i="15"/>
  <c r="J270" i="15" s="1"/>
  <c r="I269" i="15"/>
  <c r="K269" i="15" s="1"/>
  <c r="N269" i="15" s="1"/>
  <c r="I268" i="15"/>
  <c r="K267" i="15"/>
  <c r="N267" i="15" s="1"/>
  <c r="I267" i="15"/>
  <c r="J267" i="15" s="1"/>
  <c r="I266" i="15"/>
  <c r="I265" i="15"/>
  <c r="J265" i="15" s="1"/>
  <c r="I264" i="15"/>
  <c r="I263" i="15"/>
  <c r="J263" i="15" s="1"/>
  <c r="I262" i="15"/>
  <c r="I261" i="15"/>
  <c r="J261" i="15" s="1"/>
  <c r="I260" i="15"/>
  <c r="I259" i="15"/>
  <c r="K259" i="15" s="1"/>
  <c r="N259" i="15" s="1"/>
  <c r="I258" i="15"/>
  <c r="J258" i="15" s="1"/>
  <c r="K258" i="15" s="1"/>
  <c r="N258" i="15" s="1"/>
  <c r="I257" i="15"/>
  <c r="J257" i="15" s="1"/>
  <c r="K257" i="15" s="1"/>
  <c r="N257" i="15" s="1"/>
  <c r="I256" i="15"/>
  <c r="J256" i="15" s="1"/>
  <c r="K256" i="15" s="1"/>
  <c r="N256" i="15" s="1"/>
  <c r="I255" i="15"/>
  <c r="J255" i="15" s="1"/>
  <c r="K255" i="15" s="1"/>
  <c r="N255" i="15" s="1"/>
  <c r="I254" i="15"/>
  <c r="K254" i="15" s="1"/>
  <c r="N254" i="15" s="1"/>
  <c r="I253" i="15"/>
  <c r="I252" i="15"/>
  <c r="J252" i="15" s="1"/>
  <c r="I251" i="15"/>
  <c r="J251" i="15" s="1"/>
  <c r="K251" i="15" s="1"/>
  <c r="N251" i="15" s="1"/>
  <c r="I250" i="15"/>
  <c r="J250" i="15" s="1"/>
  <c r="I249" i="15"/>
  <c r="K249" i="15" s="1"/>
  <c r="N249" i="15" s="1"/>
  <c r="I248" i="15"/>
  <c r="K248" i="15" s="1"/>
  <c r="N248" i="15" s="1"/>
  <c r="I247" i="15"/>
  <c r="J247" i="15" s="1"/>
  <c r="I246" i="15"/>
  <c r="I245" i="15"/>
  <c r="K245" i="15" s="1"/>
  <c r="N245" i="15" s="1"/>
  <c r="I244" i="15"/>
  <c r="K244" i="15" s="1"/>
  <c r="N244" i="15" s="1"/>
  <c r="I243" i="15"/>
  <c r="J243" i="15" s="1"/>
  <c r="I242" i="15"/>
  <c r="J242" i="15" s="1"/>
  <c r="I241" i="15"/>
  <c r="K241" i="15" s="1"/>
  <c r="I240" i="15"/>
  <c r="I239" i="15"/>
  <c r="J239" i="15" s="1"/>
  <c r="K239" i="15" s="1"/>
  <c r="N239" i="15" s="1"/>
  <c r="I238" i="15"/>
  <c r="I237" i="15"/>
  <c r="J237" i="15" s="1"/>
  <c r="I236" i="15"/>
  <c r="K236" i="15" s="1"/>
  <c r="N236" i="15" s="1"/>
  <c r="I235" i="15"/>
  <c r="K235" i="15" s="1"/>
  <c r="N235" i="15" s="1"/>
  <c r="I234" i="15"/>
  <c r="K234" i="15" s="1"/>
  <c r="N234" i="15" s="1"/>
  <c r="I233" i="15"/>
  <c r="K233" i="15" s="1"/>
  <c r="N233" i="15" s="1"/>
  <c r="I232" i="15"/>
  <c r="I231" i="15"/>
  <c r="J231" i="15" s="1"/>
  <c r="I230" i="15"/>
  <c r="K230" i="15" s="1"/>
  <c r="N230" i="15" s="1"/>
  <c r="I229" i="15"/>
  <c r="K229" i="15" s="1"/>
  <c r="N229" i="15" s="1"/>
  <c r="I228" i="15"/>
  <c r="I227" i="15"/>
  <c r="K227" i="15" s="1"/>
  <c r="N227" i="15" s="1"/>
  <c r="I226" i="15"/>
  <c r="J226" i="15" s="1"/>
  <c r="I225" i="15"/>
  <c r="I224" i="15"/>
  <c r="K224" i="15" s="1"/>
  <c r="N224" i="15" s="1"/>
  <c r="I223" i="15"/>
  <c r="J223" i="15" s="1"/>
  <c r="I222" i="15"/>
  <c r="I221" i="15"/>
  <c r="J221" i="15" s="1"/>
  <c r="K221" i="15" s="1"/>
  <c r="N221" i="15" s="1"/>
  <c r="I220" i="15"/>
  <c r="K220" i="15" s="1"/>
  <c r="N220" i="15" s="1"/>
  <c r="I219" i="15"/>
  <c r="K219" i="15" s="1"/>
  <c r="N219" i="15" s="1"/>
  <c r="I218" i="15"/>
  <c r="J218" i="15" s="1"/>
  <c r="I217" i="15"/>
  <c r="K217" i="15" s="1"/>
  <c r="N217" i="15" s="1"/>
  <c r="I216" i="15"/>
  <c r="K216" i="15" s="1"/>
  <c r="N216" i="15" s="1"/>
  <c r="I215" i="15"/>
  <c r="K215" i="15" s="1"/>
  <c r="N215" i="15" s="1"/>
  <c r="I214" i="15"/>
  <c r="K214" i="15" s="1"/>
  <c r="N214" i="15" s="1"/>
  <c r="I213" i="15"/>
  <c r="K213" i="15" s="1"/>
  <c r="N213" i="15" s="1"/>
  <c r="I212" i="15"/>
  <c r="K212" i="15" s="1"/>
  <c r="N212" i="15" s="1"/>
  <c r="L211" i="15"/>
  <c r="I211" i="15"/>
  <c r="K211" i="15" s="1"/>
  <c r="I210" i="15"/>
  <c r="K210" i="15" s="1"/>
  <c r="N210" i="15" s="1"/>
  <c r="I209" i="15"/>
  <c r="I208" i="15"/>
  <c r="K208" i="15" s="1"/>
  <c r="N208" i="15" s="1"/>
  <c r="I207" i="15"/>
  <c r="K207" i="15" s="1"/>
  <c r="N207" i="15" s="1"/>
  <c r="I206" i="15"/>
  <c r="J206" i="15" s="1"/>
  <c r="I205" i="15"/>
  <c r="K205" i="15" s="1"/>
  <c r="N205" i="15" s="1"/>
  <c r="I204" i="15"/>
  <c r="K204" i="15" s="1"/>
  <c r="N204" i="15" s="1"/>
  <c r="L203" i="15"/>
  <c r="I203" i="15"/>
  <c r="K203" i="15" s="1"/>
  <c r="I202" i="15"/>
  <c r="J202" i="15" s="1"/>
  <c r="I201" i="15"/>
  <c r="K201" i="15" s="1"/>
  <c r="N201" i="15" s="1"/>
  <c r="I200" i="15"/>
  <c r="K200" i="15" s="1"/>
  <c r="N200" i="15" s="1"/>
  <c r="I199" i="15"/>
  <c r="K199" i="15" s="1"/>
  <c r="N199" i="15" s="1"/>
  <c r="I198" i="15"/>
  <c r="K198" i="15" s="1"/>
  <c r="N198" i="15" s="1"/>
  <c r="I197" i="15"/>
  <c r="K197" i="15" s="1"/>
  <c r="N197" i="15" s="1"/>
  <c r="I196" i="15"/>
  <c r="K196" i="15" s="1"/>
  <c r="N196" i="15" s="1"/>
  <c r="I195" i="15"/>
  <c r="K195" i="15" s="1"/>
  <c r="N195" i="15" s="1"/>
  <c r="I194" i="15"/>
  <c r="K194" i="15" s="1"/>
  <c r="N194" i="15" s="1"/>
  <c r="I193" i="15"/>
  <c r="K193" i="15" s="1"/>
  <c r="N193" i="15" s="1"/>
  <c r="I192" i="15"/>
  <c r="K192" i="15" s="1"/>
  <c r="N192" i="15" s="1"/>
  <c r="I191" i="15"/>
  <c r="K191" i="15" s="1"/>
  <c r="N191" i="15" s="1"/>
  <c r="I190" i="15"/>
  <c r="K190" i="15" s="1"/>
  <c r="N190" i="15" s="1"/>
  <c r="I189" i="15"/>
  <c r="K189" i="15" s="1"/>
  <c r="N189" i="15" s="1"/>
  <c r="I188" i="15"/>
  <c r="J188" i="15" s="1"/>
  <c r="K188" i="15" s="1"/>
  <c r="N188" i="15" s="1"/>
  <c r="J187" i="15"/>
  <c r="K187" i="15" s="1"/>
  <c r="N187" i="15" s="1"/>
  <c r="I187" i="15"/>
  <c r="I186" i="15"/>
  <c r="J186" i="15" s="1"/>
  <c r="K186" i="15" s="1"/>
  <c r="N186" i="15" s="1"/>
  <c r="I185" i="15"/>
  <c r="J185" i="15" s="1"/>
  <c r="K185" i="15" s="1"/>
  <c r="N185" i="15" s="1"/>
  <c r="I184" i="15"/>
  <c r="K184" i="15" s="1"/>
  <c r="N184" i="15" s="1"/>
  <c r="L183" i="15"/>
  <c r="I183" i="15"/>
  <c r="K183" i="15" s="1"/>
  <c r="N183" i="15" s="1"/>
  <c r="I182" i="15"/>
  <c r="K182" i="15" s="1"/>
  <c r="N182" i="15" s="1"/>
  <c r="I181" i="15"/>
  <c r="K181" i="15" s="1"/>
  <c r="N181" i="15" s="1"/>
  <c r="I180" i="15"/>
  <c r="J180" i="15" s="1"/>
  <c r="I179" i="15"/>
  <c r="I178" i="15"/>
  <c r="J178" i="15" s="1"/>
  <c r="I177" i="15"/>
  <c r="I176" i="15"/>
  <c r="J176" i="15" s="1"/>
  <c r="I175" i="15"/>
  <c r="I174" i="15"/>
  <c r="K174" i="15" s="1"/>
  <c r="N174" i="15" s="1"/>
  <c r="I173" i="15"/>
  <c r="J173" i="15" s="1"/>
  <c r="K173" i="15" s="1"/>
  <c r="N173" i="15" s="1"/>
  <c r="L172" i="15"/>
  <c r="I172" i="15"/>
  <c r="K172" i="15" s="1"/>
  <c r="I171" i="15"/>
  <c r="K171" i="15" s="1"/>
  <c r="N171" i="15" s="1"/>
  <c r="L170" i="15"/>
  <c r="I170" i="15"/>
  <c r="K170" i="15" s="1"/>
  <c r="L169" i="15"/>
  <c r="I169" i="15"/>
  <c r="K169" i="15" s="1"/>
  <c r="I168" i="15"/>
  <c r="K168" i="15" s="1"/>
  <c r="N168" i="15" s="1"/>
  <c r="M167" i="15"/>
  <c r="I167" i="15"/>
  <c r="J167" i="15" s="1"/>
  <c r="I166" i="15"/>
  <c r="K166" i="15" s="1"/>
  <c r="N166" i="15" s="1"/>
  <c r="J165" i="15"/>
  <c r="K165" i="15" s="1"/>
  <c r="N165" i="15" s="1"/>
  <c r="I164" i="15"/>
  <c r="J164" i="15" s="1"/>
  <c r="I163" i="15"/>
  <c r="J163" i="15" s="1"/>
  <c r="K162" i="15"/>
  <c r="N162" i="15" s="1"/>
  <c r="I162" i="15"/>
  <c r="I161" i="15"/>
  <c r="K161" i="15" s="1"/>
  <c r="N161" i="15" s="1"/>
  <c r="I160" i="15"/>
  <c r="K160" i="15" s="1"/>
  <c r="N160" i="15" s="1"/>
  <c r="I159" i="15"/>
  <c r="K159" i="15" s="1"/>
  <c r="N159" i="15" s="1"/>
  <c r="I158" i="15"/>
  <c r="K158" i="15" s="1"/>
  <c r="N158" i="15" s="1"/>
  <c r="I157" i="15"/>
  <c r="K157" i="15" s="1"/>
  <c r="N157" i="15" s="1"/>
  <c r="I156" i="15"/>
  <c r="K156" i="15" s="1"/>
  <c r="N156" i="15" s="1"/>
  <c r="I155" i="15"/>
  <c r="K155" i="15" s="1"/>
  <c r="N155" i="15" s="1"/>
  <c r="K154" i="15"/>
  <c r="N154" i="15" s="1"/>
  <c r="I154" i="15"/>
  <c r="I153" i="15"/>
  <c r="K153" i="15" s="1"/>
  <c r="N153" i="15" s="1"/>
  <c r="I152" i="15"/>
  <c r="K152" i="15" s="1"/>
  <c r="N152" i="15" s="1"/>
  <c r="I151" i="15"/>
  <c r="K151" i="15" s="1"/>
  <c r="N151" i="15" s="1"/>
  <c r="I150" i="15"/>
  <c r="K150" i="15" s="1"/>
  <c r="N150" i="15" s="1"/>
  <c r="I149" i="15"/>
  <c r="K149" i="15" s="1"/>
  <c r="N149" i="15" s="1"/>
  <c r="I148" i="15"/>
  <c r="K148" i="15" s="1"/>
  <c r="N148" i="15" s="1"/>
  <c r="I147" i="15"/>
  <c r="K147" i="15" s="1"/>
  <c r="N147" i="15" s="1"/>
  <c r="K146" i="15"/>
  <c r="N146" i="15" s="1"/>
  <c r="I146" i="15"/>
  <c r="I145" i="15"/>
  <c r="K145" i="15" s="1"/>
  <c r="N145" i="15" s="1"/>
  <c r="I144" i="15"/>
  <c r="K144" i="15" s="1"/>
  <c r="N144" i="15" s="1"/>
  <c r="I143" i="15"/>
  <c r="K143" i="15" s="1"/>
  <c r="N143" i="15" s="1"/>
  <c r="I142" i="15"/>
  <c r="K142" i="15" s="1"/>
  <c r="N142" i="15" s="1"/>
  <c r="I141" i="15"/>
  <c r="K141" i="15" s="1"/>
  <c r="N141" i="15" s="1"/>
  <c r="I140" i="15"/>
  <c r="K140" i="15" s="1"/>
  <c r="N140" i="15" s="1"/>
  <c r="I139" i="15"/>
  <c r="K139" i="15" s="1"/>
  <c r="N139" i="15" s="1"/>
  <c r="I138" i="15"/>
  <c r="K138" i="15" s="1"/>
  <c r="N138" i="15" s="1"/>
  <c r="I137" i="15"/>
  <c r="K137" i="15" s="1"/>
  <c r="N137" i="15" s="1"/>
  <c r="I136" i="15"/>
  <c r="K136" i="15" s="1"/>
  <c r="N136" i="15" s="1"/>
  <c r="I135" i="15"/>
  <c r="K135" i="15" s="1"/>
  <c r="N135" i="15" s="1"/>
  <c r="I134" i="15"/>
  <c r="K134" i="15" s="1"/>
  <c r="N134" i="15" s="1"/>
  <c r="I133" i="15"/>
  <c r="K133" i="15" s="1"/>
  <c r="N133" i="15" s="1"/>
  <c r="I132" i="15"/>
  <c r="K132" i="15" s="1"/>
  <c r="N132" i="15" s="1"/>
  <c r="I131" i="15"/>
  <c r="K131" i="15" s="1"/>
  <c r="N131" i="15" s="1"/>
  <c r="I130" i="15"/>
  <c r="K130" i="15" s="1"/>
  <c r="N130" i="15" s="1"/>
  <c r="I129" i="15"/>
  <c r="K129" i="15" s="1"/>
  <c r="N129" i="15" s="1"/>
  <c r="I128" i="15"/>
  <c r="K128" i="15" s="1"/>
  <c r="N128" i="15" s="1"/>
  <c r="I127" i="15"/>
  <c r="K127" i="15" s="1"/>
  <c r="N127" i="15" s="1"/>
  <c r="I126" i="15"/>
  <c r="K126" i="15" s="1"/>
  <c r="N126" i="15" s="1"/>
  <c r="I125" i="15"/>
  <c r="K125" i="15" s="1"/>
  <c r="N125" i="15" s="1"/>
  <c r="I124" i="15"/>
  <c r="K124" i="15" s="1"/>
  <c r="N124" i="15" s="1"/>
  <c r="I123" i="15"/>
  <c r="K123" i="15" s="1"/>
  <c r="N123" i="15" s="1"/>
  <c r="I122" i="15"/>
  <c r="K122" i="15" s="1"/>
  <c r="N122" i="15" s="1"/>
  <c r="I121" i="15"/>
  <c r="K121" i="15" s="1"/>
  <c r="N121" i="15" s="1"/>
  <c r="I120" i="15"/>
  <c r="K120" i="15" s="1"/>
  <c r="N120" i="15" s="1"/>
  <c r="I119" i="15"/>
  <c r="K119" i="15" s="1"/>
  <c r="N119" i="15" s="1"/>
  <c r="I118" i="15"/>
  <c r="K118" i="15" s="1"/>
  <c r="N118" i="15" s="1"/>
  <c r="I117" i="15"/>
  <c r="K117" i="15" s="1"/>
  <c r="N117" i="15" s="1"/>
  <c r="I116" i="15"/>
  <c r="K116" i="15" s="1"/>
  <c r="N116" i="15" s="1"/>
  <c r="I115" i="15"/>
  <c r="K115" i="15" s="1"/>
  <c r="N115" i="15" s="1"/>
  <c r="I114" i="15"/>
  <c r="K114" i="15" s="1"/>
  <c r="N114" i="15" s="1"/>
  <c r="I113" i="15"/>
  <c r="K113" i="15" s="1"/>
  <c r="N113" i="15" s="1"/>
  <c r="I112" i="15"/>
  <c r="K112" i="15" s="1"/>
  <c r="N112" i="15" s="1"/>
  <c r="I111" i="15"/>
  <c r="K111" i="15" s="1"/>
  <c r="N111" i="15" s="1"/>
  <c r="I110" i="15"/>
  <c r="K110" i="15" s="1"/>
  <c r="N110" i="15" s="1"/>
  <c r="I109" i="15"/>
  <c r="K109" i="15" s="1"/>
  <c r="N109" i="15" s="1"/>
  <c r="I108" i="15"/>
  <c r="K108" i="15" s="1"/>
  <c r="N108" i="15" s="1"/>
  <c r="I107" i="15"/>
  <c r="K107" i="15" s="1"/>
  <c r="N107" i="15" s="1"/>
  <c r="I106" i="15"/>
  <c r="K106" i="15" s="1"/>
  <c r="N106" i="15" s="1"/>
  <c r="I105" i="15"/>
  <c r="K105" i="15" s="1"/>
  <c r="N105" i="15" s="1"/>
  <c r="I104" i="15"/>
  <c r="K104" i="15" s="1"/>
  <c r="N104" i="15" s="1"/>
  <c r="I103" i="15"/>
  <c r="K103" i="15" s="1"/>
  <c r="N103" i="15" s="1"/>
  <c r="I102" i="15"/>
  <c r="K102" i="15" s="1"/>
  <c r="N102" i="15" s="1"/>
  <c r="I101" i="15"/>
  <c r="K101" i="15" s="1"/>
  <c r="N101" i="15" s="1"/>
  <c r="I100" i="15"/>
  <c r="K100" i="15" s="1"/>
  <c r="N100" i="15" s="1"/>
  <c r="I99" i="15"/>
  <c r="K99" i="15" s="1"/>
  <c r="N99" i="15" s="1"/>
  <c r="I98" i="15"/>
  <c r="K98" i="15" s="1"/>
  <c r="N98" i="15" s="1"/>
  <c r="I97" i="15"/>
  <c r="K97" i="15" s="1"/>
  <c r="N97" i="15" s="1"/>
  <c r="I96" i="15"/>
  <c r="K96" i="15" s="1"/>
  <c r="N96" i="15" s="1"/>
  <c r="I95" i="15"/>
  <c r="K95" i="15" s="1"/>
  <c r="N95" i="15" s="1"/>
  <c r="I94" i="15"/>
  <c r="K94" i="15" s="1"/>
  <c r="N94" i="15" s="1"/>
  <c r="I93" i="15"/>
  <c r="K93" i="15" s="1"/>
  <c r="N93" i="15" s="1"/>
  <c r="I92" i="15"/>
  <c r="K92" i="15" s="1"/>
  <c r="N92" i="15" s="1"/>
  <c r="I91" i="15"/>
  <c r="K91" i="15" s="1"/>
  <c r="N91" i="15" s="1"/>
  <c r="I90" i="15"/>
  <c r="K90" i="15" s="1"/>
  <c r="N90" i="15" s="1"/>
  <c r="I89" i="15"/>
  <c r="K89" i="15" s="1"/>
  <c r="N89" i="15" s="1"/>
  <c r="I88" i="15"/>
  <c r="K88" i="15" s="1"/>
  <c r="N88" i="15" s="1"/>
  <c r="I87" i="15"/>
  <c r="K87" i="15" s="1"/>
  <c r="N87" i="15" s="1"/>
  <c r="I86" i="15"/>
  <c r="K86" i="15" s="1"/>
  <c r="N86" i="15" s="1"/>
  <c r="I85" i="15"/>
  <c r="K85" i="15" s="1"/>
  <c r="N85" i="15" s="1"/>
  <c r="I84" i="15"/>
  <c r="K84" i="15" s="1"/>
  <c r="N84" i="15" s="1"/>
  <c r="I83" i="15"/>
  <c r="K83" i="15" s="1"/>
  <c r="N83" i="15" s="1"/>
  <c r="I82" i="15"/>
  <c r="K82" i="15" s="1"/>
  <c r="N82" i="15" s="1"/>
  <c r="I81" i="15"/>
  <c r="K81" i="15" s="1"/>
  <c r="N81" i="15" s="1"/>
  <c r="I80" i="15"/>
  <c r="K80" i="15" s="1"/>
  <c r="N80" i="15" s="1"/>
  <c r="I79" i="15"/>
  <c r="K79" i="15" s="1"/>
  <c r="N79" i="15" s="1"/>
  <c r="I78" i="15"/>
  <c r="K78" i="15" s="1"/>
  <c r="N78" i="15" s="1"/>
  <c r="I77" i="15"/>
  <c r="K77" i="15" s="1"/>
  <c r="N77" i="15" s="1"/>
  <c r="I76" i="15"/>
  <c r="K76" i="15" s="1"/>
  <c r="N76" i="15" s="1"/>
  <c r="L75" i="15"/>
  <c r="I75" i="15"/>
  <c r="K75" i="15" s="1"/>
  <c r="I74" i="15"/>
  <c r="K74" i="15" s="1"/>
  <c r="N74" i="15" s="1"/>
  <c r="I73" i="15"/>
  <c r="K73" i="15" s="1"/>
  <c r="N73" i="15" s="1"/>
  <c r="I72" i="15"/>
  <c r="K72" i="15" s="1"/>
  <c r="N72" i="15" s="1"/>
  <c r="I71" i="15"/>
  <c r="K71" i="15" s="1"/>
  <c r="N71" i="15" s="1"/>
  <c r="I70" i="15"/>
  <c r="J70" i="15" s="1"/>
  <c r="I69" i="15"/>
  <c r="K69" i="15" s="1"/>
  <c r="N69" i="15" s="1"/>
  <c r="I68" i="15"/>
  <c r="K68" i="15" s="1"/>
  <c r="N68" i="15" s="1"/>
  <c r="I67" i="15"/>
  <c r="K67" i="15" s="1"/>
  <c r="N67" i="15" s="1"/>
  <c r="I66" i="15"/>
  <c r="K66" i="15" s="1"/>
  <c r="N66" i="15" s="1"/>
  <c r="I65" i="15"/>
  <c r="K65" i="15" s="1"/>
  <c r="N65" i="15" s="1"/>
  <c r="I64" i="15"/>
  <c r="K64" i="15" s="1"/>
  <c r="N64" i="15" s="1"/>
  <c r="L63" i="15"/>
  <c r="I63" i="15"/>
  <c r="K63" i="15" s="1"/>
  <c r="L62" i="15"/>
  <c r="I62" i="15"/>
  <c r="K62" i="15" s="1"/>
  <c r="I61" i="15"/>
  <c r="K61" i="15" s="1"/>
  <c r="N61" i="15" s="1"/>
  <c r="I60" i="15"/>
  <c r="K60" i="15" s="1"/>
  <c r="N60" i="15" s="1"/>
  <c r="I59" i="15"/>
  <c r="K59" i="15" s="1"/>
  <c r="N59" i="15" s="1"/>
  <c r="I58" i="15"/>
  <c r="J58" i="15" s="1"/>
  <c r="K58" i="15" s="1"/>
  <c r="N58" i="15" s="1"/>
  <c r="I57" i="15"/>
  <c r="K57" i="15" s="1"/>
  <c r="N57" i="15" s="1"/>
  <c r="I56" i="15"/>
  <c r="K56" i="15" s="1"/>
  <c r="N56" i="15" s="1"/>
  <c r="I55" i="15"/>
  <c r="K55" i="15" s="1"/>
  <c r="N55" i="15" s="1"/>
  <c r="I54" i="15"/>
  <c r="K54" i="15" s="1"/>
  <c r="N54" i="15" s="1"/>
  <c r="I53" i="15"/>
  <c r="I52" i="15"/>
  <c r="I51" i="15"/>
  <c r="J51" i="15" s="1"/>
  <c r="K51" i="15" s="1"/>
  <c r="N51" i="15" s="1"/>
  <c r="I50" i="15"/>
  <c r="K50" i="15" s="1"/>
  <c r="I49" i="15"/>
  <c r="K49" i="15" s="1"/>
  <c r="N49" i="15" s="1"/>
  <c r="I48" i="15"/>
  <c r="K48" i="15" s="1"/>
  <c r="N48" i="15" s="1"/>
  <c r="I47" i="15"/>
  <c r="K47" i="15" s="1"/>
  <c r="N47" i="15" s="1"/>
  <c r="I46" i="15"/>
  <c r="K46" i="15" s="1"/>
  <c r="N46" i="15" s="1"/>
  <c r="I45" i="15"/>
  <c r="I44" i="15"/>
  <c r="I43" i="15"/>
  <c r="I42" i="15"/>
  <c r="I41" i="15"/>
  <c r="I40" i="15"/>
  <c r="I39" i="15"/>
  <c r="I38" i="15"/>
  <c r="I37" i="15"/>
  <c r="I36" i="15"/>
  <c r="I35" i="15"/>
  <c r="K35" i="15" s="1"/>
  <c r="N35" i="15" s="1"/>
  <c r="I34" i="15"/>
  <c r="K34" i="15" s="1"/>
  <c r="N34" i="15" s="1"/>
  <c r="L33" i="15"/>
  <c r="I33" i="15"/>
  <c r="K33" i="15" s="1"/>
  <c r="I32" i="15"/>
  <c r="K32" i="15" s="1"/>
  <c r="N32" i="15" s="1"/>
  <c r="I31" i="15"/>
  <c r="K31" i="15" s="1"/>
  <c r="N31" i="15" s="1"/>
  <c r="I30" i="15"/>
  <c r="K30" i="15" s="1"/>
  <c r="N30" i="15" s="1"/>
  <c r="I29" i="15"/>
  <c r="K29" i="15" s="1"/>
  <c r="N29" i="15" s="1"/>
  <c r="I28" i="15"/>
  <c r="K28" i="15" s="1"/>
  <c r="N28" i="15" s="1"/>
  <c r="I27" i="15"/>
  <c r="K27" i="15" s="1"/>
  <c r="N27" i="15" s="1"/>
  <c r="I26" i="15"/>
  <c r="K26" i="15" s="1"/>
  <c r="N26" i="15" s="1"/>
  <c r="I25" i="15"/>
  <c r="K25" i="15" s="1"/>
  <c r="N25" i="15" s="1"/>
  <c r="I24" i="15"/>
  <c r="K24" i="15" s="1"/>
  <c r="N24" i="15" s="1"/>
  <c r="I23" i="15"/>
  <c r="J23" i="15" s="1"/>
  <c r="I22" i="15"/>
  <c r="I21" i="15"/>
  <c r="J21" i="15" s="1"/>
  <c r="I20" i="15"/>
  <c r="J20" i="15" s="1"/>
  <c r="I19" i="15"/>
  <c r="J19" i="15" s="1"/>
  <c r="I18" i="15"/>
  <c r="J18" i="15" s="1"/>
  <c r="I17" i="15"/>
  <c r="J17" i="15" s="1"/>
  <c r="I16" i="15"/>
  <c r="I15" i="15"/>
  <c r="J15" i="15" s="1"/>
  <c r="I14" i="15"/>
  <c r="J14" i="15" s="1"/>
  <c r="I13" i="15"/>
  <c r="J13" i="15" s="1"/>
  <c r="I12" i="15"/>
  <c r="J12" i="15" s="1"/>
  <c r="I11" i="15"/>
  <c r="I10" i="15"/>
  <c r="I9" i="15"/>
  <c r="J9" i="15" s="1"/>
  <c r="I8" i="15"/>
  <c r="I7" i="15"/>
  <c r="J7" i="15" s="1"/>
  <c r="K7" i="15" s="1"/>
  <c r="N7" i="15" s="1"/>
  <c r="I6" i="15"/>
  <c r="I5" i="15"/>
  <c r="J5" i="15" s="1"/>
  <c r="I4" i="15"/>
  <c r="I3" i="15"/>
  <c r="K3" i="15" s="1"/>
  <c r="N3" i="15" s="1"/>
  <c r="I2" i="15"/>
  <c r="K2" i="15" s="1"/>
  <c r="N2" i="15" s="1"/>
  <c r="K350" i="15" l="1"/>
  <c r="N350" i="15" s="1"/>
  <c r="N353" i="15"/>
  <c r="K163" i="15"/>
  <c r="N163" i="15" s="1"/>
  <c r="N211" i="15"/>
  <c r="N62" i="15"/>
  <c r="K167" i="15"/>
  <c r="N172" i="15"/>
  <c r="K263" i="15"/>
  <c r="N263" i="15" s="1"/>
  <c r="N281" i="15"/>
  <c r="K341" i="15"/>
  <c r="N341" i="15" s="1"/>
  <c r="N363" i="15"/>
  <c r="J6" i="15"/>
  <c r="K6" i="15" s="1"/>
  <c r="N6" i="15" s="1"/>
  <c r="J11" i="15"/>
  <c r="K11" i="15" s="1"/>
  <c r="N11" i="15" s="1"/>
  <c r="J53" i="15"/>
  <c r="K53" i="15" s="1"/>
  <c r="N53" i="15" s="1"/>
  <c r="N203" i="15"/>
  <c r="K247" i="15"/>
  <c r="N247" i="15" s="1"/>
  <c r="K250" i="15"/>
  <c r="N250" i="15" s="1"/>
  <c r="K252" i="15"/>
  <c r="N252" i="15" s="1"/>
  <c r="K265" i="15"/>
  <c r="N265" i="15" s="1"/>
  <c r="K371" i="15"/>
  <c r="N371" i="15" s="1"/>
  <c r="K373" i="15"/>
  <c r="N373" i="15" s="1"/>
  <c r="K375" i="15"/>
  <c r="N375" i="15" s="1"/>
  <c r="K377" i="15"/>
  <c r="N377" i="15" s="1"/>
  <c r="J387" i="15"/>
  <c r="K387" i="15" s="1"/>
  <c r="N387" i="15" s="1"/>
  <c r="K5" i="15"/>
  <c r="N5" i="15" s="1"/>
  <c r="J10" i="15"/>
  <c r="K10" i="15" s="1"/>
  <c r="N10" i="15" s="1"/>
  <c r="J52" i="15"/>
  <c r="K52" i="15" s="1"/>
  <c r="N52" i="15" s="1"/>
  <c r="K70" i="15"/>
  <c r="N70" i="15" s="1"/>
  <c r="K223" i="15"/>
  <c r="N223" i="15" s="1"/>
  <c r="K9" i="15"/>
  <c r="N9" i="15" s="1"/>
  <c r="N63" i="15"/>
  <c r="N167" i="15"/>
  <c r="N169" i="15"/>
  <c r="K231" i="15"/>
  <c r="N231" i="15" s="1"/>
  <c r="K237" i="15"/>
  <c r="N237" i="15" s="1"/>
  <c r="J253" i="15"/>
  <c r="K253" i="15" s="1"/>
  <c r="N253" i="15" s="1"/>
  <c r="K261" i="15"/>
  <c r="N261" i="15" s="1"/>
  <c r="K343" i="15"/>
  <c r="N343" i="15" s="1"/>
  <c r="K370" i="15"/>
  <c r="N370" i="15" s="1"/>
  <c r="K372" i="15"/>
  <c r="N372" i="15" s="1"/>
  <c r="K374" i="15"/>
  <c r="N374" i="15" s="1"/>
  <c r="K376" i="15"/>
  <c r="N376" i="15" s="1"/>
  <c r="J386" i="15"/>
  <c r="K386" i="15" s="1"/>
  <c r="N386" i="15" s="1"/>
  <c r="J388" i="15"/>
  <c r="K388" i="15" s="1"/>
  <c r="N388" i="15" s="1"/>
  <c r="J41" i="15"/>
  <c r="K41" i="15" s="1"/>
  <c r="N41" i="15" s="1"/>
  <c r="J179" i="15"/>
  <c r="K179" i="15" s="1"/>
  <c r="N179" i="15" s="1"/>
  <c r="J362" i="15"/>
  <c r="K362" i="15" s="1"/>
  <c r="N362" i="15" s="1"/>
  <c r="J4" i="15"/>
  <c r="K4" i="15" s="1"/>
  <c r="N4" i="15" s="1"/>
  <c r="J8" i="15"/>
  <c r="K8" i="15" s="1"/>
  <c r="N8" i="15" s="1"/>
  <c r="J16" i="15"/>
  <c r="K16" i="15" s="1"/>
  <c r="N16" i="15" s="1"/>
  <c r="J22" i="15"/>
  <c r="K22" i="15" s="1"/>
  <c r="N22" i="15" s="1"/>
  <c r="K14" i="15"/>
  <c r="N14" i="15" s="1"/>
  <c r="K20" i="15"/>
  <c r="N20" i="15" s="1"/>
  <c r="J39" i="15"/>
  <c r="K39" i="15" s="1"/>
  <c r="N39" i="15" s="1"/>
  <c r="J43" i="15"/>
  <c r="K43" i="15" s="1"/>
  <c r="N43" i="15" s="1"/>
  <c r="J175" i="15"/>
  <c r="K175" i="15" s="1"/>
  <c r="N175" i="15" s="1"/>
  <c r="K13" i="15"/>
  <c r="N13" i="15" s="1"/>
  <c r="K15" i="15"/>
  <c r="N15" i="15" s="1"/>
  <c r="K17" i="15"/>
  <c r="N17" i="15" s="1"/>
  <c r="K19" i="15"/>
  <c r="N19" i="15" s="1"/>
  <c r="K21" i="15"/>
  <c r="N21" i="15" s="1"/>
  <c r="K23" i="15"/>
  <c r="N23" i="15" s="1"/>
  <c r="J36" i="15"/>
  <c r="K36" i="15" s="1"/>
  <c r="N36" i="15" s="1"/>
  <c r="J38" i="15"/>
  <c r="K38" i="15" s="1"/>
  <c r="N38" i="15" s="1"/>
  <c r="J40" i="15"/>
  <c r="K40" i="15" s="1"/>
  <c r="N40" i="15" s="1"/>
  <c r="J42" i="15"/>
  <c r="K42" i="15" s="1"/>
  <c r="N42" i="15" s="1"/>
  <c r="J44" i="15"/>
  <c r="K44" i="15" s="1"/>
  <c r="N44" i="15" s="1"/>
  <c r="N75" i="15"/>
  <c r="J177" i="15"/>
  <c r="K177" i="15" s="1"/>
  <c r="N177" i="15" s="1"/>
  <c r="J228" i="15"/>
  <c r="K228" i="15" s="1"/>
  <c r="N228" i="15" s="1"/>
  <c r="K12" i="15"/>
  <c r="N12" i="15" s="1"/>
  <c r="K18" i="15"/>
  <c r="N18" i="15" s="1"/>
  <c r="J37" i="15"/>
  <c r="K37" i="15" s="1"/>
  <c r="N37" i="15" s="1"/>
  <c r="J45" i="15"/>
  <c r="K45" i="15" s="1"/>
  <c r="N45" i="15" s="1"/>
  <c r="N33" i="15"/>
  <c r="J209" i="15"/>
  <c r="K209" i="15" s="1"/>
  <c r="N209" i="15" s="1"/>
  <c r="J232" i="15"/>
  <c r="K232" i="15" s="1"/>
  <c r="N232" i="15" s="1"/>
  <c r="J246" i="15"/>
  <c r="K246" i="15" s="1"/>
  <c r="N246" i="15" s="1"/>
  <c r="J271" i="15"/>
  <c r="K271" i="15" s="1"/>
  <c r="N271" i="15" s="1"/>
  <c r="J273" i="15"/>
  <c r="K273" i="15" s="1"/>
  <c r="N273" i="15" s="1"/>
  <c r="J340" i="15"/>
  <c r="K340" i="15" s="1"/>
  <c r="N340" i="15" s="1"/>
  <c r="J342" i="15"/>
  <c r="K342" i="15" s="1"/>
  <c r="N342" i="15" s="1"/>
  <c r="K164" i="15"/>
  <c r="N164" i="15" s="1"/>
  <c r="K218" i="15"/>
  <c r="N218" i="15" s="1"/>
  <c r="J222" i="15"/>
  <c r="K222" i="15" s="1"/>
  <c r="N222" i="15" s="1"/>
  <c r="J238" i="15"/>
  <c r="K238" i="15" s="1"/>
  <c r="N238" i="15" s="1"/>
  <c r="J240" i="15"/>
  <c r="K240" i="15" s="1"/>
  <c r="N240" i="15" s="1"/>
  <c r="K242" i="15"/>
  <c r="N242" i="15" s="1"/>
  <c r="J345" i="15"/>
  <c r="K345" i="15" s="1"/>
  <c r="N345" i="15" s="1"/>
  <c r="N170" i="15"/>
  <c r="K176" i="15"/>
  <c r="N176" i="15" s="1"/>
  <c r="K178" i="15"/>
  <c r="N178" i="15" s="1"/>
  <c r="K180" i="15"/>
  <c r="N180" i="15" s="1"/>
  <c r="K202" i="15"/>
  <c r="N202" i="15" s="1"/>
  <c r="K206" i="15"/>
  <c r="N206" i="15" s="1"/>
  <c r="J225" i="15"/>
  <c r="K225" i="15" s="1"/>
  <c r="N225" i="15" s="1"/>
  <c r="K243" i="15"/>
  <c r="N243" i="15" s="1"/>
  <c r="J260" i="15"/>
  <c r="K260" i="15" s="1"/>
  <c r="N260" i="15" s="1"/>
  <c r="J262" i="15"/>
  <c r="K262" i="15" s="1"/>
  <c r="N262" i="15" s="1"/>
  <c r="J264" i="15"/>
  <c r="K264" i="15" s="1"/>
  <c r="N264" i="15" s="1"/>
  <c r="J266" i="15"/>
  <c r="K266" i="15"/>
  <c r="N266" i="15" s="1"/>
  <c r="J268" i="15"/>
  <c r="K268" i="15" s="1"/>
  <c r="N268" i="15" s="1"/>
  <c r="J381" i="15"/>
  <c r="K381" i="15" s="1"/>
  <c r="N381" i="15" s="1"/>
  <c r="J384" i="15"/>
  <c r="K384" i="15" s="1"/>
  <c r="N384" i="15" s="1"/>
  <c r="K272" i="15"/>
  <c r="N272" i="15" s="1"/>
  <c r="K226" i="15"/>
  <c r="N226" i="15" s="1"/>
  <c r="K270" i="15"/>
  <c r="N270" i="15" s="1"/>
  <c r="K274" i="15"/>
  <c r="N274" i="15" s="1"/>
  <c r="K346" i="15"/>
  <c r="N346" i="15" s="1"/>
  <c r="K364" i="15"/>
  <c r="N364" i="15" s="1"/>
  <c r="J382" i="15"/>
  <c r="K382" i="15" s="1"/>
  <c r="N382" i="15" s="1"/>
  <c r="I990" i="14" l="1"/>
  <c r="I989" i="14"/>
  <c r="I988" i="14"/>
  <c r="J988" i="14" s="1"/>
  <c r="I987" i="14"/>
  <c r="I986" i="14"/>
  <c r="I985" i="14"/>
  <c r="J985" i="14" s="1"/>
  <c r="I984" i="14"/>
  <c r="I983" i="14"/>
  <c r="I982" i="14"/>
  <c r="I981" i="14"/>
  <c r="I980" i="14"/>
  <c r="J980" i="14" s="1"/>
  <c r="I979" i="14"/>
  <c r="I978" i="14"/>
  <c r="I977" i="14"/>
  <c r="J977" i="14" s="1"/>
  <c r="I976" i="14"/>
  <c r="I975" i="14"/>
  <c r="I974" i="14"/>
  <c r="I973" i="14"/>
  <c r="I972" i="14"/>
  <c r="J972" i="14" s="1"/>
  <c r="I971" i="14"/>
  <c r="I970" i="14"/>
  <c r="I969" i="14"/>
  <c r="J969" i="14" s="1"/>
  <c r="I968" i="14"/>
  <c r="I967" i="14"/>
  <c r="I966" i="14"/>
  <c r="I965" i="14"/>
  <c r="I964" i="14"/>
  <c r="J964" i="14" s="1"/>
  <c r="I963" i="14"/>
  <c r="I962" i="14"/>
  <c r="I961" i="14"/>
  <c r="J961" i="14" s="1"/>
  <c r="I960" i="14"/>
  <c r="I959" i="14"/>
  <c r="I958" i="14"/>
  <c r="I957" i="14"/>
  <c r="I956" i="14"/>
  <c r="J956" i="14" s="1"/>
  <c r="I955" i="14"/>
  <c r="I954" i="14"/>
  <c r="I953" i="14"/>
  <c r="J953" i="14" s="1"/>
  <c r="I952" i="14"/>
  <c r="I951" i="14"/>
  <c r="I950" i="14"/>
  <c r="I949" i="14"/>
  <c r="I948" i="14"/>
  <c r="J948" i="14" s="1"/>
  <c r="I947" i="14"/>
  <c r="I946" i="14"/>
  <c r="I945" i="14"/>
  <c r="J945" i="14" s="1"/>
  <c r="I944" i="14"/>
  <c r="I943" i="14"/>
  <c r="I942" i="14"/>
  <c r="I941" i="14"/>
  <c r="I940" i="14"/>
  <c r="J940" i="14" s="1"/>
  <c r="I939" i="14"/>
  <c r="I938" i="14"/>
  <c r="I937" i="14"/>
  <c r="J937" i="14" s="1"/>
  <c r="I936" i="14"/>
  <c r="I935" i="14"/>
  <c r="I934" i="14"/>
  <c r="I933" i="14"/>
  <c r="I932" i="14"/>
  <c r="J932" i="14" s="1"/>
  <c r="I931" i="14"/>
  <c r="I930" i="14"/>
  <c r="I929" i="14"/>
  <c r="J929" i="14" s="1"/>
  <c r="I928" i="14"/>
  <c r="J928" i="14" s="1"/>
  <c r="I927" i="14"/>
  <c r="I926" i="14"/>
  <c r="I925" i="14"/>
  <c r="J925" i="14" s="1"/>
  <c r="I924" i="14"/>
  <c r="I923" i="14"/>
  <c r="I922" i="14"/>
  <c r="I921" i="14"/>
  <c r="J921" i="14" s="1"/>
  <c r="I920" i="14"/>
  <c r="I919" i="14"/>
  <c r="I918" i="14"/>
  <c r="I917" i="14"/>
  <c r="J917" i="14" s="1"/>
  <c r="I916" i="14"/>
  <c r="I915" i="14"/>
  <c r="I914" i="14"/>
  <c r="I913" i="14"/>
  <c r="I912" i="14"/>
  <c r="I911" i="14"/>
  <c r="I910" i="14"/>
  <c r="I909" i="14"/>
  <c r="J909" i="14" s="1"/>
  <c r="I908" i="14"/>
  <c r="I907" i="14"/>
  <c r="I906" i="14"/>
  <c r="I905" i="14"/>
  <c r="I904" i="14"/>
  <c r="I903" i="14"/>
  <c r="I902" i="14"/>
  <c r="I901" i="14"/>
  <c r="I900" i="14"/>
  <c r="I899" i="14"/>
  <c r="I898" i="14"/>
  <c r="I897" i="14"/>
  <c r="I896" i="14"/>
  <c r="I895" i="14"/>
  <c r="I894" i="14"/>
  <c r="I893" i="14"/>
  <c r="I892" i="14"/>
  <c r="I891" i="14"/>
  <c r="I890" i="14"/>
  <c r="I889" i="14"/>
  <c r="I888" i="14"/>
  <c r="I887" i="14"/>
  <c r="I886" i="14"/>
  <c r="I885" i="14"/>
  <c r="I884" i="14"/>
  <c r="J884" i="14" s="1"/>
  <c r="I883" i="14"/>
  <c r="I882" i="14"/>
  <c r="J882" i="14" s="1"/>
  <c r="I881" i="14"/>
  <c r="I880" i="14"/>
  <c r="J880" i="14" s="1"/>
  <c r="I879" i="14"/>
  <c r="I878" i="14"/>
  <c r="J878" i="14" s="1"/>
  <c r="I877" i="14"/>
  <c r="I876" i="14"/>
  <c r="J876" i="14" s="1"/>
  <c r="I875" i="14"/>
  <c r="I874" i="14"/>
  <c r="J874" i="14" s="1"/>
  <c r="J873" i="14"/>
  <c r="I873" i="14"/>
  <c r="I872" i="14"/>
  <c r="I871" i="14"/>
  <c r="J871" i="14" s="1"/>
  <c r="J870" i="14"/>
  <c r="I870" i="14"/>
  <c r="I869" i="14"/>
  <c r="J869" i="14" s="1"/>
  <c r="I868" i="14"/>
  <c r="J868" i="14" s="1"/>
  <c r="I867" i="14"/>
  <c r="I866" i="14"/>
  <c r="J866" i="14" s="1"/>
  <c r="I865" i="14"/>
  <c r="J865" i="14" s="1"/>
  <c r="I864" i="14"/>
  <c r="I863" i="14"/>
  <c r="J863" i="14" s="1"/>
  <c r="I862" i="14"/>
  <c r="J862" i="14" s="1"/>
  <c r="I861" i="14"/>
  <c r="J861" i="14" s="1"/>
  <c r="I860" i="14"/>
  <c r="J860" i="14" s="1"/>
  <c r="I859" i="14"/>
  <c r="I858" i="14"/>
  <c r="J858" i="14" s="1"/>
  <c r="J857" i="14"/>
  <c r="I857" i="14"/>
  <c r="I856" i="14"/>
  <c r="I855" i="14"/>
  <c r="J855" i="14" s="1"/>
  <c r="J854" i="14"/>
  <c r="I854" i="14"/>
  <c r="I853" i="14"/>
  <c r="J853" i="14" s="1"/>
  <c r="I852" i="14"/>
  <c r="J852" i="14" s="1"/>
  <c r="I851" i="14"/>
  <c r="I850" i="14"/>
  <c r="J850" i="14" s="1"/>
  <c r="I849" i="14"/>
  <c r="J849" i="14" s="1"/>
  <c r="I848" i="14"/>
  <c r="I847" i="14"/>
  <c r="J847" i="14" s="1"/>
  <c r="I846" i="14"/>
  <c r="J846" i="14" s="1"/>
  <c r="I845" i="14"/>
  <c r="J845" i="14" s="1"/>
  <c r="I844" i="14"/>
  <c r="J844" i="14" s="1"/>
  <c r="I843" i="14"/>
  <c r="I842" i="14"/>
  <c r="J842" i="14" s="1"/>
  <c r="J841" i="14"/>
  <c r="I841" i="14"/>
  <c r="I840" i="14"/>
  <c r="I839" i="14"/>
  <c r="J839" i="14" s="1"/>
  <c r="J838" i="14"/>
  <c r="I838" i="14"/>
  <c r="I837" i="14"/>
  <c r="J837" i="14" s="1"/>
  <c r="I836" i="14"/>
  <c r="J836" i="14" s="1"/>
  <c r="I835" i="14"/>
  <c r="I834" i="14"/>
  <c r="J834" i="14" s="1"/>
  <c r="I833" i="14"/>
  <c r="J833" i="14" s="1"/>
  <c r="I832" i="14"/>
  <c r="I831" i="14"/>
  <c r="J831" i="14" s="1"/>
  <c r="I830" i="14"/>
  <c r="J830" i="14" s="1"/>
  <c r="I829" i="14"/>
  <c r="J829" i="14" s="1"/>
  <c r="J828" i="14"/>
  <c r="I828" i="14"/>
  <c r="I827" i="14"/>
  <c r="J827" i="14" s="1"/>
  <c r="I826" i="14"/>
  <c r="J826" i="14" s="1"/>
  <c r="I825" i="14"/>
  <c r="I824" i="14"/>
  <c r="J824" i="14" s="1"/>
  <c r="I823" i="14"/>
  <c r="I822" i="14"/>
  <c r="J822" i="14" s="1"/>
  <c r="I821" i="14"/>
  <c r="I820" i="14"/>
  <c r="J820" i="14" s="1"/>
  <c r="I819" i="14"/>
  <c r="I818" i="14"/>
  <c r="J818" i="14" s="1"/>
  <c r="I817" i="14"/>
  <c r="I816" i="14"/>
  <c r="J816" i="14" s="1"/>
  <c r="I815" i="14"/>
  <c r="I814" i="14"/>
  <c r="J814" i="14" s="1"/>
  <c r="I813" i="14"/>
  <c r="I812" i="14"/>
  <c r="J812" i="14" s="1"/>
  <c r="I811" i="14"/>
  <c r="I810" i="14"/>
  <c r="J810" i="14" s="1"/>
  <c r="I809" i="14"/>
  <c r="I808" i="14"/>
  <c r="J808" i="14" s="1"/>
  <c r="I807" i="14"/>
  <c r="I806" i="14"/>
  <c r="J806" i="14" s="1"/>
  <c r="I805" i="14"/>
  <c r="I804" i="14"/>
  <c r="J804" i="14" s="1"/>
  <c r="I803" i="14"/>
  <c r="I802" i="14"/>
  <c r="J802" i="14" s="1"/>
  <c r="I801" i="14"/>
  <c r="I800" i="14"/>
  <c r="J800" i="14" s="1"/>
  <c r="I799" i="14"/>
  <c r="I798" i="14"/>
  <c r="J798" i="14" s="1"/>
  <c r="I797" i="14"/>
  <c r="I796" i="14"/>
  <c r="J796" i="14" s="1"/>
  <c r="I795" i="14"/>
  <c r="I794" i="14"/>
  <c r="J794" i="14" s="1"/>
  <c r="I793" i="14"/>
  <c r="I792" i="14"/>
  <c r="J792" i="14" s="1"/>
  <c r="I791" i="14"/>
  <c r="I790" i="14"/>
  <c r="J790" i="14" s="1"/>
  <c r="I789" i="14"/>
  <c r="I788" i="14"/>
  <c r="J788" i="14" s="1"/>
  <c r="I787" i="14"/>
  <c r="I786" i="14"/>
  <c r="J786" i="14" s="1"/>
  <c r="I785" i="14"/>
  <c r="I784" i="14"/>
  <c r="J784" i="14" s="1"/>
  <c r="I783" i="14"/>
  <c r="I782" i="14"/>
  <c r="J782" i="14" s="1"/>
  <c r="I781" i="14"/>
  <c r="I780" i="14"/>
  <c r="I779" i="14"/>
  <c r="I778" i="14"/>
  <c r="I777" i="14"/>
  <c r="I776" i="14"/>
  <c r="I775" i="14"/>
  <c r="I774" i="14"/>
  <c r="I773" i="14"/>
  <c r="I772" i="14"/>
  <c r="I771" i="14"/>
  <c r="I770" i="14"/>
  <c r="I769" i="14"/>
  <c r="I768" i="14"/>
  <c r="I767" i="14"/>
  <c r="I766" i="14"/>
  <c r="I765" i="14"/>
  <c r="I764" i="14"/>
  <c r="I763" i="14"/>
  <c r="I762" i="14"/>
  <c r="I761" i="14"/>
  <c r="I760" i="14"/>
  <c r="I759" i="14"/>
  <c r="I758" i="14"/>
  <c r="I757" i="14"/>
  <c r="I756" i="14"/>
  <c r="I755" i="14"/>
  <c r="I754" i="14"/>
  <c r="I753" i="14"/>
  <c r="I752" i="14"/>
  <c r="J752" i="14" s="1"/>
  <c r="I751" i="14"/>
  <c r="J751" i="14" s="1"/>
  <c r="I750" i="14"/>
  <c r="I749" i="14"/>
  <c r="I748" i="14"/>
  <c r="J748" i="14" s="1"/>
  <c r="I747" i="14"/>
  <c r="J747" i="14" s="1"/>
  <c r="I746" i="14"/>
  <c r="I745" i="14"/>
  <c r="I744" i="14"/>
  <c r="J744" i="14" s="1"/>
  <c r="I743" i="14"/>
  <c r="J743" i="14" s="1"/>
  <c r="I742" i="14"/>
  <c r="I741" i="14"/>
  <c r="I740" i="14"/>
  <c r="J740" i="14" s="1"/>
  <c r="I739" i="14"/>
  <c r="J739" i="14" s="1"/>
  <c r="I738" i="14"/>
  <c r="I737" i="14"/>
  <c r="I736" i="14"/>
  <c r="J736" i="14" s="1"/>
  <c r="I735" i="14"/>
  <c r="J735" i="14" s="1"/>
  <c r="I734" i="14"/>
  <c r="I733" i="14"/>
  <c r="I732" i="14"/>
  <c r="J732" i="14" s="1"/>
  <c r="I731" i="14"/>
  <c r="J731" i="14" s="1"/>
  <c r="I730" i="14"/>
  <c r="I729" i="14"/>
  <c r="I728" i="14"/>
  <c r="J728" i="14" s="1"/>
  <c r="I727" i="14"/>
  <c r="J727" i="14" s="1"/>
  <c r="I726" i="14"/>
  <c r="I725" i="14"/>
  <c r="I724" i="14"/>
  <c r="J724" i="14" s="1"/>
  <c r="I723" i="14"/>
  <c r="J723" i="14" s="1"/>
  <c r="I722" i="14"/>
  <c r="I721" i="14"/>
  <c r="I720" i="14"/>
  <c r="J720" i="14" s="1"/>
  <c r="I719" i="14"/>
  <c r="J719" i="14" s="1"/>
  <c r="I718" i="14"/>
  <c r="J718" i="14" s="1"/>
  <c r="I717" i="14"/>
  <c r="I716" i="14"/>
  <c r="J716" i="14" s="1"/>
  <c r="I715" i="14"/>
  <c r="J715" i="14" s="1"/>
  <c r="I714" i="14"/>
  <c r="I713" i="14"/>
  <c r="J713" i="14" s="1"/>
  <c r="I712" i="14"/>
  <c r="J712" i="14" s="1"/>
  <c r="I711" i="14"/>
  <c r="J711" i="14" s="1"/>
  <c r="J710" i="14"/>
  <c r="I710" i="14"/>
  <c r="I709" i="14"/>
  <c r="I708" i="14"/>
  <c r="J708" i="14" s="1"/>
  <c r="I707" i="14"/>
  <c r="J707" i="14" s="1"/>
  <c r="I706" i="14"/>
  <c r="J705" i="14"/>
  <c r="I705" i="14"/>
  <c r="I704" i="14"/>
  <c r="I703" i="14"/>
  <c r="J703" i="14" s="1"/>
  <c r="I702" i="14"/>
  <c r="I701" i="14"/>
  <c r="I700" i="14"/>
  <c r="J700" i="14" s="1"/>
  <c r="I699" i="14"/>
  <c r="I698" i="14"/>
  <c r="I697" i="14"/>
  <c r="I696" i="14"/>
  <c r="I695" i="14"/>
  <c r="J695" i="14" s="1"/>
  <c r="I694" i="14"/>
  <c r="I693" i="14"/>
  <c r="I692" i="14"/>
  <c r="J692" i="14" s="1"/>
  <c r="I691" i="14"/>
  <c r="I690" i="14"/>
  <c r="I689" i="14"/>
  <c r="I688" i="14"/>
  <c r="I687" i="14"/>
  <c r="J687" i="14" s="1"/>
  <c r="I686" i="14"/>
  <c r="I685" i="14"/>
  <c r="I684" i="14"/>
  <c r="J684" i="14" s="1"/>
  <c r="I683" i="14"/>
  <c r="I682" i="14"/>
  <c r="I681" i="14"/>
  <c r="I680" i="14"/>
  <c r="I679" i="14"/>
  <c r="J679" i="14" s="1"/>
  <c r="I678" i="14"/>
  <c r="I677" i="14"/>
  <c r="I676" i="14"/>
  <c r="J676" i="14" s="1"/>
  <c r="I675" i="14"/>
  <c r="I674" i="14"/>
  <c r="I673" i="14"/>
  <c r="I672" i="14"/>
  <c r="I671" i="14"/>
  <c r="J671" i="14" s="1"/>
  <c r="I670" i="14"/>
  <c r="I669" i="14"/>
  <c r="I668" i="14"/>
  <c r="J668" i="14" s="1"/>
  <c r="I667" i="14"/>
  <c r="I666" i="14"/>
  <c r="I665" i="14"/>
  <c r="I664" i="14"/>
  <c r="I663" i="14"/>
  <c r="J663" i="14" s="1"/>
  <c r="I662" i="14"/>
  <c r="I661" i="14"/>
  <c r="J661" i="14" s="1"/>
  <c r="I660" i="14"/>
  <c r="I659" i="14"/>
  <c r="J659" i="14" s="1"/>
  <c r="I658" i="14"/>
  <c r="I657" i="14"/>
  <c r="J657" i="14" s="1"/>
  <c r="I656" i="14"/>
  <c r="I655" i="14"/>
  <c r="J655" i="14" s="1"/>
  <c r="I654" i="14"/>
  <c r="J653" i="14"/>
  <c r="I653" i="14"/>
  <c r="I652" i="14"/>
  <c r="I651" i="14"/>
  <c r="J651" i="14" s="1"/>
  <c r="I650" i="14"/>
  <c r="I649" i="14"/>
  <c r="J649" i="14" s="1"/>
  <c r="I648" i="14"/>
  <c r="I647" i="14"/>
  <c r="J647" i="14" s="1"/>
  <c r="I646" i="14"/>
  <c r="I645" i="14"/>
  <c r="J645" i="14" s="1"/>
  <c r="I644" i="14"/>
  <c r="I643" i="14"/>
  <c r="J643" i="14" s="1"/>
  <c r="I642" i="14"/>
  <c r="I641" i="14"/>
  <c r="J641" i="14" s="1"/>
  <c r="I640" i="14"/>
  <c r="I639" i="14"/>
  <c r="J639" i="14" s="1"/>
  <c r="I638" i="14"/>
  <c r="J637" i="14"/>
  <c r="I637" i="14"/>
  <c r="I636" i="14"/>
  <c r="I635" i="14"/>
  <c r="J635" i="14" s="1"/>
  <c r="I634" i="14"/>
  <c r="I633" i="14"/>
  <c r="J633" i="14" s="1"/>
  <c r="I632" i="14"/>
  <c r="I631" i="14"/>
  <c r="J631" i="14" s="1"/>
  <c r="I630" i="14"/>
  <c r="I629" i="14"/>
  <c r="J629" i="14" s="1"/>
  <c r="I628" i="14"/>
  <c r="I627" i="14"/>
  <c r="J627" i="14" s="1"/>
  <c r="I626" i="14"/>
  <c r="I625" i="14"/>
  <c r="J625" i="14" s="1"/>
  <c r="I624" i="14"/>
  <c r="I623" i="14"/>
  <c r="J623" i="14" s="1"/>
  <c r="I622" i="14"/>
  <c r="J621" i="14"/>
  <c r="I621" i="14"/>
  <c r="I620" i="14"/>
  <c r="I619" i="14"/>
  <c r="J619" i="14" s="1"/>
  <c r="I618" i="14"/>
  <c r="I617" i="14"/>
  <c r="J617" i="14" s="1"/>
  <c r="I616" i="14"/>
  <c r="I615" i="14"/>
  <c r="J615" i="14" s="1"/>
  <c r="I614" i="14"/>
  <c r="I613" i="14"/>
  <c r="J613" i="14" s="1"/>
  <c r="I612" i="14"/>
  <c r="I611" i="14"/>
  <c r="J611" i="14" s="1"/>
  <c r="I610" i="14"/>
  <c r="I609" i="14"/>
  <c r="J609" i="14" s="1"/>
  <c r="I608" i="14"/>
  <c r="I607" i="14"/>
  <c r="J607" i="14" s="1"/>
  <c r="I606" i="14"/>
  <c r="J605" i="14"/>
  <c r="I605" i="14"/>
  <c r="I604" i="14"/>
  <c r="I603" i="14"/>
  <c r="J603" i="14" s="1"/>
  <c r="I602" i="14"/>
  <c r="I601" i="14"/>
  <c r="J601" i="14" s="1"/>
  <c r="I600" i="14"/>
  <c r="I599" i="14"/>
  <c r="J599" i="14" s="1"/>
  <c r="I598" i="14"/>
  <c r="I597" i="14"/>
  <c r="J597" i="14" s="1"/>
  <c r="I596" i="14"/>
  <c r="I595" i="14"/>
  <c r="J595" i="14" s="1"/>
  <c r="I594" i="14"/>
  <c r="I593" i="14"/>
  <c r="J593" i="14" s="1"/>
  <c r="I592" i="14"/>
  <c r="I591" i="14"/>
  <c r="J591" i="14" s="1"/>
  <c r="I590" i="14"/>
  <c r="J589" i="14"/>
  <c r="I589" i="14"/>
  <c r="I588" i="14"/>
  <c r="I587" i="14"/>
  <c r="J587" i="14" s="1"/>
  <c r="I586" i="14"/>
  <c r="I585" i="14"/>
  <c r="J585" i="14" s="1"/>
  <c r="I584" i="14"/>
  <c r="I583" i="14"/>
  <c r="J583" i="14" s="1"/>
  <c r="I582" i="14"/>
  <c r="I581" i="14"/>
  <c r="J581" i="14" s="1"/>
  <c r="I580" i="14"/>
  <c r="I579" i="14"/>
  <c r="J579" i="14" s="1"/>
  <c r="I578" i="14"/>
  <c r="I577" i="14"/>
  <c r="J577" i="14" s="1"/>
  <c r="I576" i="14"/>
  <c r="I575" i="14"/>
  <c r="J575" i="14" s="1"/>
  <c r="I574" i="14"/>
  <c r="J573" i="14"/>
  <c r="I573" i="14"/>
  <c r="I572" i="14"/>
  <c r="I571" i="14"/>
  <c r="J571" i="14" s="1"/>
  <c r="I570" i="14"/>
  <c r="I569" i="14"/>
  <c r="J569" i="14" s="1"/>
  <c r="I568" i="14"/>
  <c r="I567" i="14"/>
  <c r="J567" i="14" s="1"/>
  <c r="I566" i="14"/>
  <c r="I565" i="14"/>
  <c r="J565" i="14" s="1"/>
  <c r="I564" i="14"/>
  <c r="I563" i="14"/>
  <c r="J563" i="14" s="1"/>
  <c r="I562" i="14"/>
  <c r="I561" i="14"/>
  <c r="J561" i="14" s="1"/>
  <c r="I560" i="14"/>
  <c r="I559" i="14"/>
  <c r="I558" i="14"/>
  <c r="J558" i="14" s="1"/>
  <c r="I557" i="14"/>
  <c r="I556" i="14"/>
  <c r="J556" i="14" s="1"/>
  <c r="I555" i="14"/>
  <c r="J555" i="14" s="1"/>
  <c r="I554" i="14"/>
  <c r="I553" i="14"/>
  <c r="J553" i="14" s="1"/>
  <c r="I552" i="14"/>
  <c r="I551" i="14"/>
  <c r="I550" i="14"/>
  <c r="J550" i="14" s="1"/>
  <c r="I549" i="14"/>
  <c r="I548" i="14"/>
  <c r="J548" i="14" s="1"/>
  <c r="I547" i="14"/>
  <c r="J547" i="14" s="1"/>
  <c r="I546" i="14"/>
  <c r="I545" i="14"/>
  <c r="J545" i="14" s="1"/>
  <c r="I544" i="14"/>
  <c r="I543" i="14"/>
  <c r="I542" i="14"/>
  <c r="J542" i="14" s="1"/>
  <c r="I541" i="14"/>
  <c r="I540" i="14"/>
  <c r="J540" i="14" s="1"/>
  <c r="I539" i="14"/>
  <c r="J539" i="14" s="1"/>
  <c r="I538" i="14"/>
  <c r="I537" i="14"/>
  <c r="J537" i="14" s="1"/>
  <c r="I536" i="14"/>
  <c r="I535" i="14"/>
  <c r="I534" i="14"/>
  <c r="J534" i="14" s="1"/>
  <c r="I533" i="14"/>
  <c r="I532" i="14"/>
  <c r="J532" i="14" s="1"/>
  <c r="I531" i="14"/>
  <c r="J531" i="14" s="1"/>
  <c r="I530" i="14"/>
  <c r="I529" i="14"/>
  <c r="J529" i="14" s="1"/>
  <c r="I528" i="14"/>
  <c r="I527" i="14"/>
  <c r="I526" i="14"/>
  <c r="J526" i="14" s="1"/>
  <c r="I525" i="14"/>
  <c r="I524" i="14"/>
  <c r="J524" i="14" s="1"/>
  <c r="I523" i="14"/>
  <c r="J523" i="14" s="1"/>
  <c r="I522" i="14"/>
  <c r="I521" i="14"/>
  <c r="J521" i="14" s="1"/>
  <c r="I520" i="14"/>
  <c r="I519" i="14"/>
  <c r="I518" i="14"/>
  <c r="J518" i="14" s="1"/>
  <c r="I517" i="14"/>
  <c r="I516" i="14"/>
  <c r="J516" i="14" s="1"/>
  <c r="I515" i="14"/>
  <c r="J515" i="14" s="1"/>
  <c r="I514" i="14"/>
  <c r="I513" i="14"/>
  <c r="J513" i="14" s="1"/>
  <c r="I512" i="14"/>
  <c r="I511" i="14"/>
  <c r="I510" i="14"/>
  <c r="J510" i="14" s="1"/>
  <c r="I509" i="14"/>
  <c r="I508" i="14"/>
  <c r="J508" i="14" s="1"/>
  <c r="I507" i="14"/>
  <c r="J507" i="14" s="1"/>
  <c r="I506" i="14"/>
  <c r="I505" i="14"/>
  <c r="J505" i="14" s="1"/>
  <c r="I504" i="14"/>
  <c r="I503" i="14"/>
  <c r="I502" i="14"/>
  <c r="J502" i="14" s="1"/>
  <c r="I501" i="14"/>
  <c r="I500" i="14"/>
  <c r="J500" i="14" s="1"/>
  <c r="I499" i="14"/>
  <c r="J499" i="14" s="1"/>
  <c r="I498" i="14"/>
  <c r="I497" i="14"/>
  <c r="J497" i="14" s="1"/>
  <c r="I496" i="14"/>
  <c r="I495" i="14"/>
  <c r="I494" i="14"/>
  <c r="J494" i="14" s="1"/>
  <c r="I493" i="14"/>
  <c r="I492" i="14"/>
  <c r="I491" i="14"/>
  <c r="J491" i="14" s="1"/>
  <c r="I490" i="14"/>
  <c r="I489" i="14"/>
  <c r="J489" i="14" s="1"/>
  <c r="I488" i="14"/>
  <c r="J487" i="14"/>
  <c r="I487" i="14"/>
  <c r="I486" i="14"/>
  <c r="J486" i="14" s="1"/>
  <c r="I485" i="14"/>
  <c r="I484" i="14"/>
  <c r="I483" i="14"/>
  <c r="J483" i="14" s="1"/>
  <c r="I482" i="14"/>
  <c r="I481" i="14"/>
  <c r="J481" i="14" s="1"/>
  <c r="I480" i="14"/>
  <c r="I479" i="14"/>
  <c r="J479" i="14" s="1"/>
  <c r="I478" i="14"/>
  <c r="J478" i="14" s="1"/>
  <c r="I477" i="14"/>
  <c r="I476" i="14"/>
  <c r="I475" i="14"/>
  <c r="J475" i="14" s="1"/>
  <c r="I474" i="14"/>
  <c r="I473" i="14"/>
  <c r="J473" i="14" s="1"/>
  <c r="I472" i="14"/>
  <c r="J471" i="14"/>
  <c r="I471" i="14"/>
  <c r="I470" i="14"/>
  <c r="J470" i="14" s="1"/>
  <c r="I469" i="14"/>
  <c r="I468" i="14"/>
  <c r="I467" i="14"/>
  <c r="J467" i="14" s="1"/>
  <c r="I466" i="14"/>
  <c r="I465" i="14"/>
  <c r="J465" i="14" s="1"/>
  <c r="I464" i="14"/>
  <c r="I463" i="14"/>
  <c r="J463" i="14" s="1"/>
  <c r="I462" i="14"/>
  <c r="J462" i="14" s="1"/>
  <c r="J461" i="14"/>
  <c r="I461" i="14"/>
  <c r="I460" i="14"/>
  <c r="I459" i="14"/>
  <c r="J459" i="14" s="1"/>
  <c r="I458" i="14"/>
  <c r="J458" i="14" s="1"/>
  <c r="I457" i="14"/>
  <c r="J457" i="14" s="1"/>
  <c r="I456" i="14"/>
  <c r="I455" i="14"/>
  <c r="J455" i="14" s="1"/>
  <c r="J454" i="14"/>
  <c r="I454" i="14"/>
  <c r="I453" i="14"/>
  <c r="J453" i="14" s="1"/>
  <c r="I452" i="14"/>
  <c r="I451" i="14"/>
  <c r="J451" i="14" s="1"/>
  <c r="I450" i="14"/>
  <c r="J450" i="14" s="1"/>
  <c r="J449" i="14"/>
  <c r="I449" i="14"/>
  <c r="I448" i="14"/>
  <c r="I447" i="14"/>
  <c r="J447" i="14" s="1"/>
  <c r="J446" i="14"/>
  <c r="I446" i="14"/>
  <c r="I445" i="14"/>
  <c r="I444" i="14"/>
  <c r="J443" i="14"/>
  <c r="I443" i="14"/>
  <c r="I442" i="14"/>
  <c r="J442" i="14" s="1"/>
  <c r="I441" i="14"/>
  <c r="I440" i="14"/>
  <c r="I439" i="14"/>
  <c r="J439" i="14" s="1"/>
  <c r="J438" i="14"/>
  <c r="I438" i="14"/>
  <c r="I437" i="14"/>
  <c r="I436" i="14"/>
  <c r="J435" i="14"/>
  <c r="I435" i="14"/>
  <c r="I434" i="14"/>
  <c r="J434" i="14" s="1"/>
  <c r="I433" i="14"/>
  <c r="I432" i="14"/>
  <c r="I431" i="14"/>
  <c r="J431" i="14" s="1"/>
  <c r="I430" i="14"/>
  <c r="J430" i="14" s="1"/>
  <c r="I429" i="14"/>
  <c r="I428" i="14"/>
  <c r="I427" i="14"/>
  <c r="J427" i="14" s="1"/>
  <c r="I426" i="14"/>
  <c r="J426" i="14" s="1"/>
  <c r="I425" i="14"/>
  <c r="I424" i="14"/>
  <c r="I423" i="14"/>
  <c r="J423" i="14" s="1"/>
  <c r="I422" i="14"/>
  <c r="J422" i="14" s="1"/>
  <c r="I421" i="14"/>
  <c r="I420" i="14"/>
  <c r="I419" i="14"/>
  <c r="J419" i="14" s="1"/>
  <c r="I418" i="14"/>
  <c r="J418" i="14" s="1"/>
  <c r="I417" i="14"/>
  <c r="I416" i="14"/>
  <c r="I415" i="14"/>
  <c r="J415" i="14" s="1"/>
  <c r="I414" i="14"/>
  <c r="J414" i="14" s="1"/>
  <c r="I413" i="14"/>
  <c r="I412" i="14"/>
  <c r="I411" i="14"/>
  <c r="J411" i="14" s="1"/>
  <c r="J410" i="14"/>
  <c r="I410" i="14"/>
  <c r="I409" i="14"/>
  <c r="I408" i="14"/>
  <c r="I407" i="14"/>
  <c r="J407" i="14" s="1"/>
  <c r="I406" i="14"/>
  <c r="J406" i="14" s="1"/>
  <c r="I405" i="14"/>
  <c r="I404" i="14"/>
  <c r="I403" i="14"/>
  <c r="J403" i="14" s="1"/>
  <c r="I402" i="14"/>
  <c r="J402" i="14" s="1"/>
  <c r="I401" i="14"/>
  <c r="I400" i="14"/>
  <c r="I399" i="14"/>
  <c r="J399" i="14" s="1"/>
  <c r="I398" i="14"/>
  <c r="J398" i="14" s="1"/>
  <c r="I397" i="14"/>
  <c r="I396" i="14"/>
  <c r="I395" i="14"/>
  <c r="J395" i="14" s="1"/>
  <c r="J394" i="14"/>
  <c r="I394" i="14"/>
  <c r="I393" i="14"/>
  <c r="I392" i="14"/>
  <c r="I391" i="14"/>
  <c r="J391" i="14" s="1"/>
  <c r="I390" i="14"/>
  <c r="J390" i="14" s="1"/>
  <c r="I389" i="14"/>
  <c r="I388" i="14"/>
  <c r="I387" i="14"/>
  <c r="J387" i="14" s="1"/>
  <c r="I386" i="14"/>
  <c r="J386" i="14" s="1"/>
  <c r="I385" i="14"/>
  <c r="I384" i="14"/>
  <c r="I383" i="14"/>
  <c r="J383" i="14" s="1"/>
  <c r="I382" i="14"/>
  <c r="J382" i="14" s="1"/>
  <c r="I381" i="14"/>
  <c r="I380" i="14"/>
  <c r="I379" i="14"/>
  <c r="J379" i="14" s="1"/>
  <c r="I378" i="14"/>
  <c r="J378" i="14" s="1"/>
  <c r="I377" i="14"/>
  <c r="I376" i="14"/>
  <c r="I375" i="14"/>
  <c r="J375" i="14" s="1"/>
  <c r="I374" i="14"/>
  <c r="J374" i="14" s="1"/>
  <c r="I373" i="14"/>
  <c r="I372" i="14"/>
  <c r="I371" i="14"/>
  <c r="J371" i="14" s="1"/>
  <c r="I370" i="14"/>
  <c r="J370" i="14" s="1"/>
  <c r="I369" i="14"/>
  <c r="I368" i="14"/>
  <c r="I367" i="14"/>
  <c r="J367" i="14" s="1"/>
  <c r="I366" i="14"/>
  <c r="J366" i="14" s="1"/>
  <c r="I365" i="14"/>
  <c r="I364" i="14"/>
  <c r="I363" i="14"/>
  <c r="J363" i="14" s="1"/>
  <c r="I362" i="14"/>
  <c r="J362" i="14" s="1"/>
  <c r="I361" i="14"/>
  <c r="J361" i="14" s="1"/>
  <c r="I360" i="14"/>
  <c r="I359" i="14"/>
  <c r="J359" i="14" s="1"/>
  <c r="I358" i="14"/>
  <c r="J358" i="14" s="1"/>
  <c r="I357" i="14"/>
  <c r="J357" i="14" s="1"/>
  <c r="I356" i="14"/>
  <c r="K356" i="14" s="1"/>
  <c r="N356" i="14" s="1"/>
  <c r="L355" i="14"/>
  <c r="I355" i="14"/>
  <c r="L354" i="14"/>
  <c r="I354" i="14"/>
  <c r="K354" i="14" s="1"/>
  <c r="I353" i="14"/>
  <c r="K353" i="14" s="1"/>
  <c r="N353" i="14" s="1"/>
  <c r="I352" i="14"/>
  <c r="K352" i="14" s="1"/>
  <c r="N352" i="14" s="1"/>
  <c r="I351" i="14"/>
  <c r="K351" i="14" s="1"/>
  <c r="N351" i="14" s="1"/>
  <c r="I350" i="14"/>
  <c r="K350" i="14" s="1"/>
  <c r="N350" i="14" s="1"/>
  <c r="I349" i="14"/>
  <c r="K349" i="14" s="1"/>
  <c r="N349" i="14" s="1"/>
  <c r="I348" i="14"/>
  <c r="K348" i="14" s="1"/>
  <c r="N348" i="14" s="1"/>
  <c r="I347" i="14"/>
  <c r="K347" i="14" s="1"/>
  <c r="N347" i="14" s="1"/>
  <c r="I346" i="14"/>
  <c r="K346" i="14" s="1"/>
  <c r="N346" i="14" s="1"/>
  <c r="I345" i="14"/>
  <c r="K345" i="14" s="1"/>
  <c r="N345" i="14" s="1"/>
  <c r="I344" i="14"/>
  <c r="K344" i="14" s="1"/>
  <c r="N344" i="14" s="1"/>
  <c r="I343" i="14"/>
  <c r="K343" i="14" s="1"/>
  <c r="N343" i="14" s="1"/>
  <c r="I342" i="14"/>
  <c r="K342" i="14" s="1"/>
  <c r="N342" i="14" s="1"/>
  <c r="I341" i="14"/>
  <c r="K341" i="14" s="1"/>
  <c r="N341" i="14" s="1"/>
  <c r="I340" i="14"/>
  <c r="K340" i="14" s="1"/>
  <c r="N340" i="14" s="1"/>
  <c r="I339" i="14"/>
  <c r="K339" i="14" s="1"/>
  <c r="N339" i="14" s="1"/>
  <c r="I338" i="14"/>
  <c r="K338" i="14" s="1"/>
  <c r="N338" i="14" s="1"/>
  <c r="I337" i="14"/>
  <c r="K337" i="14" s="1"/>
  <c r="N337" i="14" s="1"/>
  <c r="I336" i="14"/>
  <c r="I335" i="14"/>
  <c r="K335" i="14" s="1"/>
  <c r="N335" i="14" s="1"/>
  <c r="I334" i="14"/>
  <c r="K334" i="14" s="1"/>
  <c r="N334" i="14" s="1"/>
  <c r="I333" i="14"/>
  <c r="I332" i="14"/>
  <c r="K332" i="14" s="1"/>
  <c r="N332" i="14" s="1"/>
  <c r="I331" i="14"/>
  <c r="K331" i="14" s="1"/>
  <c r="N331" i="14" s="1"/>
  <c r="I330" i="14"/>
  <c r="N329" i="14"/>
  <c r="I329" i="14"/>
  <c r="K329" i="14" s="1"/>
  <c r="I328" i="14"/>
  <c r="I327" i="14"/>
  <c r="K327" i="14" s="1"/>
  <c r="N327" i="14" s="1"/>
  <c r="L326" i="14"/>
  <c r="I326" i="14"/>
  <c r="K326" i="14" s="1"/>
  <c r="I325" i="14"/>
  <c r="K325" i="14" s="1"/>
  <c r="N325" i="14" s="1"/>
  <c r="I324" i="14"/>
  <c r="I323" i="14"/>
  <c r="K323" i="14" s="1"/>
  <c r="N323" i="14" s="1"/>
  <c r="I322" i="14"/>
  <c r="K322" i="14" s="1"/>
  <c r="N322" i="14" s="1"/>
  <c r="I321" i="14"/>
  <c r="I320" i="14"/>
  <c r="K320" i="14" s="1"/>
  <c r="N320" i="14" s="1"/>
  <c r="I319" i="14"/>
  <c r="I318" i="14"/>
  <c r="K318" i="14" s="1"/>
  <c r="N318" i="14" s="1"/>
  <c r="I317" i="14"/>
  <c r="I316" i="14"/>
  <c r="J316" i="14" s="1"/>
  <c r="I315" i="14"/>
  <c r="J315" i="14" s="1"/>
  <c r="I314" i="14"/>
  <c r="I313" i="14"/>
  <c r="I312" i="14"/>
  <c r="J312" i="14" s="1"/>
  <c r="I311" i="14"/>
  <c r="J311" i="14" s="1"/>
  <c r="I310" i="14"/>
  <c r="I309" i="14"/>
  <c r="I308" i="14"/>
  <c r="J308" i="14" s="1"/>
  <c r="I307" i="14"/>
  <c r="J307" i="14" s="1"/>
  <c r="I306" i="14"/>
  <c r="I305" i="14"/>
  <c r="I304" i="14"/>
  <c r="J304" i="14" s="1"/>
  <c r="I303" i="14"/>
  <c r="J303" i="14" s="1"/>
  <c r="I302" i="14"/>
  <c r="I301" i="14"/>
  <c r="I300" i="14"/>
  <c r="J300" i="14" s="1"/>
  <c r="I299" i="14"/>
  <c r="J299" i="14" s="1"/>
  <c r="I298" i="14"/>
  <c r="I297" i="14"/>
  <c r="I296" i="14"/>
  <c r="J296" i="14" s="1"/>
  <c r="I295" i="14"/>
  <c r="J295" i="14" s="1"/>
  <c r="I294" i="14"/>
  <c r="I293" i="14"/>
  <c r="I292" i="14"/>
  <c r="J292" i="14" s="1"/>
  <c r="J291" i="14"/>
  <c r="I291" i="14"/>
  <c r="I290" i="14"/>
  <c r="L289" i="14"/>
  <c r="I289" i="14"/>
  <c r="K289" i="14" s="1"/>
  <c r="N289" i="14" s="1"/>
  <c r="I288" i="14"/>
  <c r="K288" i="14" s="1"/>
  <c r="N288" i="14" s="1"/>
  <c r="I287" i="14"/>
  <c r="I286" i="14"/>
  <c r="K286" i="14" s="1"/>
  <c r="N286" i="14" s="1"/>
  <c r="I285" i="14"/>
  <c r="K285" i="14" s="1"/>
  <c r="N285" i="14" s="1"/>
  <c r="I284" i="14"/>
  <c r="I283" i="14"/>
  <c r="K283" i="14" s="1"/>
  <c r="N283" i="14" s="1"/>
  <c r="I282" i="14"/>
  <c r="L281" i="14"/>
  <c r="I281" i="14"/>
  <c r="K281" i="14" s="1"/>
  <c r="I280" i="14"/>
  <c r="I279" i="14"/>
  <c r="K279" i="14" s="1"/>
  <c r="N279" i="14" s="1"/>
  <c r="I278" i="14"/>
  <c r="I277" i="14"/>
  <c r="K277" i="14" s="1"/>
  <c r="N277" i="14" s="1"/>
  <c r="I276" i="14"/>
  <c r="I275" i="14"/>
  <c r="K275" i="14" s="1"/>
  <c r="N275" i="14" s="1"/>
  <c r="I274" i="14"/>
  <c r="J274" i="14" s="1"/>
  <c r="I273" i="14"/>
  <c r="J273" i="14" s="1"/>
  <c r="L272" i="14"/>
  <c r="I272" i="14"/>
  <c r="K272" i="14" s="1"/>
  <c r="I271" i="14"/>
  <c r="I270" i="14"/>
  <c r="J270" i="14" s="1"/>
  <c r="I269" i="14"/>
  <c r="K269" i="14" s="1"/>
  <c r="N269" i="14" s="1"/>
  <c r="I268" i="14"/>
  <c r="I267" i="14"/>
  <c r="K267" i="14" s="1"/>
  <c r="N267" i="14" s="1"/>
  <c r="I266" i="14"/>
  <c r="K266" i="14" s="1"/>
  <c r="N266" i="14" s="1"/>
  <c r="I265" i="14"/>
  <c r="I264" i="14"/>
  <c r="K264" i="14" s="1"/>
  <c r="N264" i="14" s="1"/>
  <c r="I263" i="14"/>
  <c r="I262" i="14"/>
  <c r="K262" i="14" s="1"/>
  <c r="N262" i="14" s="1"/>
  <c r="N261" i="14"/>
  <c r="I261" i="14"/>
  <c r="K261" i="14" s="1"/>
  <c r="I260" i="14"/>
  <c r="I259" i="14"/>
  <c r="K258" i="14"/>
  <c r="N258" i="14" s="1"/>
  <c r="I258" i="14"/>
  <c r="I257" i="14"/>
  <c r="K257" i="14" s="1"/>
  <c r="N257" i="14" s="1"/>
  <c r="I256" i="14"/>
  <c r="K256" i="14" s="1"/>
  <c r="N256" i="14" s="1"/>
  <c r="I255" i="14"/>
  <c r="K255" i="14" s="1"/>
  <c r="N255" i="14" s="1"/>
  <c r="I254" i="14"/>
  <c r="K254" i="14" s="1"/>
  <c r="N254" i="14" s="1"/>
  <c r="I253" i="14"/>
  <c r="K253" i="14" s="1"/>
  <c r="N253" i="14" s="1"/>
  <c r="I252" i="14"/>
  <c r="K252" i="14" s="1"/>
  <c r="N252" i="14" s="1"/>
  <c r="I251" i="14"/>
  <c r="K251" i="14" s="1"/>
  <c r="N251" i="14" s="1"/>
  <c r="I250" i="14"/>
  <c r="K250" i="14" s="1"/>
  <c r="N250" i="14" s="1"/>
  <c r="I249" i="14"/>
  <c r="K249" i="14" s="1"/>
  <c r="N249" i="14" s="1"/>
  <c r="I248" i="14"/>
  <c r="K248" i="14" s="1"/>
  <c r="N248" i="14" s="1"/>
  <c r="I247" i="14"/>
  <c r="K247" i="14" s="1"/>
  <c r="N247" i="14" s="1"/>
  <c r="I246" i="14"/>
  <c r="K246" i="14" s="1"/>
  <c r="N246" i="14" s="1"/>
  <c r="I245" i="14"/>
  <c r="K245" i="14" s="1"/>
  <c r="N245" i="14" s="1"/>
  <c r="I244" i="14"/>
  <c r="K244" i="14" s="1"/>
  <c r="N244" i="14" s="1"/>
  <c r="L243" i="14"/>
  <c r="I243" i="14"/>
  <c r="K243" i="14" s="1"/>
  <c r="L242" i="14"/>
  <c r="I242" i="14"/>
  <c r="K242" i="14" s="1"/>
  <c r="N242" i="14" s="1"/>
  <c r="I241" i="14"/>
  <c r="K241" i="14" s="1"/>
  <c r="N241" i="14" s="1"/>
  <c r="I240" i="14"/>
  <c r="K240" i="14" s="1"/>
  <c r="N240" i="14" s="1"/>
  <c r="I239" i="14"/>
  <c r="K239" i="14" s="1"/>
  <c r="N239" i="14" s="1"/>
  <c r="I238" i="14"/>
  <c r="K238" i="14" s="1"/>
  <c r="N238" i="14" s="1"/>
  <c r="I237" i="14"/>
  <c r="I236" i="14"/>
  <c r="J236" i="14" s="1"/>
  <c r="I235" i="14"/>
  <c r="K235" i="14" s="1"/>
  <c r="N235" i="14" s="1"/>
  <c r="I234" i="14"/>
  <c r="I233" i="14"/>
  <c r="I232" i="14"/>
  <c r="I231" i="14"/>
  <c r="I230" i="14"/>
  <c r="I229" i="14"/>
  <c r="I228" i="14"/>
  <c r="I227" i="14"/>
  <c r="I226" i="14"/>
  <c r="I225" i="14"/>
  <c r="I224" i="14"/>
  <c r="I223" i="14"/>
  <c r="I222" i="14"/>
  <c r="I221" i="14"/>
  <c r="I220" i="14"/>
  <c r="I219" i="14"/>
  <c r="K219" i="14" s="1"/>
  <c r="N219" i="14" s="1"/>
  <c r="I218" i="14"/>
  <c r="K218" i="14" s="1"/>
  <c r="N218" i="14" s="1"/>
  <c r="L217" i="14"/>
  <c r="I217" i="14"/>
  <c r="K217" i="14" s="1"/>
  <c r="N217" i="14" s="1"/>
  <c r="N272" i="14" l="1"/>
  <c r="N281" i="14"/>
  <c r="N243" i="14"/>
  <c r="N326" i="14"/>
  <c r="K263" i="14"/>
  <c r="N263" i="14" s="1"/>
  <c r="K268" i="14"/>
  <c r="N268" i="14" s="1"/>
  <c r="K273" i="14"/>
  <c r="N273" i="14" s="1"/>
  <c r="K276" i="14"/>
  <c r="N276" i="14" s="1"/>
  <c r="K291" i="14"/>
  <c r="N291" i="14" s="1"/>
  <c r="K295" i="14"/>
  <c r="N295" i="14" s="1"/>
  <c r="K299" i="14"/>
  <c r="N299" i="14" s="1"/>
  <c r="K303" i="14"/>
  <c r="N303" i="14" s="1"/>
  <c r="K307" i="14"/>
  <c r="N307" i="14" s="1"/>
  <c r="K311" i="14"/>
  <c r="N311" i="14" s="1"/>
  <c r="K315" i="14"/>
  <c r="N315" i="14" s="1"/>
  <c r="K336" i="14"/>
  <c r="N336" i="14" s="1"/>
  <c r="K358" i="14"/>
  <c r="N358" i="14" s="1"/>
  <c r="K362" i="14"/>
  <c r="N362" i="14" s="1"/>
  <c r="K366" i="14"/>
  <c r="N366" i="14" s="1"/>
  <c r="K370" i="14"/>
  <c r="N370" i="14" s="1"/>
  <c r="K374" i="14"/>
  <c r="N374" i="14" s="1"/>
  <c r="K378" i="14"/>
  <c r="N378" i="14" s="1"/>
  <c r="K382" i="14"/>
  <c r="N382" i="14" s="1"/>
  <c r="K386" i="14"/>
  <c r="N386" i="14" s="1"/>
  <c r="K390" i="14"/>
  <c r="N390" i="14" s="1"/>
  <c r="K394" i="14"/>
  <c r="N394" i="14" s="1"/>
  <c r="K398" i="14"/>
  <c r="N398" i="14" s="1"/>
  <c r="K402" i="14"/>
  <c r="N402" i="14" s="1"/>
  <c r="K406" i="14"/>
  <c r="N406" i="14" s="1"/>
  <c r="K410" i="14"/>
  <c r="N410" i="14" s="1"/>
  <c r="K414" i="14"/>
  <c r="N414" i="14" s="1"/>
  <c r="K418" i="14"/>
  <c r="N418" i="14" s="1"/>
  <c r="K422" i="14"/>
  <c r="N422" i="14" s="1"/>
  <c r="K426" i="14"/>
  <c r="N426" i="14" s="1"/>
  <c r="K430" i="14"/>
  <c r="N430" i="14" s="1"/>
  <c r="K434" i="14"/>
  <c r="N434" i="14" s="1"/>
  <c r="K438" i="14"/>
  <c r="N438" i="14" s="1"/>
  <c r="K442" i="14"/>
  <c r="N442" i="14" s="1"/>
  <c r="K446" i="14"/>
  <c r="N446" i="14" s="1"/>
  <c r="K450" i="14"/>
  <c r="N450" i="14" s="1"/>
  <c r="K454" i="14"/>
  <c r="N454" i="14" s="1"/>
  <c r="K458" i="14"/>
  <c r="N458" i="14" s="1"/>
  <c r="K462" i="14"/>
  <c r="N462" i="14" s="1"/>
  <c r="K465" i="14"/>
  <c r="N465" i="14" s="1"/>
  <c r="J468" i="14"/>
  <c r="K468" i="14" s="1"/>
  <c r="N468" i="14" s="1"/>
  <c r="K470" i="14"/>
  <c r="N470" i="14" s="1"/>
  <c r="K473" i="14"/>
  <c r="N473" i="14" s="1"/>
  <c r="J476" i="14"/>
  <c r="K476" i="14" s="1"/>
  <c r="N476" i="14" s="1"/>
  <c r="K478" i="14"/>
  <c r="N478" i="14" s="1"/>
  <c r="K481" i="14"/>
  <c r="N481" i="14" s="1"/>
  <c r="J484" i="14"/>
  <c r="K484" i="14" s="1"/>
  <c r="N484" i="14" s="1"/>
  <c r="K486" i="14"/>
  <c r="N486" i="14" s="1"/>
  <c r="K489" i="14"/>
  <c r="N489" i="14" s="1"/>
  <c r="J492" i="14"/>
  <c r="K492" i="14" s="1"/>
  <c r="N492" i="14" s="1"/>
  <c r="K355" i="14"/>
  <c r="N355" i="14" s="1"/>
  <c r="K357" i="14"/>
  <c r="N357" i="14" s="1"/>
  <c r="K361" i="14"/>
  <c r="N361" i="14" s="1"/>
  <c r="K449" i="14"/>
  <c r="N449" i="14" s="1"/>
  <c r="K453" i="14"/>
  <c r="N453" i="14" s="1"/>
  <c r="K457" i="14"/>
  <c r="N457" i="14" s="1"/>
  <c r="K461" i="14"/>
  <c r="N461" i="14" s="1"/>
  <c r="J495" i="14"/>
  <c r="K495" i="14" s="1"/>
  <c r="N495" i="14" s="1"/>
  <c r="J237" i="14"/>
  <c r="K237" i="14" s="1"/>
  <c r="N237" i="14" s="1"/>
  <c r="K259" i="14"/>
  <c r="N259" i="14" s="1"/>
  <c r="J280" i="14"/>
  <c r="K280" i="14" s="1"/>
  <c r="N280" i="14" s="1"/>
  <c r="K284" i="14"/>
  <c r="N284" i="14" s="1"/>
  <c r="J290" i="14"/>
  <c r="K290" i="14" s="1"/>
  <c r="N290" i="14" s="1"/>
  <c r="J294" i="14"/>
  <c r="K294" i="14" s="1"/>
  <c r="N294" i="14" s="1"/>
  <c r="J298" i="14"/>
  <c r="K298" i="14" s="1"/>
  <c r="N298" i="14" s="1"/>
  <c r="J302" i="14"/>
  <c r="K302" i="14" s="1"/>
  <c r="N302" i="14" s="1"/>
  <c r="J306" i="14"/>
  <c r="K306" i="14" s="1"/>
  <c r="N306" i="14" s="1"/>
  <c r="J310" i="14"/>
  <c r="K310" i="14" s="1"/>
  <c r="N310" i="14" s="1"/>
  <c r="J314" i="14"/>
  <c r="K314" i="14" s="1"/>
  <c r="N314" i="14" s="1"/>
  <c r="K321" i="14"/>
  <c r="N321" i="14" s="1"/>
  <c r="K330" i="14"/>
  <c r="N330" i="14" s="1"/>
  <c r="J365" i="14"/>
  <c r="K365" i="14" s="1"/>
  <c r="N365" i="14" s="1"/>
  <c r="J369" i="14"/>
  <c r="K369" i="14" s="1"/>
  <c r="N369" i="14" s="1"/>
  <c r="J373" i="14"/>
  <c r="K373" i="14" s="1"/>
  <c r="N373" i="14" s="1"/>
  <c r="J377" i="14"/>
  <c r="K377" i="14" s="1"/>
  <c r="N377" i="14" s="1"/>
  <c r="J381" i="14"/>
  <c r="K381" i="14" s="1"/>
  <c r="N381" i="14" s="1"/>
  <c r="J385" i="14"/>
  <c r="K385" i="14" s="1"/>
  <c r="N385" i="14" s="1"/>
  <c r="J389" i="14"/>
  <c r="K389" i="14" s="1"/>
  <c r="N389" i="14" s="1"/>
  <c r="J393" i="14"/>
  <c r="K393" i="14" s="1"/>
  <c r="N393" i="14" s="1"/>
  <c r="J397" i="14"/>
  <c r="K397" i="14" s="1"/>
  <c r="N397" i="14" s="1"/>
  <c r="J401" i="14"/>
  <c r="K401" i="14" s="1"/>
  <c r="N401" i="14" s="1"/>
  <c r="J405" i="14"/>
  <c r="K405" i="14" s="1"/>
  <c r="N405" i="14" s="1"/>
  <c r="J409" i="14"/>
  <c r="K409" i="14" s="1"/>
  <c r="N409" i="14" s="1"/>
  <c r="J413" i="14"/>
  <c r="K413" i="14" s="1"/>
  <c r="N413" i="14" s="1"/>
  <c r="J417" i="14"/>
  <c r="K417" i="14" s="1"/>
  <c r="N417" i="14" s="1"/>
  <c r="J421" i="14"/>
  <c r="K421" i="14" s="1"/>
  <c r="N421" i="14" s="1"/>
  <c r="J425" i="14"/>
  <c r="K425" i="14" s="1"/>
  <c r="N425" i="14" s="1"/>
  <c r="J429" i="14"/>
  <c r="K429" i="14" s="1"/>
  <c r="N429" i="14" s="1"/>
  <c r="J433" i="14"/>
  <c r="K433" i="14" s="1"/>
  <c r="N433" i="14" s="1"/>
  <c r="J437" i="14"/>
  <c r="K437" i="14" s="1"/>
  <c r="N437" i="14" s="1"/>
  <c r="J441" i="14"/>
  <c r="K441" i="14" s="1"/>
  <c r="N441" i="14" s="1"/>
  <c r="J445" i="14"/>
  <c r="K445" i="14" s="1"/>
  <c r="N445" i="14" s="1"/>
  <c r="J464" i="14"/>
  <c r="K464" i="14" s="1"/>
  <c r="N464" i="14" s="1"/>
  <c r="J472" i="14"/>
  <c r="K472" i="14" s="1"/>
  <c r="N472" i="14" s="1"/>
  <c r="J480" i="14"/>
  <c r="K480" i="14" s="1"/>
  <c r="N480" i="14" s="1"/>
  <c r="J488" i="14"/>
  <c r="K488" i="14" s="1"/>
  <c r="N488" i="14" s="1"/>
  <c r="J493" i="14"/>
  <c r="K493" i="14" s="1"/>
  <c r="N493" i="14" s="1"/>
  <c r="J496" i="14"/>
  <c r="K236" i="14"/>
  <c r="N236" i="14" s="1"/>
  <c r="K260" i="14"/>
  <c r="N260" i="14" s="1"/>
  <c r="K265" i="14"/>
  <c r="N265" i="14" s="1"/>
  <c r="K270" i="14"/>
  <c r="N270" i="14" s="1"/>
  <c r="J271" i="14"/>
  <c r="K271" i="14" s="1"/>
  <c r="N271" i="14" s="1"/>
  <c r="K274" i="14"/>
  <c r="N274" i="14" s="1"/>
  <c r="K278" i="14"/>
  <c r="N278" i="14" s="1"/>
  <c r="K282" i="14"/>
  <c r="N282" i="14" s="1"/>
  <c r="K287" i="14"/>
  <c r="N287" i="14" s="1"/>
  <c r="K292" i="14"/>
  <c r="N292" i="14" s="1"/>
  <c r="J293" i="14"/>
  <c r="K293" i="14" s="1"/>
  <c r="N293" i="14" s="1"/>
  <c r="K296" i="14"/>
  <c r="N296" i="14" s="1"/>
  <c r="J297" i="14"/>
  <c r="K297" i="14" s="1"/>
  <c r="N297" i="14" s="1"/>
  <c r="K300" i="14"/>
  <c r="N300" i="14" s="1"/>
  <c r="J301" i="14"/>
  <c r="K301" i="14" s="1"/>
  <c r="N301" i="14" s="1"/>
  <c r="K304" i="14"/>
  <c r="N304" i="14" s="1"/>
  <c r="J305" i="14"/>
  <c r="K305" i="14" s="1"/>
  <c r="N305" i="14" s="1"/>
  <c r="K308" i="14"/>
  <c r="N308" i="14" s="1"/>
  <c r="J309" i="14"/>
  <c r="K309" i="14" s="1"/>
  <c r="N309" i="14" s="1"/>
  <c r="K312" i="14"/>
  <c r="N312" i="14" s="1"/>
  <c r="J313" i="14"/>
  <c r="K313" i="14" s="1"/>
  <c r="N313" i="14" s="1"/>
  <c r="K316" i="14"/>
  <c r="N316" i="14" s="1"/>
  <c r="J317" i="14"/>
  <c r="K317" i="14" s="1"/>
  <c r="N317" i="14" s="1"/>
  <c r="N319" i="14"/>
  <c r="K319" i="14"/>
  <c r="K324" i="14"/>
  <c r="N324" i="14" s="1"/>
  <c r="N328" i="14"/>
  <c r="K328" i="14"/>
  <c r="K333" i="14"/>
  <c r="N333" i="14" s="1"/>
  <c r="K359" i="14"/>
  <c r="N359" i="14" s="1"/>
  <c r="J360" i="14"/>
  <c r="K360" i="14" s="1"/>
  <c r="N360" i="14" s="1"/>
  <c r="K363" i="14"/>
  <c r="N363" i="14" s="1"/>
  <c r="J364" i="14"/>
  <c r="K364" i="14" s="1"/>
  <c r="N364" i="14" s="1"/>
  <c r="K367" i="14"/>
  <c r="N367" i="14" s="1"/>
  <c r="J368" i="14"/>
  <c r="K368" i="14" s="1"/>
  <c r="N368" i="14" s="1"/>
  <c r="K371" i="14"/>
  <c r="N371" i="14" s="1"/>
  <c r="J372" i="14"/>
  <c r="K372" i="14" s="1"/>
  <c r="N372" i="14" s="1"/>
  <c r="K375" i="14"/>
  <c r="N375" i="14" s="1"/>
  <c r="J376" i="14"/>
  <c r="K376" i="14" s="1"/>
  <c r="N376" i="14" s="1"/>
  <c r="K379" i="14"/>
  <c r="N379" i="14" s="1"/>
  <c r="J380" i="14"/>
  <c r="K380" i="14" s="1"/>
  <c r="N380" i="14" s="1"/>
  <c r="K383" i="14"/>
  <c r="N383" i="14" s="1"/>
  <c r="J384" i="14"/>
  <c r="K384" i="14" s="1"/>
  <c r="N384" i="14" s="1"/>
  <c r="K387" i="14"/>
  <c r="N387" i="14" s="1"/>
  <c r="J388" i="14"/>
  <c r="K388" i="14" s="1"/>
  <c r="N388" i="14" s="1"/>
  <c r="K391" i="14"/>
  <c r="N391" i="14" s="1"/>
  <c r="J392" i="14"/>
  <c r="K392" i="14" s="1"/>
  <c r="N392" i="14" s="1"/>
  <c r="K395" i="14"/>
  <c r="N395" i="14" s="1"/>
  <c r="J396" i="14"/>
  <c r="K396" i="14" s="1"/>
  <c r="N396" i="14" s="1"/>
  <c r="K399" i="14"/>
  <c r="N399" i="14" s="1"/>
  <c r="J400" i="14"/>
  <c r="K400" i="14" s="1"/>
  <c r="N400" i="14" s="1"/>
  <c r="K403" i="14"/>
  <c r="N403" i="14" s="1"/>
  <c r="J404" i="14"/>
  <c r="K404" i="14" s="1"/>
  <c r="N404" i="14" s="1"/>
  <c r="K407" i="14"/>
  <c r="N407" i="14" s="1"/>
  <c r="J408" i="14"/>
  <c r="K408" i="14" s="1"/>
  <c r="N408" i="14" s="1"/>
  <c r="K411" i="14"/>
  <c r="N411" i="14" s="1"/>
  <c r="J412" i="14"/>
  <c r="K412" i="14" s="1"/>
  <c r="N412" i="14" s="1"/>
  <c r="K415" i="14"/>
  <c r="N415" i="14" s="1"/>
  <c r="J416" i="14"/>
  <c r="K416" i="14" s="1"/>
  <c r="N416" i="14" s="1"/>
  <c r="K419" i="14"/>
  <c r="N419" i="14" s="1"/>
  <c r="J420" i="14"/>
  <c r="K420" i="14" s="1"/>
  <c r="N420" i="14" s="1"/>
  <c r="K423" i="14"/>
  <c r="N423" i="14" s="1"/>
  <c r="J424" i="14"/>
  <c r="K424" i="14" s="1"/>
  <c r="N424" i="14" s="1"/>
  <c r="K427" i="14"/>
  <c r="N427" i="14" s="1"/>
  <c r="J428" i="14"/>
  <c r="K428" i="14" s="1"/>
  <c r="N428" i="14" s="1"/>
  <c r="K431" i="14"/>
  <c r="N431" i="14" s="1"/>
  <c r="J432" i="14"/>
  <c r="K432" i="14" s="1"/>
  <c r="N432" i="14" s="1"/>
  <c r="K435" i="14"/>
  <c r="N435" i="14" s="1"/>
  <c r="J436" i="14"/>
  <c r="K436" i="14" s="1"/>
  <c r="N436" i="14" s="1"/>
  <c r="K439" i="14"/>
  <c r="N439" i="14" s="1"/>
  <c r="J440" i="14"/>
  <c r="K440" i="14" s="1"/>
  <c r="N440" i="14" s="1"/>
  <c r="K443" i="14"/>
  <c r="N443" i="14" s="1"/>
  <c r="J444" i="14"/>
  <c r="K444" i="14" s="1"/>
  <c r="N444" i="14" s="1"/>
  <c r="K447" i="14"/>
  <c r="N447" i="14" s="1"/>
  <c r="J448" i="14"/>
  <c r="K448" i="14" s="1"/>
  <c r="N448" i="14" s="1"/>
  <c r="K451" i="14"/>
  <c r="N451" i="14" s="1"/>
  <c r="J452" i="14"/>
  <c r="K452" i="14" s="1"/>
  <c r="N452" i="14" s="1"/>
  <c r="K455" i="14"/>
  <c r="N455" i="14" s="1"/>
  <c r="J456" i="14"/>
  <c r="K456" i="14" s="1"/>
  <c r="N456" i="14" s="1"/>
  <c r="K459" i="14"/>
  <c r="N459" i="14" s="1"/>
  <c r="J460" i="14"/>
  <c r="K460" i="14" s="1"/>
  <c r="N460" i="14" s="1"/>
  <c r="K463" i="14"/>
  <c r="N463" i="14" s="1"/>
  <c r="J466" i="14"/>
  <c r="K466" i="14" s="1"/>
  <c r="N466" i="14" s="1"/>
  <c r="J469" i="14"/>
  <c r="K469" i="14" s="1"/>
  <c r="N469" i="14" s="1"/>
  <c r="J474" i="14"/>
  <c r="K474" i="14" s="1"/>
  <c r="N474" i="14" s="1"/>
  <c r="J477" i="14"/>
  <c r="K477" i="14" s="1"/>
  <c r="N477" i="14" s="1"/>
  <c r="J482" i="14"/>
  <c r="K482" i="14" s="1"/>
  <c r="N482" i="14" s="1"/>
  <c r="J485" i="14"/>
  <c r="K485" i="14" s="1"/>
  <c r="N485" i="14" s="1"/>
  <c r="J490" i="14"/>
  <c r="K490" i="14" s="1"/>
  <c r="N490" i="14" s="1"/>
  <c r="J501" i="14"/>
  <c r="K501" i="14" s="1"/>
  <c r="N501" i="14" s="1"/>
  <c r="J504" i="14"/>
  <c r="N633" i="14"/>
  <c r="K665" i="14"/>
  <c r="K705" i="14"/>
  <c r="N705" i="14" s="1"/>
  <c r="K710" i="14"/>
  <c r="N710" i="14" s="1"/>
  <c r="K713" i="14"/>
  <c r="K718" i="14"/>
  <c r="N718" i="14" s="1"/>
  <c r="J722" i="14"/>
  <c r="K722" i="14" s="1"/>
  <c r="N722" i="14" s="1"/>
  <c r="J733" i="14"/>
  <c r="J738" i="14"/>
  <c r="K738" i="14" s="1"/>
  <c r="N738" i="14" s="1"/>
  <c r="K749" i="14"/>
  <c r="J749" i="14"/>
  <c r="J754" i="14"/>
  <c r="J758" i="14"/>
  <c r="J762" i="14"/>
  <c r="J766" i="14"/>
  <c r="J770" i="14"/>
  <c r="J774" i="14"/>
  <c r="J778" i="14"/>
  <c r="J509" i="14"/>
  <c r="K509" i="14" s="1"/>
  <c r="N509" i="14" s="1"/>
  <c r="J512" i="14"/>
  <c r="J517" i="14"/>
  <c r="K517" i="14" s="1"/>
  <c r="N517" i="14" s="1"/>
  <c r="J520" i="14"/>
  <c r="J525" i="14"/>
  <c r="K525" i="14" s="1"/>
  <c r="N525" i="14" s="1"/>
  <c r="J528" i="14"/>
  <c r="J533" i="14"/>
  <c r="K533" i="14" s="1"/>
  <c r="N533" i="14" s="1"/>
  <c r="J536" i="14"/>
  <c r="J541" i="14"/>
  <c r="K541" i="14" s="1"/>
  <c r="N541" i="14" s="1"/>
  <c r="J544" i="14"/>
  <c r="J549" i="14"/>
  <c r="K549" i="14" s="1"/>
  <c r="N549" i="14" s="1"/>
  <c r="J552" i="14"/>
  <c r="J557" i="14"/>
  <c r="K557" i="14" s="1"/>
  <c r="N557" i="14" s="1"/>
  <c r="J560" i="14"/>
  <c r="J665" i="14"/>
  <c r="J670" i="14"/>
  <c r="K670" i="14" s="1"/>
  <c r="N670" i="14" s="1"/>
  <c r="J673" i="14"/>
  <c r="K673" i="14" s="1"/>
  <c r="J678" i="14"/>
  <c r="K678" i="14" s="1"/>
  <c r="N678" i="14" s="1"/>
  <c r="J681" i="14"/>
  <c r="K681" i="14" s="1"/>
  <c r="J686" i="14"/>
  <c r="K686" i="14" s="1"/>
  <c r="N686" i="14" s="1"/>
  <c r="J689" i="14"/>
  <c r="J694" i="14"/>
  <c r="K694" i="14" s="1"/>
  <c r="N694" i="14" s="1"/>
  <c r="J697" i="14"/>
  <c r="K697" i="14" s="1"/>
  <c r="J702" i="14"/>
  <c r="K702" i="14" s="1"/>
  <c r="N702" i="14" s="1"/>
  <c r="K707" i="14"/>
  <c r="N707" i="14" s="1"/>
  <c r="K712" i="14"/>
  <c r="N712" i="14" s="1"/>
  <c r="N713" i="14"/>
  <c r="K715" i="14"/>
  <c r="N715" i="14" s="1"/>
  <c r="J729" i="14"/>
  <c r="J734" i="14"/>
  <c r="K734" i="14" s="1"/>
  <c r="N734" i="14" s="1"/>
  <c r="J745" i="14"/>
  <c r="J750" i="14"/>
  <c r="K750" i="14" s="1"/>
  <c r="N750" i="14" s="1"/>
  <c r="J755" i="14"/>
  <c r="K755" i="14" s="1"/>
  <c r="J759" i="14"/>
  <c r="K763" i="14"/>
  <c r="J763" i="14"/>
  <c r="J767" i="14"/>
  <c r="J771" i="14"/>
  <c r="K771" i="14" s="1"/>
  <c r="J775" i="14"/>
  <c r="J779" i="14"/>
  <c r="K779" i="14" s="1"/>
  <c r="K467" i="14"/>
  <c r="N467" i="14" s="1"/>
  <c r="K471" i="14"/>
  <c r="N471" i="14" s="1"/>
  <c r="K475" i="14"/>
  <c r="N475" i="14" s="1"/>
  <c r="K479" i="14"/>
  <c r="N479" i="14" s="1"/>
  <c r="K483" i="14"/>
  <c r="N483" i="14" s="1"/>
  <c r="K487" i="14"/>
  <c r="N487" i="14" s="1"/>
  <c r="K491" i="14"/>
  <c r="N491" i="14" s="1"/>
  <c r="K497" i="14"/>
  <c r="N497" i="14" s="1"/>
  <c r="J498" i="14"/>
  <c r="K500" i="14"/>
  <c r="J503" i="14"/>
  <c r="K503" i="14" s="1"/>
  <c r="N503" i="14" s="1"/>
  <c r="K505" i="14"/>
  <c r="N505" i="14" s="1"/>
  <c r="J506" i="14"/>
  <c r="K508" i="14"/>
  <c r="N508" i="14" s="1"/>
  <c r="J511" i="14"/>
  <c r="K511" i="14" s="1"/>
  <c r="N511" i="14" s="1"/>
  <c r="K513" i="14"/>
  <c r="N513" i="14" s="1"/>
  <c r="J514" i="14"/>
  <c r="K516" i="14"/>
  <c r="N516" i="14" s="1"/>
  <c r="J519" i="14"/>
  <c r="K519" i="14" s="1"/>
  <c r="N519" i="14" s="1"/>
  <c r="K521" i="14"/>
  <c r="N521" i="14" s="1"/>
  <c r="J522" i="14"/>
  <c r="K524" i="14"/>
  <c r="N524" i="14" s="1"/>
  <c r="J527" i="14"/>
  <c r="K527" i="14" s="1"/>
  <c r="N527" i="14" s="1"/>
  <c r="K529" i="14"/>
  <c r="N529" i="14" s="1"/>
  <c r="J530" i="14"/>
  <c r="K532" i="14"/>
  <c r="J535" i="14"/>
  <c r="K535" i="14" s="1"/>
  <c r="N535" i="14" s="1"/>
  <c r="K537" i="14"/>
  <c r="N537" i="14" s="1"/>
  <c r="J538" i="14"/>
  <c r="K540" i="14"/>
  <c r="N540" i="14" s="1"/>
  <c r="J543" i="14"/>
  <c r="K543" i="14" s="1"/>
  <c r="N543" i="14" s="1"/>
  <c r="K545" i="14"/>
  <c r="N545" i="14" s="1"/>
  <c r="J546" i="14"/>
  <c r="K548" i="14"/>
  <c r="N548" i="14" s="1"/>
  <c r="J551" i="14"/>
  <c r="K551" i="14" s="1"/>
  <c r="N551" i="14" s="1"/>
  <c r="K553" i="14"/>
  <c r="N553" i="14" s="1"/>
  <c r="J554" i="14"/>
  <c r="K556" i="14"/>
  <c r="N556" i="14" s="1"/>
  <c r="J559" i="14"/>
  <c r="K559" i="14" s="1"/>
  <c r="N559" i="14" s="1"/>
  <c r="K561" i="14"/>
  <c r="N561" i="14" s="1"/>
  <c r="J562" i="14"/>
  <c r="J564" i="14"/>
  <c r="K564" i="14" s="1"/>
  <c r="J566" i="14"/>
  <c r="K566" i="14" s="1"/>
  <c r="J568" i="14"/>
  <c r="K568" i="14" s="1"/>
  <c r="J570" i="14"/>
  <c r="J572" i="14"/>
  <c r="K572" i="14" s="1"/>
  <c r="J574" i="14"/>
  <c r="K574" i="14" s="1"/>
  <c r="J576" i="14"/>
  <c r="K576" i="14" s="1"/>
  <c r="J578" i="14"/>
  <c r="J580" i="14"/>
  <c r="K580" i="14" s="1"/>
  <c r="J582" i="14"/>
  <c r="K582" i="14" s="1"/>
  <c r="J584" i="14"/>
  <c r="K584" i="14" s="1"/>
  <c r="J586" i="14"/>
  <c r="J588" i="14"/>
  <c r="K588" i="14" s="1"/>
  <c r="J590" i="14"/>
  <c r="K590" i="14" s="1"/>
  <c r="J592" i="14"/>
  <c r="K592" i="14" s="1"/>
  <c r="J594" i="14"/>
  <c r="J596" i="14"/>
  <c r="K596" i="14" s="1"/>
  <c r="J598" i="14"/>
  <c r="K598" i="14" s="1"/>
  <c r="J600" i="14"/>
  <c r="K600" i="14" s="1"/>
  <c r="J602" i="14"/>
  <c r="J604" i="14"/>
  <c r="K604" i="14" s="1"/>
  <c r="J606" i="14"/>
  <c r="K606" i="14" s="1"/>
  <c r="J608" i="14"/>
  <c r="K608" i="14" s="1"/>
  <c r="J610" i="14"/>
  <c r="J612" i="14"/>
  <c r="K612" i="14" s="1"/>
  <c r="J614" i="14"/>
  <c r="K614" i="14" s="1"/>
  <c r="J616" i="14"/>
  <c r="K616" i="14" s="1"/>
  <c r="J618" i="14"/>
  <c r="J620" i="14"/>
  <c r="K620" i="14" s="1"/>
  <c r="J622" i="14"/>
  <c r="K622" i="14" s="1"/>
  <c r="J624" i="14"/>
  <c r="K624" i="14" s="1"/>
  <c r="J626" i="14"/>
  <c r="J628" i="14"/>
  <c r="K628" i="14" s="1"/>
  <c r="J630" i="14"/>
  <c r="K630" i="14" s="1"/>
  <c r="J632" i="14"/>
  <c r="K632" i="14" s="1"/>
  <c r="J634" i="14"/>
  <c r="J636" i="14"/>
  <c r="K636" i="14" s="1"/>
  <c r="J638" i="14"/>
  <c r="K638" i="14" s="1"/>
  <c r="J640" i="14"/>
  <c r="K640" i="14" s="1"/>
  <c r="J642" i="14"/>
  <c r="J644" i="14"/>
  <c r="K644" i="14" s="1"/>
  <c r="J646" i="14"/>
  <c r="K646" i="14" s="1"/>
  <c r="J648" i="14"/>
  <c r="K648" i="14" s="1"/>
  <c r="J650" i="14"/>
  <c r="J652" i="14"/>
  <c r="K652" i="14" s="1"/>
  <c r="J654" i="14"/>
  <c r="K654" i="14" s="1"/>
  <c r="J656" i="14"/>
  <c r="K656" i="14" s="1"/>
  <c r="J658" i="14"/>
  <c r="J660" i="14"/>
  <c r="K660" i="14" s="1"/>
  <c r="J662" i="14"/>
  <c r="K662" i="14" s="1"/>
  <c r="J664" i="14"/>
  <c r="K664" i="14" s="1"/>
  <c r="N664" i="14" s="1"/>
  <c r="J667" i="14"/>
  <c r="K667" i="14" s="1"/>
  <c r="J672" i="14"/>
  <c r="K672" i="14" s="1"/>
  <c r="N672" i="14" s="1"/>
  <c r="J675" i="14"/>
  <c r="K675" i="14" s="1"/>
  <c r="J680" i="14"/>
  <c r="K680" i="14" s="1"/>
  <c r="N680" i="14" s="1"/>
  <c r="J683" i="14"/>
  <c r="K683" i="14" s="1"/>
  <c r="J688" i="14"/>
  <c r="K688" i="14" s="1"/>
  <c r="N688" i="14" s="1"/>
  <c r="J691" i="14"/>
  <c r="K691" i="14" s="1"/>
  <c r="J696" i="14"/>
  <c r="K696" i="14" s="1"/>
  <c r="N696" i="14" s="1"/>
  <c r="K698" i="14"/>
  <c r="N698" i="14" s="1"/>
  <c r="J699" i="14"/>
  <c r="K699" i="14" s="1"/>
  <c r="J704" i="14"/>
  <c r="K704" i="14" s="1"/>
  <c r="N704" i="14" s="1"/>
  <c r="J725" i="14"/>
  <c r="J730" i="14"/>
  <c r="K730" i="14" s="1"/>
  <c r="N730" i="14" s="1"/>
  <c r="J741" i="14"/>
  <c r="J746" i="14"/>
  <c r="K746" i="14" s="1"/>
  <c r="N746" i="14" s="1"/>
  <c r="K756" i="14"/>
  <c r="J756" i="14"/>
  <c r="J760" i="14"/>
  <c r="J764" i="14"/>
  <c r="K764" i="14" s="1"/>
  <c r="J768" i="14"/>
  <c r="J772" i="14"/>
  <c r="K772" i="14" s="1"/>
  <c r="J776" i="14"/>
  <c r="K780" i="14"/>
  <c r="J780" i="14"/>
  <c r="K494" i="14"/>
  <c r="N494" i="14" s="1"/>
  <c r="K499" i="14"/>
  <c r="N499" i="14" s="1"/>
  <c r="N500" i="14"/>
  <c r="K502" i="14"/>
  <c r="N502" i="14" s="1"/>
  <c r="K507" i="14"/>
  <c r="N507" i="14" s="1"/>
  <c r="K510" i="14"/>
  <c r="N510" i="14" s="1"/>
  <c r="K515" i="14"/>
  <c r="N515" i="14" s="1"/>
  <c r="K518" i="14"/>
  <c r="N518" i="14" s="1"/>
  <c r="K523" i="14"/>
  <c r="N523" i="14" s="1"/>
  <c r="K526" i="14"/>
  <c r="N526" i="14" s="1"/>
  <c r="K531" i="14"/>
  <c r="N531" i="14" s="1"/>
  <c r="N532" i="14"/>
  <c r="K534" i="14"/>
  <c r="N534" i="14" s="1"/>
  <c r="K539" i="14"/>
  <c r="N539" i="14" s="1"/>
  <c r="K542" i="14"/>
  <c r="N542" i="14" s="1"/>
  <c r="K547" i="14"/>
  <c r="N547" i="14" s="1"/>
  <c r="K550" i="14"/>
  <c r="N550" i="14" s="1"/>
  <c r="K555" i="14"/>
  <c r="N555" i="14" s="1"/>
  <c r="K558" i="14"/>
  <c r="N558" i="14" s="1"/>
  <c r="K563" i="14"/>
  <c r="N563" i="14" s="1"/>
  <c r="K565" i="14"/>
  <c r="N565" i="14" s="1"/>
  <c r="K567" i="14"/>
  <c r="N567" i="14" s="1"/>
  <c r="K569" i="14"/>
  <c r="N569" i="14" s="1"/>
  <c r="K571" i="14"/>
  <c r="N571" i="14" s="1"/>
  <c r="K573" i="14"/>
  <c r="N573" i="14" s="1"/>
  <c r="K575" i="14"/>
  <c r="N575" i="14" s="1"/>
  <c r="K577" i="14"/>
  <c r="N577" i="14" s="1"/>
  <c r="K579" i="14"/>
  <c r="N579" i="14" s="1"/>
  <c r="K581" i="14"/>
  <c r="N581" i="14" s="1"/>
  <c r="K583" i="14"/>
  <c r="N583" i="14" s="1"/>
  <c r="K585" i="14"/>
  <c r="N585" i="14" s="1"/>
  <c r="K587" i="14"/>
  <c r="N587" i="14" s="1"/>
  <c r="K589" i="14"/>
  <c r="N589" i="14" s="1"/>
  <c r="K591" i="14"/>
  <c r="N591" i="14" s="1"/>
  <c r="K593" i="14"/>
  <c r="N593" i="14" s="1"/>
  <c r="K595" i="14"/>
  <c r="N595" i="14" s="1"/>
  <c r="K597" i="14"/>
  <c r="N597" i="14" s="1"/>
  <c r="K599" i="14"/>
  <c r="N599" i="14" s="1"/>
  <c r="K601" i="14"/>
  <c r="N601" i="14" s="1"/>
  <c r="K603" i="14"/>
  <c r="N603" i="14" s="1"/>
  <c r="K605" i="14"/>
  <c r="N605" i="14" s="1"/>
  <c r="K607" i="14"/>
  <c r="N607" i="14" s="1"/>
  <c r="K609" i="14"/>
  <c r="N609" i="14" s="1"/>
  <c r="K611" i="14"/>
  <c r="N611" i="14" s="1"/>
  <c r="K613" i="14"/>
  <c r="N613" i="14" s="1"/>
  <c r="K615" i="14"/>
  <c r="N615" i="14" s="1"/>
  <c r="K617" i="14"/>
  <c r="N617" i="14" s="1"/>
  <c r="K619" i="14"/>
  <c r="N619" i="14" s="1"/>
  <c r="K621" i="14"/>
  <c r="N621" i="14" s="1"/>
  <c r="K623" i="14"/>
  <c r="N623" i="14" s="1"/>
  <c r="K625" i="14"/>
  <c r="N625" i="14" s="1"/>
  <c r="K627" i="14"/>
  <c r="N627" i="14" s="1"/>
  <c r="K629" i="14"/>
  <c r="N629" i="14" s="1"/>
  <c r="K631" i="14"/>
  <c r="N631" i="14" s="1"/>
  <c r="K633" i="14"/>
  <c r="K635" i="14"/>
  <c r="N635" i="14" s="1"/>
  <c r="K637" i="14"/>
  <c r="N637" i="14" s="1"/>
  <c r="K639" i="14"/>
  <c r="N639" i="14" s="1"/>
  <c r="K641" i="14"/>
  <c r="N641" i="14" s="1"/>
  <c r="K643" i="14"/>
  <c r="N643" i="14" s="1"/>
  <c r="K645" i="14"/>
  <c r="N645" i="14" s="1"/>
  <c r="K647" i="14"/>
  <c r="N647" i="14" s="1"/>
  <c r="K649" i="14"/>
  <c r="N649" i="14" s="1"/>
  <c r="K651" i="14"/>
  <c r="N651" i="14" s="1"/>
  <c r="K653" i="14"/>
  <c r="N653" i="14" s="1"/>
  <c r="K655" i="14"/>
  <c r="N655" i="14" s="1"/>
  <c r="K657" i="14"/>
  <c r="N657" i="14" s="1"/>
  <c r="K659" i="14"/>
  <c r="N659" i="14" s="1"/>
  <c r="K661" i="14"/>
  <c r="N661" i="14" s="1"/>
  <c r="K663" i="14"/>
  <c r="N663" i="14" s="1"/>
  <c r="J666" i="14"/>
  <c r="K666" i="14" s="1"/>
  <c r="N666" i="14" s="1"/>
  <c r="K668" i="14"/>
  <c r="N668" i="14" s="1"/>
  <c r="J669" i="14"/>
  <c r="K669" i="14" s="1"/>
  <c r="K671" i="14"/>
  <c r="N671" i="14" s="1"/>
  <c r="J674" i="14"/>
  <c r="K674" i="14" s="1"/>
  <c r="N674" i="14" s="1"/>
  <c r="K676" i="14"/>
  <c r="N676" i="14" s="1"/>
  <c r="J677" i="14"/>
  <c r="K677" i="14" s="1"/>
  <c r="K679" i="14"/>
  <c r="N679" i="14" s="1"/>
  <c r="J682" i="14"/>
  <c r="K682" i="14" s="1"/>
  <c r="N682" i="14" s="1"/>
  <c r="K684" i="14"/>
  <c r="N684" i="14" s="1"/>
  <c r="J685" i="14"/>
  <c r="K685" i="14" s="1"/>
  <c r="K687" i="14"/>
  <c r="N687" i="14" s="1"/>
  <c r="J690" i="14"/>
  <c r="K690" i="14" s="1"/>
  <c r="N690" i="14" s="1"/>
  <c r="K692" i="14"/>
  <c r="N692" i="14" s="1"/>
  <c r="J693" i="14"/>
  <c r="K693" i="14" s="1"/>
  <c r="K695" i="14"/>
  <c r="N695" i="14" s="1"/>
  <c r="J698" i="14"/>
  <c r="K700" i="14"/>
  <c r="N700" i="14" s="1"/>
  <c r="J701" i="14"/>
  <c r="K701" i="14" s="1"/>
  <c r="K703" i="14"/>
  <c r="N703" i="14" s="1"/>
  <c r="J706" i="14"/>
  <c r="K706" i="14" s="1"/>
  <c r="N706" i="14" s="1"/>
  <c r="K708" i="14"/>
  <c r="N708" i="14" s="1"/>
  <c r="J709" i="14"/>
  <c r="K709" i="14" s="1"/>
  <c r="K711" i="14"/>
  <c r="N711" i="14" s="1"/>
  <c r="J714" i="14"/>
  <c r="K714" i="14" s="1"/>
  <c r="N714" i="14" s="1"/>
  <c r="K716" i="14"/>
  <c r="N716" i="14" s="1"/>
  <c r="J717" i="14"/>
  <c r="K719" i="14"/>
  <c r="N719" i="14" s="1"/>
  <c r="J721" i="14"/>
  <c r="K721" i="14" s="1"/>
  <c r="J726" i="14"/>
  <c r="K726" i="14" s="1"/>
  <c r="N726" i="14" s="1"/>
  <c r="K737" i="14"/>
  <c r="J737" i="14"/>
  <c r="J742" i="14"/>
  <c r="K742" i="14" s="1"/>
  <c r="N742" i="14" s="1"/>
  <c r="J753" i="14"/>
  <c r="K753" i="14" s="1"/>
  <c r="J757" i="14"/>
  <c r="K761" i="14"/>
  <c r="J761" i="14"/>
  <c r="J765" i="14"/>
  <c r="J769" i="14"/>
  <c r="K769" i="14" s="1"/>
  <c r="J773" i="14"/>
  <c r="J777" i="14"/>
  <c r="K777" i="14" s="1"/>
  <c r="K724" i="14"/>
  <c r="N724" i="14" s="1"/>
  <c r="K727" i="14"/>
  <c r="N727" i="14" s="1"/>
  <c r="K732" i="14"/>
  <c r="N732" i="14" s="1"/>
  <c r="K735" i="14"/>
  <c r="N735" i="14" s="1"/>
  <c r="K740" i="14"/>
  <c r="N740" i="14" s="1"/>
  <c r="K743" i="14"/>
  <c r="N743" i="14" s="1"/>
  <c r="K748" i="14"/>
  <c r="N748" i="14" s="1"/>
  <c r="K751" i="14"/>
  <c r="N751" i="14" s="1"/>
  <c r="K828" i="14"/>
  <c r="N828" i="14" s="1"/>
  <c r="K830" i="14"/>
  <c r="N830" i="14" s="1"/>
  <c r="K833" i="14"/>
  <c r="K838" i="14"/>
  <c r="N838" i="14" s="1"/>
  <c r="K841" i="14"/>
  <c r="N841" i="14" s="1"/>
  <c r="K846" i="14"/>
  <c r="N846" i="14" s="1"/>
  <c r="K849" i="14"/>
  <c r="K854" i="14"/>
  <c r="N854" i="14" s="1"/>
  <c r="K857" i="14"/>
  <c r="N857" i="14" s="1"/>
  <c r="K862" i="14"/>
  <c r="N862" i="14" s="1"/>
  <c r="K865" i="14"/>
  <c r="K870" i="14"/>
  <c r="N870" i="14" s="1"/>
  <c r="K873" i="14"/>
  <c r="N873" i="14" s="1"/>
  <c r="J887" i="14"/>
  <c r="K887" i="14" s="1"/>
  <c r="N887" i="14" s="1"/>
  <c r="J892" i="14"/>
  <c r="K892" i="14" s="1"/>
  <c r="N892" i="14" s="1"/>
  <c r="J895" i="14"/>
  <c r="K895" i="14" s="1"/>
  <c r="N895" i="14" s="1"/>
  <c r="J900" i="14"/>
  <c r="K900" i="14" s="1"/>
  <c r="N900" i="14" s="1"/>
  <c r="J903" i="14"/>
  <c r="K903" i="14" s="1"/>
  <c r="N903" i="14" s="1"/>
  <c r="K909" i="14"/>
  <c r="N909" i="14" s="1"/>
  <c r="J912" i="14"/>
  <c r="K912" i="14" s="1"/>
  <c r="N912" i="14" s="1"/>
  <c r="J915" i="14"/>
  <c r="K915" i="14" s="1"/>
  <c r="N915" i="14" s="1"/>
  <c r="K925" i="14"/>
  <c r="N925" i="14" s="1"/>
  <c r="K928" i="14"/>
  <c r="N928" i="14" s="1"/>
  <c r="J935" i="14"/>
  <c r="K935" i="14" s="1"/>
  <c r="N935" i="14" s="1"/>
  <c r="K807" i="14"/>
  <c r="N833" i="14"/>
  <c r="N849" i="14"/>
  <c r="K864" i="14"/>
  <c r="N864" i="14" s="1"/>
  <c r="N865" i="14"/>
  <c r="J885" i="14"/>
  <c r="K885" i="14" s="1"/>
  <c r="N885" i="14" s="1"/>
  <c r="J890" i="14"/>
  <c r="K890" i="14" s="1"/>
  <c r="N890" i="14" s="1"/>
  <c r="J893" i="14"/>
  <c r="K893" i="14" s="1"/>
  <c r="N893" i="14" s="1"/>
  <c r="J898" i="14"/>
  <c r="K898" i="14" s="1"/>
  <c r="N898" i="14" s="1"/>
  <c r="J901" i="14"/>
  <c r="K901" i="14"/>
  <c r="N901" i="14" s="1"/>
  <c r="K720" i="14"/>
  <c r="N720" i="14" s="1"/>
  <c r="K723" i="14"/>
  <c r="N723" i="14" s="1"/>
  <c r="K728" i="14"/>
  <c r="N728" i="14" s="1"/>
  <c r="K731" i="14"/>
  <c r="N731" i="14" s="1"/>
  <c r="K736" i="14"/>
  <c r="N736" i="14" s="1"/>
  <c r="K739" i="14"/>
  <c r="N739" i="14" s="1"/>
  <c r="K744" i="14"/>
  <c r="N744" i="14" s="1"/>
  <c r="K747" i="14"/>
  <c r="N747" i="14" s="1"/>
  <c r="K752" i="14"/>
  <c r="N752" i="14" s="1"/>
  <c r="J781" i="14"/>
  <c r="J783" i="14"/>
  <c r="K783" i="14" s="1"/>
  <c r="J785" i="14"/>
  <c r="J787" i="14"/>
  <c r="J789" i="14"/>
  <c r="J791" i="14"/>
  <c r="K791" i="14" s="1"/>
  <c r="J793" i="14"/>
  <c r="J795" i="14"/>
  <c r="J797" i="14"/>
  <c r="K797" i="14" s="1"/>
  <c r="J799" i="14"/>
  <c r="K799" i="14" s="1"/>
  <c r="J801" i="14"/>
  <c r="J803" i="14"/>
  <c r="J805" i="14"/>
  <c r="J807" i="14"/>
  <c r="J809" i="14"/>
  <c r="J811" i="14"/>
  <c r="J813" i="14"/>
  <c r="K813" i="14" s="1"/>
  <c r="J815" i="14"/>
  <c r="K815" i="14" s="1"/>
  <c r="J817" i="14"/>
  <c r="J819" i="14"/>
  <c r="J821" i="14"/>
  <c r="J823" i="14"/>
  <c r="K823" i="14" s="1"/>
  <c r="J825" i="14"/>
  <c r="K827" i="14"/>
  <c r="N827" i="14" s="1"/>
  <c r="K829" i="14"/>
  <c r="N829" i="14" s="1"/>
  <c r="J832" i="14"/>
  <c r="K832" i="14" s="1"/>
  <c r="N832" i="14" s="1"/>
  <c r="K834" i="14"/>
  <c r="N834" i="14" s="1"/>
  <c r="J835" i="14"/>
  <c r="K837" i="14"/>
  <c r="N837" i="14" s="1"/>
  <c r="J840" i="14"/>
  <c r="K840" i="14" s="1"/>
  <c r="N840" i="14" s="1"/>
  <c r="K842" i="14"/>
  <c r="N842" i="14" s="1"/>
  <c r="J843" i="14"/>
  <c r="K845" i="14"/>
  <c r="N845" i="14" s="1"/>
  <c r="J848" i="14"/>
  <c r="K848" i="14" s="1"/>
  <c r="N848" i="14" s="1"/>
  <c r="K850" i="14"/>
  <c r="N850" i="14" s="1"/>
  <c r="J851" i="14"/>
  <c r="K853" i="14"/>
  <c r="N853" i="14" s="1"/>
  <c r="J856" i="14"/>
  <c r="K856" i="14" s="1"/>
  <c r="N856" i="14" s="1"/>
  <c r="K858" i="14"/>
  <c r="N858" i="14" s="1"/>
  <c r="J859" i="14"/>
  <c r="K861" i="14"/>
  <c r="N861" i="14" s="1"/>
  <c r="J864" i="14"/>
  <c r="K866" i="14"/>
  <c r="N866" i="14" s="1"/>
  <c r="J867" i="14"/>
  <c r="K869" i="14"/>
  <c r="N869" i="14" s="1"/>
  <c r="J872" i="14"/>
  <c r="K872" i="14" s="1"/>
  <c r="N872" i="14" s="1"/>
  <c r="K874" i="14"/>
  <c r="N874" i="14" s="1"/>
  <c r="J875" i="14"/>
  <c r="K875" i="14" s="1"/>
  <c r="J877" i="14"/>
  <c r="J879" i="14"/>
  <c r="K879" i="14" s="1"/>
  <c r="J881" i="14"/>
  <c r="K881" i="14" s="1"/>
  <c r="J883" i="14"/>
  <c r="J888" i="14"/>
  <c r="K888" i="14" s="1"/>
  <c r="N888" i="14" s="1"/>
  <c r="J891" i="14"/>
  <c r="K891" i="14" s="1"/>
  <c r="N891" i="14" s="1"/>
  <c r="J896" i="14"/>
  <c r="K896" i="14" s="1"/>
  <c r="N896" i="14" s="1"/>
  <c r="J899" i="14"/>
  <c r="K899" i="14" s="1"/>
  <c r="N899" i="14" s="1"/>
  <c r="J904" i="14"/>
  <c r="K904" i="14" s="1"/>
  <c r="N904" i="14" s="1"/>
  <c r="J907" i="14"/>
  <c r="K907" i="14" s="1"/>
  <c r="N907" i="14" s="1"/>
  <c r="J913" i="14"/>
  <c r="K913" i="14" s="1"/>
  <c r="N913" i="14" s="1"/>
  <c r="K917" i="14"/>
  <c r="J920" i="14"/>
  <c r="K920" i="14" s="1"/>
  <c r="N920" i="14" s="1"/>
  <c r="J923" i="14"/>
  <c r="K923" i="14" s="1"/>
  <c r="N923" i="14" s="1"/>
  <c r="K929" i="14"/>
  <c r="N929" i="14" s="1"/>
  <c r="J931" i="14"/>
  <c r="K931" i="14" s="1"/>
  <c r="N931" i="14" s="1"/>
  <c r="J933" i="14"/>
  <c r="K933" i="14" s="1"/>
  <c r="N933" i="14" s="1"/>
  <c r="J936" i="14"/>
  <c r="K936" i="14" s="1"/>
  <c r="N936" i="14" s="1"/>
  <c r="J941" i="14"/>
  <c r="K941" i="14" s="1"/>
  <c r="N941" i="14" s="1"/>
  <c r="J944" i="14"/>
  <c r="K944" i="14" s="1"/>
  <c r="J949" i="14"/>
  <c r="K949" i="14" s="1"/>
  <c r="N949" i="14" s="1"/>
  <c r="J952" i="14"/>
  <c r="K952" i="14" s="1"/>
  <c r="N952" i="14" s="1"/>
  <c r="J957" i="14"/>
  <c r="K957" i="14" s="1"/>
  <c r="J960" i="14"/>
  <c r="K960" i="14" s="1"/>
  <c r="N960" i="14" s="1"/>
  <c r="J965" i="14"/>
  <c r="K965" i="14" s="1"/>
  <c r="N965" i="14" s="1"/>
  <c r="J968" i="14"/>
  <c r="K968" i="14" s="1"/>
  <c r="N968" i="14" s="1"/>
  <c r="J973" i="14"/>
  <c r="K973" i="14" s="1"/>
  <c r="N973" i="14" s="1"/>
  <c r="J976" i="14"/>
  <c r="K976" i="14" s="1"/>
  <c r="J981" i="14"/>
  <c r="K981" i="14" s="1"/>
  <c r="N981" i="14" s="1"/>
  <c r="J984" i="14"/>
  <c r="K984" i="14" s="1"/>
  <c r="N984" i="14" s="1"/>
  <c r="J989" i="14"/>
  <c r="K989" i="14" s="1"/>
  <c r="K782" i="14"/>
  <c r="N782" i="14" s="1"/>
  <c r="K784" i="14"/>
  <c r="N784" i="14" s="1"/>
  <c r="K786" i="14"/>
  <c r="N786" i="14" s="1"/>
  <c r="K788" i="14"/>
  <c r="N788" i="14" s="1"/>
  <c r="K790" i="14"/>
  <c r="N790" i="14" s="1"/>
  <c r="K792" i="14"/>
  <c r="N792" i="14" s="1"/>
  <c r="K794" i="14"/>
  <c r="N794" i="14" s="1"/>
  <c r="K796" i="14"/>
  <c r="N796" i="14" s="1"/>
  <c r="K798" i="14"/>
  <c r="N798" i="14" s="1"/>
  <c r="K800" i="14"/>
  <c r="N800" i="14" s="1"/>
  <c r="K802" i="14"/>
  <c r="N802" i="14" s="1"/>
  <c r="K804" i="14"/>
  <c r="N804" i="14" s="1"/>
  <c r="K806" i="14"/>
  <c r="N806" i="14" s="1"/>
  <c r="K808" i="14"/>
  <c r="N808" i="14" s="1"/>
  <c r="K810" i="14"/>
  <c r="N810" i="14" s="1"/>
  <c r="K812" i="14"/>
  <c r="N812" i="14" s="1"/>
  <c r="K814" i="14"/>
  <c r="N814" i="14" s="1"/>
  <c r="K816" i="14"/>
  <c r="N816" i="14" s="1"/>
  <c r="K818" i="14"/>
  <c r="N818" i="14" s="1"/>
  <c r="K820" i="14"/>
  <c r="N820" i="14" s="1"/>
  <c r="K822" i="14"/>
  <c r="N822" i="14" s="1"/>
  <c r="K824" i="14"/>
  <c r="N824" i="14" s="1"/>
  <c r="K826" i="14"/>
  <c r="N826" i="14" s="1"/>
  <c r="K831" i="14"/>
  <c r="N831" i="14" s="1"/>
  <c r="K836" i="14"/>
  <c r="N836" i="14" s="1"/>
  <c r="K839" i="14"/>
  <c r="N839" i="14" s="1"/>
  <c r="K844" i="14"/>
  <c r="N844" i="14" s="1"/>
  <c r="K847" i="14"/>
  <c r="N847" i="14" s="1"/>
  <c r="K852" i="14"/>
  <c r="N852" i="14" s="1"/>
  <c r="K855" i="14"/>
  <c r="N855" i="14" s="1"/>
  <c r="K860" i="14"/>
  <c r="N860" i="14" s="1"/>
  <c r="K863" i="14"/>
  <c r="N863" i="14" s="1"/>
  <c r="K868" i="14"/>
  <c r="N868" i="14" s="1"/>
  <c r="K871" i="14"/>
  <c r="N871" i="14" s="1"/>
  <c r="K876" i="14"/>
  <c r="N876" i="14" s="1"/>
  <c r="K878" i="14"/>
  <c r="N878" i="14" s="1"/>
  <c r="K880" i="14"/>
  <c r="N880" i="14" s="1"/>
  <c r="K882" i="14"/>
  <c r="N882" i="14" s="1"/>
  <c r="K884" i="14"/>
  <c r="N884" i="14" s="1"/>
  <c r="J886" i="14"/>
  <c r="K886" i="14" s="1"/>
  <c r="N886" i="14" s="1"/>
  <c r="J889" i="14"/>
  <c r="K889" i="14" s="1"/>
  <c r="N889" i="14" s="1"/>
  <c r="J894" i="14"/>
  <c r="K894" i="14" s="1"/>
  <c r="N894" i="14" s="1"/>
  <c r="J897" i="14"/>
  <c r="K897" i="14" s="1"/>
  <c r="N897" i="14" s="1"/>
  <c r="J902" i="14"/>
  <c r="K902" i="14" s="1"/>
  <c r="N902" i="14" s="1"/>
  <c r="J905" i="14"/>
  <c r="K905" i="14" s="1"/>
  <c r="N905" i="14" s="1"/>
  <c r="K921" i="14"/>
  <c r="K927" i="14"/>
  <c r="K932" i="14"/>
  <c r="N932" i="14" s="1"/>
  <c r="K937" i="14"/>
  <c r="K940" i="14"/>
  <c r="N940" i="14" s="1"/>
  <c r="K945" i="14"/>
  <c r="K948" i="14"/>
  <c r="K953" i="14"/>
  <c r="N953" i="14" s="1"/>
  <c r="K956" i="14"/>
  <c r="N956" i="14" s="1"/>
  <c r="K961" i="14"/>
  <c r="N961" i="14" s="1"/>
  <c r="K964" i="14"/>
  <c r="K969" i="14"/>
  <c r="K972" i="14"/>
  <c r="N972" i="14" s="1"/>
  <c r="K977" i="14"/>
  <c r="N977" i="14" s="1"/>
  <c r="K980" i="14"/>
  <c r="K982" i="14"/>
  <c r="K985" i="14"/>
  <c r="N985" i="14" s="1"/>
  <c r="K988" i="14"/>
  <c r="J227" i="14"/>
  <c r="K227" i="14" s="1"/>
  <c r="N227" i="14" s="1"/>
  <c r="J233" i="14"/>
  <c r="K233" i="14" s="1"/>
  <c r="N233" i="14" s="1"/>
  <c r="J220" i="14"/>
  <c r="K220" i="14" s="1"/>
  <c r="N220" i="14" s="1"/>
  <c r="J221" i="14"/>
  <c r="K221" i="14" s="1"/>
  <c r="N221" i="14" s="1"/>
  <c r="J222" i="14"/>
  <c r="K222" i="14" s="1"/>
  <c r="N222" i="14" s="1"/>
  <c r="J223" i="14"/>
  <c r="K223" i="14" s="1"/>
  <c r="N223" i="14" s="1"/>
  <c r="J224" i="14"/>
  <c r="K224" i="14" s="1"/>
  <c r="N224" i="14" s="1"/>
  <c r="J225" i="14"/>
  <c r="K225" i="14" s="1"/>
  <c r="N225" i="14" s="1"/>
  <c r="J226" i="14"/>
  <c r="K226" i="14" s="1"/>
  <c r="N226" i="14" s="1"/>
  <c r="J228" i="14"/>
  <c r="K228" i="14" s="1"/>
  <c r="N228" i="14" s="1"/>
  <c r="J229" i="14"/>
  <c r="K229" i="14" s="1"/>
  <c r="N229" i="14" s="1"/>
  <c r="J230" i="14"/>
  <c r="K230" i="14" s="1"/>
  <c r="N230" i="14" s="1"/>
  <c r="J231" i="14"/>
  <c r="K231" i="14" s="1"/>
  <c r="N231" i="14" s="1"/>
  <c r="J232" i="14"/>
  <c r="K232" i="14" s="1"/>
  <c r="N232" i="14" s="1"/>
  <c r="J234" i="14"/>
  <c r="K234" i="14" s="1"/>
  <c r="N234" i="14" s="1"/>
  <c r="N354" i="14"/>
  <c r="J943" i="14"/>
  <c r="J906" i="14"/>
  <c r="K906" i="14" s="1"/>
  <c r="N906" i="14" s="1"/>
  <c r="J914" i="14"/>
  <c r="K914" i="14" s="1"/>
  <c r="N914" i="14" s="1"/>
  <c r="J922" i="14"/>
  <c r="K922" i="14" s="1"/>
  <c r="N922" i="14" s="1"/>
  <c r="J930" i="14"/>
  <c r="K930" i="14" s="1"/>
  <c r="N930" i="14" s="1"/>
  <c r="J939" i="14"/>
  <c r="K939" i="14" s="1"/>
  <c r="J955" i="14"/>
  <c r="K955" i="14" s="1"/>
  <c r="N955" i="14" s="1"/>
  <c r="J908" i="14"/>
  <c r="K908" i="14" s="1"/>
  <c r="J911" i="14"/>
  <c r="K911" i="14" s="1"/>
  <c r="J916" i="14"/>
  <c r="K916" i="14" s="1"/>
  <c r="N916" i="14" s="1"/>
  <c r="J919" i="14"/>
  <c r="K919" i="14" s="1"/>
  <c r="N919" i="14" s="1"/>
  <c r="J924" i="14"/>
  <c r="K924" i="14" s="1"/>
  <c r="J927" i="14"/>
  <c r="J934" i="14"/>
  <c r="J951" i="14"/>
  <c r="K951" i="14" s="1"/>
  <c r="N951" i="14" s="1"/>
  <c r="J910" i="14"/>
  <c r="J918" i="14"/>
  <c r="J926" i="14"/>
  <c r="K926" i="14" s="1"/>
  <c r="J938" i="14"/>
  <c r="J947" i="14"/>
  <c r="K947" i="14" s="1"/>
  <c r="N947" i="14" s="1"/>
  <c r="N944" i="14"/>
  <c r="N948" i="14"/>
  <c r="N964" i="14"/>
  <c r="N976" i="14"/>
  <c r="N980" i="14"/>
  <c r="N988" i="14"/>
  <c r="J959" i="14"/>
  <c r="K959" i="14" s="1"/>
  <c r="J963" i="14"/>
  <c r="K963" i="14" s="1"/>
  <c r="N963" i="14" s="1"/>
  <c r="J967" i="14"/>
  <c r="K967" i="14" s="1"/>
  <c r="N967" i="14" s="1"/>
  <c r="J971" i="14"/>
  <c r="K971" i="14" s="1"/>
  <c r="J975" i="14"/>
  <c r="J979" i="14"/>
  <c r="K979" i="14" s="1"/>
  <c r="N979" i="14" s="1"/>
  <c r="J983" i="14"/>
  <c r="K983" i="14" s="1"/>
  <c r="N983" i="14" s="1"/>
  <c r="J987" i="14"/>
  <c r="J990" i="14"/>
  <c r="N917" i="14"/>
  <c r="N921" i="14"/>
  <c r="N937" i="14"/>
  <c r="J942" i="14"/>
  <c r="N945" i="14"/>
  <c r="J946" i="14"/>
  <c r="J950" i="14"/>
  <c r="K950" i="14" s="1"/>
  <c r="N950" i="14" s="1"/>
  <c r="J954" i="14"/>
  <c r="N957" i="14"/>
  <c r="J958" i="14"/>
  <c r="J962" i="14"/>
  <c r="K962" i="14" s="1"/>
  <c r="N962" i="14" s="1"/>
  <c r="J966" i="14"/>
  <c r="N969" i="14"/>
  <c r="J970" i="14"/>
  <c r="K970" i="14" s="1"/>
  <c r="N970" i="14" s="1"/>
  <c r="J974" i="14"/>
  <c r="K974" i="14" s="1"/>
  <c r="J978" i="14"/>
  <c r="K978" i="14" s="1"/>
  <c r="N978" i="14" s="1"/>
  <c r="J982" i="14"/>
  <c r="J986" i="14"/>
  <c r="K986" i="14" s="1"/>
  <c r="N986" i="14" s="1"/>
  <c r="N989" i="14"/>
  <c r="I216" i="14"/>
  <c r="K216" i="14" s="1"/>
  <c r="N216" i="14" s="1"/>
  <c r="I215" i="14"/>
  <c r="K215" i="14" s="1"/>
  <c r="N215" i="14" s="1"/>
  <c r="I214" i="14"/>
  <c r="K214" i="14" s="1"/>
  <c r="N214" i="14" s="1"/>
  <c r="I213" i="14"/>
  <c r="K213" i="14" s="1"/>
  <c r="N213" i="14" s="1"/>
  <c r="I212" i="14"/>
  <c r="K212" i="14" s="1"/>
  <c r="N212" i="14" s="1"/>
  <c r="I211" i="14"/>
  <c r="K211" i="14" s="1"/>
  <c r="N211" i="14" s="1"/>
  <c r="L210" i="14"/>
  <c r="I210" i="14"/>
  <c r="K210" i="14" s="1"/>
  <c r="I209" i="14"/>
  <c r="J209" i="14" s="1"/>
  <c r="K209" i="14" s="1"/>
  <c r="N209" i="14" s="1"/>
  <c r="I208" i="14"/>
  <c r="K208" i="14" s="1"/>
  <c r="N208" i="14" s="1"/>
  <c r="I207" i="14"/>
  <c r="K207" i="14" s="1"/>
  <c r="N207" i="14" s="1"/>
  <c r="I206" i="14"/>
  <c r="K206" i="14" s="1"/>
  <c r="N206" i="14" s="1"/>
  <c r="I205" i="14"/>
  <c r="K205" i="14" s="1"/>
  <c r="N205" i="14" s="1"/>
  <c r="I204" i="14"/>
  <c r="K204" i="14" s="1"/>
  <c r="N204" i="14" s="1"/>
  <c r="I203" i="14"/>
  <c r="K203" i="14" s="1"/>
  <c r="N203" i="14" s="1"/>
  <c r="L202" i="14"/>
  <c r="I202" i="14"/>
  <c r="K202" i="14" s="1"/>
  <c r="N202" i="14" s="1"/>
  <c r="I201" i="14"/>
  <c r="I200" i="14"/>
  <c r="K200" i="14" s="1"/>
  <c r="N200" i="14" s="1"/>
  <c r="I199" i="14"/>
  <c r="K199" i="14" s="1"/>
  <c r="N199" i="14" s="1"/>
  <c r="I198" i="14"/>
  <c r="K198" i="14" s="1"/>
  <c r="N198" i="14" s="1"/>
  <c r="I197" i="14"/>
  <c r="I196" i="14"/>
  <c r="K196" i="14" s="1"/>
  <c r="N196" i="14" s="1"/>
  <c r="I195" i="14"/>
  <c r="K195" i="14" s="1"/>
  <c r="N195" i="14" s="1"/>
  <c r="K194" i="14"/>
  <c r="N194" i="14" s="1"/>
  <c r="I194" i="14"/>
  <c r="L193" i="14"/>
  <c r="I193" i="14"/>
  <c r="K193" i="14" s="1"/>
  <c r="I192" i="14"/>
  <c r="K192" i="14" s="1"/>
  <c r="N192" i="14" s="1"/>
  <c r="I191" i="14"/>
  <c r="K191" i="14" s="1"/>
  <c r="N191" i="14" s="1"/>
  <c r="I190" i="14"/>
  <c r="K190" i="14" s="1"/>
  <c r="N190" i="14" s="1"/>
  <c r="I189" i="14"/>
  <c r="K189" i="14" s="1"/>
  <c r="N189" i="14" s="1"/>
  <c r="I188" i="14"/>
  <c r="K188" i="14" s="1"/>
  <c r="N188" i="14" s="1"/>
  <c r="I187" i="14"/>
  <c r="K187" i="14" s="1"/>
  <c r="N187" i="14" s="1"/>
  <c r="I186" i="14"/>
  <c r="K186" i="14" s="1"/>
  <c r="N186" i="14" s="1"/>
  <c r="I185" i="14"/>
  <c r="K185" i="14" s="1"/>
  <c r="N185" i="14" s="1"/>
  <c r="I184" i="14"/>
  <c r="K184" i="14" s="1"/>
  <c r="N184" i="14" s="1"/>
  <c r="I183" i="14"/>
  <c r="K183" i="14" s="1"/>
  <c r="N183" i="14" s="1"/>
  <c r="I182" i="14"/>
  <c r="K182" i="14" s="1"/>
  <c r="N182" i="14" s="1"/>
  <c r="I181" i="14"/>
  <c r="K181" i="14" s="1"/>
  <c r="N181" i="14" s="1"/>
  <c r="L180" i="14"/>
  <c r="I180" i="14"/>
  <c r="K180" i="14" s="1"/>
  <c r="I179" i="14"/>
  <c r="K179" i="14" s="1"/>
  <c r="N179" i="14" s="1"/>
  <c r="I178" i="14"/>
  <c r="K178" i="14" s="1"/>
  <c r="N178" i="14" s="1"/>
  <c r="L177" i="14"/>
  <c r="I177" i="14"/>
  <c r="K177" i="14" s="1"/>
  <c r="I176" i="14"/>
  <c r="I175" i="14"/>
  <c r="I174" i="14"/>
  <c r="K174" i="14" s="1"/>
  <c r="N174" i="14" s="1"/>
  <c r="I173" i="14"/>
  <c r="K173" i="14" s="1"/>
  <c r="N173" i="14" s="1"/>
  <c r="I172" i="14"/>
  <c r="K172" i="14" s="1"/>
  <c r="N172" i="14" s="1"/>
  <c r="I171" i="14"/>
  <c r="K171" i="14" s="1"/>
  <c r="N171" i="14" s="1"/>
  <c r="I170" i="14"/>
  <c r="K170" i="14" s="1"/>
  <c r="N170" i="14" s="1"/>
  <c r="I169" i="14"/>
  <c r="K169" i="14" s="1"/>
  <c r="N169" i="14" s="1"/>
  <c r="I168" i="14"/>
  <c r="K168" i="14" s="1"/>
  <c r="N168" i="14" s="1"/>
  <c r="I167" i="14"/>
  <c r="K167" i="14" s="1"/>
  <c r="N167" i="14" s="1"/>
  <c r="I166" i="14"/>
  <c r="K166" i="14" s="1"/>
  <c r="N166" i="14" s="1"/>
  <c r="K165" i="14"/>
  <c r="N165" i="14" s="1"/>
  <c r="I165" i="14"/>
  <c r="I164" i="14"/>
  <c r="K164" i="14" s="1"/>
  <c r="N164" i="14" s="1"/>
  <c r="I163" i="14"/>
  <c r="K163" i="14" s="1"/>
  <c r="N163" i="14" s="1"/>
  <c r="I162" i="14"/>
  <c r="K162" i="14" s="1"/>
  <c r="N162" i="14" s="1"/>
  <c r="I161" i="14"/>
  <c r="K161" i="14" s="1"/>
  <c r="N161" i="14" s="1"/>
  <c r="I160" i="14"/>
  <c r="K160" i="14" s="1"/>
  <c r="N160" i="14" s="1"/>
  <c r="I159" i="14"/>
  <c r="K159" i="14" s="1"/>
  <c r="N159" i="14" s="1"/>
  <c r="I158" i="14"/>
  <c r="I157" i="14"/>
  <c r="I156" i="14"/>
  <c r="K156" i="14" s="1"/>
  <c r="N156" i="14" s="1"/>
  <c r="K155" i="14"/>
  <c r="N155" i="14" s="1"/>
  <c r="I155" i="14"/>
  <c r="I154" i="14"/>
  <c r="K154" i="14" s="1"/>
  <c r="N154" i="14" s="1"/>
  <c r="N193" i="14" l="1"/>
  <c r="N210" i="14"/>
  <c r="K990" i="14"/>
  <c r="N990" i="14" s="1"/>
  <c r="N805" i="14"/>
  <c r="K805" i="14"/>
  <c r="K650" i="14"/>
  <c r="N650" i="14" s="1"/>
  <c r="K634" i="14"/>
  <c r="N634" i="14" s="1"/>
  <c r="K618" i="14"/>
  <c r="N618" i="14" s="1"/>
  <c r="K594" i="14"/>
  <c r="N594" i="14" s="1"/>
  <c r="K586" i="14"/>
  <c r="N586" i="14" s="1"/>
  <c r="K562" i="14"/>
  <c r="N562" i="14" s="1"/>
  <c r="K546" i="14"/>
  <c r="N546" i="14" s="1"/>
  <c r="K538" i="14"/>
  <c r="N538" i="14" s="1"/>
  <c r="N522" i="14"/>
  <c r="K522" i="14"/>
  <c r="K506" i="14"/>
  <c r="N506" i="14" s="1"/>
  <c r="K987" i="14"/>
  <c r="N987" i="14" s="1"/>
  <c r="N875" i="14"/>
  <c r="K867" i="14"/>
  <c r="N867" i="14" s="1"/>
  <c r="K859" i="14"/>
  <c r="N859" i="14" s="1"/>
  <c r="K835" i="14"/>
  <c r="N835" i="14" s="1"/>
  <c r="K819" i="14"/>
  <c r="N819" i="14" s="1"/>
  <c r="K811" i="14"/>
  <c r="N811" i="14" s="1"/>
  <c r="K803" i="14"/>
  <c r="N803" i="14" s="1"/>
  <c r="K795" i="14"/>
  <c r="N795" i="14" s="1"/>
  <c r="K787" i="14"/>
  <c r="N787" i="14" s="1"/>
  <c r="K851" i="14"/>
  <c r="N851" i="14" s="1"/>
  <c r="K918" i="14"/>
  <c r="N918" i="14" s="1"/>
  <c r="K536" i="14"/>
  <c r="N536" i="14" s="1"/>
  <c r="K778" i="14"/>
  <c r="N778" i="14" s="1"/>
  <c r="K762" i="14"/>
  <c r="N762" i="14" s="1"/>
  <c r="K954" i="14"/>
  <c r="N954" i="14" s="1"/>
  <c r="N177" i="14"/>
  <c r="N982" i="14"/>
  <c r="N974" i="14"/>
  <c r="K966" i="14"/>
  <c r="N966" i="14" s="1"/>
  <c r="K958" i="14"/>
  <c r="N958" i="14" s="1"/>
  <c r="K975" i="14"/>
  <c r="N975" i="14" s="1"/>
  <c r="N926" i="14"/>
  <c r="K942" i="14"/>
  <c r="N942" i="14" s="1"/>
  <c r="K883" i="14"/>
  <c r="N883" i="14" s="1"/>
  <c r="K781" i="14"/>
  <c r="N781" i="14" s="1"/>
  <c r="K773" i="14"/>
  <c r="N773" i="14" s="1"/>
  <c r="K765" i="14"/>
  <c r="N765" i="14" s="1"/>
  <c r="K757" i="14"/>
  <c r="N757" i="14" s="1"/>
  <c r="N721" i="14"/>
  <c r="K745" i="14"/>
  <c r="N745" i="14" s="1"/>
  <c r="K544" i="14"/>
  <c r="N544" i="14" s="1"/>
  <c r="K512" i="14"/>
  <c r="N512" i="14" s="1"/>
  <c r="K946" i="14"/>
  <c r="N946" i="14" s="1"/>
  <c r="N959" i="14"/>
  <c r="K877" i="14"/>
  <c r="N877" i="14" s="1"/>
  <c r="N813" i="14"/>
  <c r="N797" i="14"/>
  <c r="K821" i="14"/>
  <c r="N821" i="14" s="1"/>
  <c r="K789" i="14"/>
  <c r="N789" i="14" s="1"/>
  <c r="K658" i="14"/>
  <c r="N658" i="14" s="1"/>
  <c r="K642" i="14"/>
  <c r="N642" i="14" s="1"/>
  <c r="K626" i="14"/>
  <c r="N626" i="14" s="1"/>
  <c r="K610" i="14"/>
  <c r="N610" i="14" s="1"/>
  <c r="K602" i="14"/>
  <c r="N602" i="14" s="1"/>
  <c r="K578" i="14"/>
  <c r="N578" i="14" s="1"/>
  <c r="N570" i="14"/>
  <c r="K570" i="14"/>
  <c r="K554" i="14"/>
  <c r="N554" i="14" s="1"/>
  <c r="K530" i="14"/>
  <c r="N530" i="14" s="1"/>
  <c r="K514" i="14"/>
  <c r="N514" i="14" s="1"/>
  <c r="N498" i="14"/>
  <c r="K498" i="14"/>
  <c r="N180" i="14"/>
  <c r="N971" i="14"/>
  <c r="N934" i="14"/>
  <c r="K934" i="14"/>
  <c r="K910" i="14"/>
  <c r="N910" i="14" s="1"/>
  <c r="K938" i="14"/>
  <c r="N938" i="14" s="1"/>
  <c r="K843" i="14"/>
  <c r="N843" i="14" s="1"/>
  <c r="K741" i="14"/>
  <c r="N741" i="14" s="1"/>
  <c r="K552" i="14"/>
  <c r="N552" i="14" s="1"/>
  <c r="K520" i="14"/>
  <c r="N520" i="14" s="1"/>
  <c r="K770" i="14"/>
  <c r="N770" i="14" s="1"/>
  <c r="K754" i="14"/>
  <c r="N754" i="14" s="1"/>
  <c r="N733" i="14"/>
  <c r="K733" i="14"/>
  <c r="K560" i="14"/>
  <c r="N560" i="14" s="1"/>
  <c r="K528" i="14"/>
  <c r="N528" i="14" s="1"/>
  <c r="N656" i="14"/>
  <c r="N648" i="14"/>
  <c r="N640" i="14"/>
  <c r="N632" i="14"/>
  <c r="N624" i="14"/>
  <c r="N616" i="14"/>
  <c r="N608" i="14"/>
  <c r="N600" i="14"/>
  <c r="N592" i="14"/>
  <c r="N584" i="14"/>
  <c r="N576" i="14"/>
  <c r="N568" i="14"/>
  <c r="N775" i="14"/>
  <c r="N927" i="14"/>
  <c r="N911" i="14"/>
  <c r="N881" i="14"/>
  <c r="N777" i="14"/>
  <c r="N769" i="14"/>
  <c r="N761" i="14"/>
  <c r="N753" i="14"/>
  <c r="K776" i="14"/>
  <c r="N776" i="14" s="1"/>
  <c r="K768" i="14"/>
  <c r="N768" i="14" s="1"/>
  <c r="K760" i="14"/>
  <c r="N760" i="14" s="1"/>
  <c r="K725" i="14"/>
  <c r="N725" i="14" s="1"/>
  <c r="N662" i="14"/>
  <c r="N654" i="14"/>
  <c r="N646" i="14"/>
  <c r="N638" i="14"/>
  <c r="N630" i="14"/>
  <c r="N622" i="14"/>
  <c r="N614" i="14"/>
  <c r="N606" i="14"/>
  <c r="N598" i="14"/>
  <c r="N590" i="14"/>
  <c r="N582" i="14"/>
  <c r="N574" i="14"/>
  <c r="N566" i="14"/>
  <c r="K775" i="14"/>
  <c r="K767" i="14"/>
  <c r="N767" i="14" s="1"/>
  <c r="K759" i="14"/>
  <c r="N759" i="14" s="1"/>
  <c r="K729" i="14"/>
  <c r="N729" i="14" s="1"/>
  <c r="K504" i="14"/>
  <c r="N504" i="14" s="1"/>
  <c r="K496" i="14"/>
  <c r="N496" i="14" s="1"/>
  <c r="N924" i="14"/>
  <c r="N908" i="14"/>
  <c r="N939" i="14"/>
  <c r="N879" i="14"/>
  <c r="N823" i="14"/>
  <c r="N815" i="14"/>
  <c r="N807" i="14"/>
  <c r="N799" i="14"/>
  <c r="N791" i="14"/>
  <c r="N783" i="14"/>
  <c r="K825" i="14"/>
  <c r="N825" i="14" s="1"/>
  <c r="K817" i="14"/>
  <c r="N817" i="14" s="1"/>
  <c r="K809" i="14"/>
  <c r="N809" i="14" s="1"/>
  <c r="K801" i="14"/>
  <c r="N801" i="14" s="1"/>
  <c r="K793" i="14"/>
  <c r="N793" i="14" s="1"/>
  <c r="K785" i="14"/>
  <c r="N785" i="14" s="1"/>
  <c r="K943" i="14"/>
  <c r="N943" i="14" s="1"/>
  <c r="N737" i="14"/>
  <c r="N709" i="14"/>
  <c r="N701" i="14"/>
  <c r="N693" i="14"/>
  <c r="N685" i="14"/>
  <c r="N677" i="14"/>
  <c r="N669" i="14"/>
  <c r="N780" i="14"/>
  <c r="N772" i="14"/>
  <c r="N764" i="14"/>
  <c r="N756" i="14"/>
  <c r="K717" i="14"/>
  <c r="N717" i="14" s="1"/>
  <c r="N699" i="14"/>
  <c r="N691" i="14"/>
  <c r="N683" i="14"/>
  <c r="N675" i="14"/>
  <c r="N667" i="14"/>
  <c r="N660" i="14"/>
  <c r="N652" i="14"/>
  <c r="N644" i="14"/>
  <c r="N636" i="14"/>
  <c r="N628" i="14"/>
  <c r="N620" i="14"/>
  <c r="N612" i="14"/>
  <c r="N604" i="14"/>
  <c r="N596" i="14"/>
  <c r="N588" i="14"/>
  <c r="N580" i="14"/>
  <c r="N572" i="14"/>
  <c r="N564" i="14"/>
  <c r="N779" i="14"/>
  <c r="N771" i="14"/>
  <c r="N763" i="14"/>
  <c r="N755" i="14"/>
  <c r="N697" i="14"/>
  <c r="N681" i="14"/>
  <c r="N673" i="14"/>
  <c r="N665" i="14"/>
  <c r="K774" i="14"/>
  <c r="N774" i="14" s="1"/>
  <c r="K766" i="14"/>
  <c r="N766" i="14" s="1"/>
  <c r="K758" i="14"/>
  <c r="N758" i="14" s="1"/>
  <c r="N749" i="14"/>
  <c r="K689" i="14"/>
  <c r="N689" i="14" s="1"/>
  <c r="J197" i="14"/>
  <c r="K197" i="14" s="1"/>
  <c r="N197" i="14" s="1"/>
  <c r="J157" i="14"/>
  <c r="K157" i="14" s="1"/>
  <c r="N157" i="14" s="1"/>
  <c r="J175" i="14"/>
  <c r="K175" i="14" s="1"/>
  <c r="N175" i="14" s="1"/>
  <c r="J158" i="14"/>
  <c r="K158" i="14" s="1"/>
  <c r="N158" i="14" s="1"/>
  <c r="J176" i="14"/>
  <c r="K176" i="14" s="1"/>
  <c r="N176" i="14" s="1"/>
  <c r="J201" i="14"/>
  <c r="K201" i="14" s="1"/>
  <c r="N201" i="14" s="1"/>
  <c r="I153" i="14"/>
  <c r="I152" i="14"/>
  <c r="K152" i="14" s="1"/>
  <c r="N152" i="14" s="1"/>
  <c r="I151" i="14"/>
  <c r="K151" i="14" s="1"/>
  <c r="N151" i="14" s="1"/>
  <c r="I150" i="14"/>
  <c r="K150" i="14" s="1"/>
  <c r="N150" i="14" s="1"/>
  <c r="I149" i="14"/>
  <c r="I148" i="14"/>
  <c r="I147" i="14"/>
  <c r="K147" i="14" s="1"/>
  <c r="N147" i="14" s="1"/>
  <c r="I146" i="14"/>
  <c r="K146" i="14" s="1"/>
  <c r="N146" i="14" s="1"/>
  <c r="I145" i="14"/>
  <c r="K145" i="14" s="1"/>
  <c r="N145" i="14" s="1"/>
  <c r="I144" i="14"/>
  <c r="K144" i="14" s="1"/>
  <c r="N144" i="14" s="1"/>
  <c r="I143" i="14"/>
  <c r="K143" i="14" s="1"/>
  <c r="N143" i="14" s="1"/>
  <c r="I142" i="14"/>
  <c r="K142" i="14" s="1"/>
  <c r="N142" i="14" s="1"/>
  <c r="I141" i="14"/>
  <c r="K141" i="14" s="1"/>
  <c r="N141" i="14" s="1"/>
  <c r="L140" i="14"/>
  <c r="I140" i="14"/>
  <c r="K140" i="14" s="1"/>
  <c r="N140" i="14" s="1"/>
  <c r="I139" i="14"/>
  <c r="K139" i="14" s="1"/>
  <c r="N139" i="14" s="1"/>
  <c r="I138" i="14"/>
  <c r="I137" i="14"/>
  <c r="I136" i="14"/>
  <c r="K136" i="14" s="1"/>
  <c r="N136" i="14" s="1"/>
  <c r="I135" i="14"/>
  <c r="K135" i="14" s="1"/>
  <c r="N135" i="14" s="1"/>
  <c r="K134" i="14"/>
  <c r="N134" i="14" s="1"/>
  <c r="I134" i="14"/>
  <c r="I133" i="14"/>
  <c r="K133" i="14" s="1"/>
  <c r="N133" i="14" s="1"/>
  <c r="L132" i="14"/>
  <c r="I132" i="14"/>
  <c r="K132" i="14" s="1"/>
  <c r="I131" i="14"/>
  <c r="K131" i="14" s="1"/>
  <c r="N131" i="14" s="1"/>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K86" i="14" s="1"/>
  <c r="N86" i="14" s="1"/>
  <c r="L85" i="14"/>
  <c r="I85" i="14"/>
  <c r="K85" i="14" s="1"/>
  <c r="I84" i="14"/>
  <c r="J84" i="14" s="1"/>
  <c r="K84" i="14" s="1"/>
  <c r="N84" i="14" s="1"/>
  <c r="I83" i="14"/>
  <c r="J83" i="14" s="1"/>
  <c r="K83" i="14" s="1"/>
  <c r="N83" i="14" s="1"/>
  <c r="I82" i="14"/>
  <c r="J82" i="14" s="1"/>
  <c r="K82" i="14" s="1"/>
  <c r="N82" i="14" s="1"/>
  <c r="K81" i="14"/>
  <c r="N81" i="14" s="1"/>
  <c r="I81" i="14"/>
  <c r="I80" i="14"/>
  <c r="K80" i="14" s="1"/>
  <c r="N80" i="14" s="1"/>
  <c r="I79" i="14"/>
  <c r="I78" i="14"/>
  <c r="K78" i="14" s="1"/>
  <c r="N78" i="14" s="1"/>
  <c r="I77" i="14"/>
  <c r="K77" i="14" s="1"/>
  <c r="N77" i="14" s="1"/>
  <c r="K76" i="14"/>
  <c r="N76" i="14" s="1"/>
  <c r="I76" i="14"/>
  <c r="I75" i="14"/>
  <c r="K75" i="14" s="1"/>
  <c r="N75" i="14" s="1"/>
  <c r="I74" i="14"/>
  <c r="K74" i="14" s="1"/>
  <c r="N74" i="14" s="1"/>
  <c r="L73" i="14"/>
  <c r="I73" i="14"/>
  <c r="K73" i="14" s="1"/>
  <c r="I72" i="14"/>
  <c r="K72" i="14" s="1"/>
  <c r="N72" i="14" s="1"/>
  <c r="I71" i="14"/>
  <c r="K71" i="14" s="1"/>
  <c r="N71" i="14" s="1"/>
  <c r="I70" i="14"/>
  <c r="K70" i="14" s="1"/>
  <c r="N70" i="14" s="1"/>
  <c r="I69" i="14"/>
  <c r="K69" i="14" s="1"/>
  <c r="N69" i="14" s="1"/>
  <c r="L68" i="14"/>
  <c r="I68" i="14"/>
  <c r="K68" i="14" s="1"/>
  <c r="I67" i="14"/>
  <c r="K67" i="14" s="1"/>
  <c r="N67" i="14" s="1"/>
  <c r="I66" i="14"/>
  <c r="J66" i="14" s="1"/>
  <c r="K66" i="14" s="1"/>
  <c r="N66" i="14" s="1"/>
  <c r="I65" i="14"/>
  <c r="K65" i="14" s="1"/>
  <c r="N65" i="14" s="1"/>
  <c r="I64" i="14"/>
  <c r="J64" i="14" s="1"/>
  <c r="K64" i="14" s="1"/>
  <c r="N64" i="14" s="1"/>
  <c r="I63" i="14"/>
  <c r="J63" i="14" s="1"/>
  <c r="K63" i="14" s="1"/>
  <c r="N63" i="14" s="1"/>
  <c r="I62" i="14"/>
  <c r="J62" i="14" s="1"/>
  <c r="K62" i="14" s="1"/>
  <c r="N62" i="14" s="1"/>
  <c r="N68" i="14" l="1"/>
  <c r="N73" i="14"/>
  <c r="N85" i="14"/>
  <c r="N132" i="14"/>
  <c r="J79" i="14"/>
  <c r="K79" i="14" s="1"/>
  <c r="N79" i="14" s="1"/>
  <c r="J137" i="14"/>
  <c r="K137" i="14" s="1"/>
  <c r="N137" i="14" s="1"/>
  <c r="J138" i="14"/>
  <c r="K138" i="14" s="1"/>
  <c r="N138" i="14" s="1"/>
  <c r="J148" i="14"/>
  <c r="K148" i="14" s="1"/>
  <c r="N148" i="14" s="1"/>
  <c r="J149" i="14"/>
  <c r="K149" i="14" s="1"/>
  <c r="N149" i="14" s="1"/>
  <c r="J87" i="14"/>
  <c r="K87" i="14" s="1"/>
  <c r="N87" i="14" s="1"/>
  <c r="J88" i="14"/>
  <c r="K88" i="14" s="1"/>
  <c r="N88" i="14" s="1"/>
  <c r="J89" i="14"/>
  <c r="K89" i="14" s="1"/>
  <c r="N89" i="14" s="1"/>
  <c r="J90" i="14"/>
  <c r="K90" i="14" s="1"/>
  <c r="N90" i="14" s="1"/>
  <c r="J91" i="14"/>
  <c r="K91" i="14" s="1"/>
  <c r="N91" i="14" s="1"/>
  <c r="J92" i="14"/>
  <c r="K92" i="14" s="1"/>
  <c r="N92" i="14" s="1"/>
  <c r="J93" i="14"/>
  <c r="K93" i="14" s="1"/>
  <c r="N93" i="14" s="1"/>
  <c r="J94" i="14"/>
  <c r="K94" i="14" s="1"/>
  <c r="N94" i="14" s="1"/>
  <c r="J95" i="14"/>
  <c r="K95" i="14" s="1"/>
  <c r="N95" i="14" s="1"/>
  <c r="J96" i="14"/>
  <c r="K96" i="14" s="1"/>
  <c r="N96" i="14" s="1"/>
  <c r="J97" i="14"/>
  <c r="K97" i="14" s="1"/>
  <c r="N97" i="14" s="1"/>
  <c r="J98" i="14"/>
  <c r="K98" i="14" s="1"/>
  <c r="N98" i="14" s="1"/>
  <c r="J99" i="14"/>
  <c r="K99" i="14" s="1"/>
  <c r="N99" i="14" s="1"/>
  <c r="J100" i="14"/>
  <c r="K100" i="14" s="1"/>
  <c r="N100" i="14" s="1"/>
  <c r="J101" i="14"/>
  <c r="K101" i="14" s="1"/>
  <c r="N101" i="14" s="1"/>
  <c r="J102" i="14"/>
  <c r="K102" i="14" s="1"/>
  <c r="N102" i="14" s="1"/>
  <c r="J103" i="14"/>
  <c r="K103" i="14" s="1"/>
  <c r="N103" i="14" s="1"/>
  <c r="J104" i="14"/>
  <c r="K104" i="14" s="1"/>
  <c r="N104" i="14" s="1"/>
  <c r="J105" i="14"/>
  <c r="K105" i="14" s="1"/>
  <c r="N105" i="14" s="1"/>
  <c r="J106" i="14"/>
  <c r="K106" i="14" s="1"/>
  <c r="N106" i="14" s="1"/>
  <c r="J107" i="14"/>
  <c r="K107" i="14" s="1"/>
  <c r="N107" i="14" s="1"/>
  <c r="J108" i="14"/>
  <c r="K108" i="14" s="1"/>
  <c r="N108" i="14" s="1"/>
  <c r="J109" i="14"/>
  <c r="K109" i="14" s="1"/>
  <c r="N109" i="14" s="1"/>
  <c r="J110" i="14"/>
  <c r="K110" i="14" s="1"/>
  <c r="N110" i="14" s="1"/>
  <c r="J111" i="14"/>
  <c r="K111" i="14" s="1"/>
  <c r="N111" i="14" s="1"/>
  <c r="J112" i="14"/>
  <c r="K112" i="14" s="1"/>
  <c r="N112" i="14" s="1"/>
  <c r="J113" i="14"/>
  <c r="K113" i="14" s="1"/>
  <c r="N113" i="14" s="1"/>
  <c r="J114" i="14"/>
  <c r="K114" i="14" s="1"/>
  <c r="N114" i="14" s="1"/>
  <c r="J115" i="14"/>
  <c r="K115" i="14" s="1"/>
  <c r="N115" i="14" s="1"/>
  <c r="J116" i="14"/>
  <c r="K116" i="14" s="1"/>
  <c r="N116" i="14" s="1"/>
  <c r="J117" i="14"/>
  <c r="K117" i="14" s="1"/>
  <c r="N117" i="14" s="1"/>
  <c r="J118" i="14"/>
  <c r="K118" i="14" s="1"/>
  <c r="N118" i="14" s="1"/>
  <c r="J119" i="14"/>
  <c r="K119" i="14" s="1"/>
  <c r="N119" i="14" s="1"/>
  <c r="J120" i="14"/>
  <c r="K120" i="14" s="1"/>
  <c r="N120" i="14" s="1"/>
  <c r="J121" i="14"/>
  <c r="K121" i="14" s="1"/>
  <c r="N121" i="14" s="1"/>
  <c r="J122" i="14"/>
  <c r="K122" i="14" s="1"/>
  <c r="N122" i="14" s="1"/>
  <c r="J123" i="14"/>
  <c r="K123" i="14" s="1"/>
  <c r="N123" i="14" s="1"/>
  <c r="J124" i="14"/>
  <c r="K124" i="14" s="1"/>
  <c r="N124" i="14" s="1"/>
  <c r="J125" i="14"/>
  <c r="K125" i="14" s="1"/>
  <c r="N125" i="14" s="1"/>
  <c r="J126" i="14"/>
  <c r="K126" i="14" s="1"/>
  <c r="N126" i="14" s="1"/>
  <c r="J127" i="14"/>
  <c r="K127" i="14" s="1"/>
  <c r="N127" i="14" s="1"/>
  <c r="J128" i="14"/>
  <c r="K128" i="14" s="1"/>
  <c r="N128" i="14" s="1"/>
  <c r="J129" i="14"/>
  <c r="K129" i="14" s="1"/>
  <c r="N129" i="14" s="1"/>
  <c r="J130" i="14"/>
  <c r="K130" i="14" s="1"/>
  <c r="N130" i="14" s="1"/>
  <c r="J153" i="14"/>
  <c r="K153" i="14" s="1"/>
  <c r="I61" i="14"/>
  <c r="I60" i="14"/>
  <c r="K60" i="14" s="1"/>
  <c r="N60" i="14" s="1"/>
  <c r="I59" i="14"/>
  <c r="K59" i="14" s="1"/>
  <c r="N59" i="14" s="1"/>
  <c r="I58" i="14"/>
  <c r="K58" i="14" s="1"/>
  <c r="N58" i="14" s="1"/>
  <c r="K57" i="14"/>
  <c r="N57" i="14" s="1"/>
  <c r="I57" i="14"/>
  <c r="I56" i="14"/>
  <c r="K56" i="14" s="1"/>
  <c r="N56" i="14" s="1"/>
  <c r="I55" i="14"/>
  <c r="K55" i="14" s="1"/>
  <c r="N55" i="14" s="1"/>
  <c r="I54" i="14"/>
  <c r="K54" i="14" s="1"/>
  <c r="N54" i="14" s="1"/>
  <c r="I53" i="14"/>
  <c r="K53" i="14" s="1"/>
  <c r="N53" i="14" s="1"/>
  <c r="I52" i="14"/>
  <c r="K52" i="14" s="1"/>
  <c r="N52" i="14" s="1"/>
  <c r="I51" i="14"/>
  <c r="K51" i="14" s="1"/>
  <c r="N51" i="14" s="1"/>
  <c r="I50" i="14"/>
  <c r="K50" i="14" s="1"/>
  <c r="N50" i="14" s="1"/>
  <c r="I49" i="14"/>
  <c r="K49" i="14" s="1"/>
  <c r="N49" i="14" s="1"/>
  <c r="I48" i="14"/>
  <c r="K48" i="14" s="1"/>
  <c r="N48" i="14" s="1"/>
  <c r="I47" i="14"/>
  <c r="K47" i="14" s="1"/>
  <c r="N47" i="14" s="1"/>
  <c r="I46" i="14"/>
  <c r="K46" i="14" s="1"/>
  <c r="N46" i="14" s="1"/>
  <c r="I45" i="14"/>
  <c r="K45" i="14" s="1"/>
  <c r="N45" i="14" s="1"/>
  <c r="I44" i="14"/>
  <c r="K44" i="14" s="1"/>
  <c r="N44" i="14" s="1"/>
  <c r="I43" i="14"/>
  <c r="K43" i="14" s="1"/>
  <c r="N43" i="14" s="1"/>
  <c r="I42" i="14"/>
  <c r="K42" i="14" s="1"/>
  <c r="N42" i="14" s="1"/>
  <c r="I41" i="14"/>
  <c r="K41" i="14" s="1"/>
  <c r="N41" i="14" s="1"/>
  <c r="I40" i="14"/>
  <c r="J40" i="14" s="1"/>
  <c r="K40" i="14" s="1"/>
  <c r="N40" i="14" s="1"/>
  <c r="I39" i="14"/>
  <c r="J39" i="14" s="1"/>
  <c r="K39" i="14" s="1"/>
  <c r="N39" i="14" s="1"/>
  <c r="I38" i="14"/>
  <c r="K38" i="14" s="1"/>
  <c r="N38" i="14" s="1"/>
  <c r="I37" i="14"/>
  <c r="K37" i="14" s="1"/>
  <c r="N37" i="14" s="1"/>
  <c r="I36" i="14"/>
  <c r="K36" i="14" s="1"/>
  <c r="N36" i="14" s="1"/>
  <c r="I35" i="14"/>
  <c r="K35" i="14" s="1"/>
  <c r="N35" i="14" s="1"/>
  <c r="I34" i="14"/>
  <c r="K34" i="14" s="1"/>
  <c r="N34" i="14" s="1"/>
  <c r="I33" i="14"/>
  <c r="K33" i="14" s="1"/>
  <c r="N33" i="14" s="1"/>
  <c r="I32" i="14"/>
  <c r="K32" i="14" s="1"/>
  <c r="N32" i="14" s="1"/>
  <c r="I31" i="14"/>
  <c r="K31" i="14" s="1"/>
  <c r="N31" i="14" s="1"/>
  <c r="L30" i="14"/>
  <c r="I30" i="14"/>
  <c r="K30" i="14" s="1"/>
  <c r="N30" i="14" s="1"/>
  <c r="I29" i="14"/>
  <c r="K29" i="14" s="1"/>
  <c r="N29" i="14" s="1"/>
  <c r="I28" i="14"/>
  <c r="K28" i="14" s="1"/>
  <c r="N28" i="14" s="1"/>
  <c r="I27" i="14"/>
  <c r="K27" i="14" s="1"/>
  <c r="N27" i="14" s="1"/>
  <c r="I26" i="14"/>
  <c r="K26" i="14" s="1"/>
  <c r="N26" i="14" s="1"/>
  <c r="I25" i="14"/>
  <c r="K25" i="14" s="1"/>
  <c r="N25" i="14" s="1"/>
  <c r="I24" i="14"/>
  <c r="K24" i="14" s="1"/>
  <c r="N24" i="14" s="1"/>
  <c r="I23" i="14"/>
  <c r="K23" i="14" s="1"/>
  <c r="N23" i="14" s="1"/>
  <c r="I22" i="14"/>
  <c r="K22" i="14" s="1"/>
  <c r="N22" i="14" s="1"/>
  <c r="I21" i="14"/>
  <c r="K21" i="14" s="1"/>
  <c r="N21" i="14" s="1"/>
  <c r="I20" i="14"/>
  <c r="K20" i="14" s="1"/>
  <c r="N20" i="14" s="1"/>
  <c r="I19" i="14"/>
  <c r="K19" i="14" s="1"/>
  <c r="N19" i="14" s="1"/>
  <c r="I18" i="14"/>
  <c r="K18" i="14" s="1"/>
  <c r="N18" i="14" s="1"/>
  <c r="I17" i="14"/>
  <c r="K17" i="14" s="1"/>
  <c r="N17" i="14" s="1"/>
  <c r="I16" i="14"/>
  <c r="K16" i="14" s="1"/>
  <c r="N16" i="14" s="1"/>
  <c r="I15" i="14"/>
  <c r="K15" i="14" s="1"/>
  <c r="N15" i="14" s="1"/>
  <c r="I14" i="14"/>
  <c r="K14" i="14" s="1"/>
  <c r="N14" i="14" s="1"/>
  <c r="I13" i="14"/>
  <c r="K13" i="14" s="1"/>
  <c r="N13" i="14" s="1"/>
  <c r="I12" i="14"/>
  <c r="K12" i="14" s="1"/>
  <c r="N12" i="14" s="1"/>
  <c r="I11" i="14"/>
  <c r="K11" i="14" s="1"/>
  <c r="N11" i="14" s="1"/>
  <c r="I10" i="14"/>
  <c r="K10" i="14" s="1"/>
  <c r="N10" i="14" s="1"/>
  <c r="I9" i="14"/>
  <c r="K9" i="14" s="1"/>
  <c r="N9" i="14" s="1"/>
  <c r="I8" i="14"/>
  <c r="K8" i="14" s="1"/>
  <c r="N8" i="14" s="1"/>
  <c r="L7" i="14"/>
  <c r="I7" i="14"/>
  <c r="K7" i="14" s="1"/>
  <c r="N7" i="14" s="1"/>
  <c r="I6" i="14"/>
  <c r="K6" i="14" s="1"/>
  <c r="N6" i="14" s="1"/>
  <c r="I5" i="14"/>
  <c r="K5" i="14" s="1"/>
  <c r="N5" i="14" s="1"/>
  <c r="I4" i="14"/>
  <c r="K4" i="14" s="1"/>
  <c r="N4" i="14" s="1"/>
  <c r="I3" i="14"/>
  <c r="K3" i="14" s="1"/>
  <c r="N3" i="14" s="1"/>
  <c r="I2" i="14"/>
  <c r="K2" i="14" s="1"/>
  <c r="N2" i="14" s="1"/>
  <c r="J61" i="14" l="1"/>
  <c r="K61" i="14" s="1"/>
  <c r="N61" i="14" s="1"/>
  <c r="I298" i="13"/>
  <c r="I297" i="13"/>
  <c r="K297" i="13" s="1"/>
  <c r="N297" i="13" s="1"/>
  <c r="I296" i="13"/>
  <c r="K296" i="13" s="1"/>
  <c r="N296" i="13" s="1"/>
  <c r="I295" i="13"/>
  <c r="K295" i="13" s="1"/>
  <c r="N295" i="13" s="1"/>
  <c r="I294" i="13"/>
  <c r="K294" i="13" s="1"/>
  <c r="N294" i="13" s="1"/>
  <c r="I293" i="13"/>
  <c r="K293" i="13" s="1"/>
  <c r="N293" i="13" s="1"/>
  <c r="I292" i="13"/>
  <c r="K292" i="13" s="1"/>
  <c r="N292" i="13" s="1"/>
  <c r="I291" i="13"/>
  <c r="K291" i="13" s="1"/>
  <c r="N291" i="13" s="1"/>
  <c r="I290" i="13"/>
  <c r="K290" i="13" s="1"/>
  <c r="N290" i="13" s="1"/>
  <c r="I289" i="13"/>
  <c r="K289" i="13" s="1"/>
  <c r="N289" i="13" s="1"/>
  <c r="I288" i="13"/>
  <c r="K288" i="13" s="1"/>
  <c r="N288" i="13" s="1"/>
  <c r="I287" i="13"/>
  <c r="K287" i="13" s="1"/>
  <c r="N287" i="13" s="1"/>
  <c r="I286" i="13"/>
  <c r="K286" i="13" s="1"/>
  <c r="N286" i="13" s="1"/>
  <c r="I285" i="13"/>
  <c r="K285" i="13" s="1"/>
  <c r="N285" i="13" s="1"/>
  <c r="I284" i="13"/>
  <c r="K284" i="13" s="1"/>
  <c r="N284" i="13" s="1"/>
  <c r="I283" i="13"/>
  <c r="K283" i="13" s="1"/>
  <c r="N283" i="13" s="1"/>
  <c r="I282" i="13"/>
  <c r="K282" i="13" s="1"/>
  <c r="N282" i="13" s="1"/>
  <c r="I281" i="13"/>
  <c r="K281" i="13" s="1"/>
  <c r="N281" i="13" s="1"/>
  <c r="I280" i="13"/>
  <c r="K280" i="13" s="1"/>
  <c r="N280" i="13" s="1"/>
  <c r="I279" i="13"/>
  <c r="K279" i="13" s="1"/>
  <c r="N279" i="13" s="1"/>
  <c r="I278" i="13"/>
  <c r="K278" i="13" s="1"/>
  <c r="N278" i="13" s="1"/>
  <c r="I277" i="13"/>
  <c r="K277" i="13" s="1"/>
  <c r="N277" i="13" s="1"/>
  <c r="I276" i="13"/>
  <c r="K276" i="13" s="1"/>
  <c r="N276" i="13" s="1"/>
  <c r="I275" i="13"/>
  <c r="K275" i="13" s="1"/>
  <c r="N275" i="13" s="1"/>
  <c r="I274" i="13"/>
  <c r="I273" i="13"/>
  <c r="I272" i="13"/>
  <c r="I271" i="13"/>
  <c r="K271" i="13" s="1"/>
  <c r="N271" i="13" s="1"/>
  <c r="I270" i="13"/>
  <c r="K270" i="13" s="1"/>
  <c r="N270" i="13" s="1"/>
  <c r="I269" i="13"/>
  <c r="K269" i="13" s="1"/>
  <c r="N269" i="13" s="1"/>
  <c r="I268" i="13"/>
  <c r="K268" i="13" s="1"/>
  <c r="N268" i="13" s="1"/>
  <c r="N267" i="13"/>
  <c r="I267" i="13"/>
  <c r="K267" i="13" s="1"/>
  <c r="L266" i="13"/>
  <c r="I266" i="13"/>
  <c r="K266" i="13" s="1"/>
  <c r="I265" i="13"/>
  <c r="K265" i="13" s="1"/>
  <c r="N265" i="13" s="1"/>
  <c r="I264" i="13"/>
  <c r="K264" i="13" s="1"/>
  <c r="N264" i="13" s="1"/>
  <c r="I263" i="13"/>
  <c r="K263" i="13" s="1"/>
  <c r="N263" i="13" s="1"/>
  <c r="I262" i="13"/>
  <c r="K262" i="13" s="1"/>
  <c r="N262" i="13" s="1"/>
  <c r="K261" i="13"/>
  <c r="N261" i="13" s="1"/>
  <c r="I261" i="13"/>
  <c r="I260" i="13"/>
  <c r="K260" i="13" s="1"/>
  <c r="N260" i="13" s="1"/>
  <c r="I259" i="13"/>
  <c r="K259" i="13" s="1"/>
  <c r="N259" i="13" s="1"/>
  <c r="L258" i="13"/>
  <c r="I258" i="13"/>
  <c r="K258" i="13" s="1"/>
  <c r="I257" i="13"/>
  <c r="I256" i="13"/>
  <c r="K256" i="13" s="1"/>
  <c r="N256" i="13" s="1"/>
  <c r="I255" i="13"/>
  <c r="K255" i="13" s="1"/>
  <c r="N255" i="13" s="1"/>
  <c r="I254" i="13"/>
  <c r="K254" i="13" s="1"/>
  <c r="N254" i="13" s="1"/>
  <c r="I253" i="13"/>
  <c r="K253" i="13" s="1"/>
  <c r="N253" i="13" s="1"/>
  <c r="I252" i="13"/>
  <c r="K252" i="13" s="1"/>
  <c r="N252" i="13" s="1"/>
  <c r="I251" i="13"/>
  <c r="K251" i="13" s="1"/>
  <c r="N251" i="13" s="1"/>
  <c r="I250" i="13"/>
  <c r="K250" i="13" s="1"/>
  <c r="N250" i="13" s="1"/>
  <c r="I249" i="13"/>
  <c r="K249" i="13" s="1"/>
  <c r="N249" i="13" s="1"/>
  <c r="I248" i="13"/>
  <c r="K248" i="13" s="1"/>
  <c r="N248" i="13" s="1"/>
  <c r="I247" i="13"/>
  <c r="K247" i="13" s="1"/>
  <c r="N247" i="13" s="1"/>
  <c r="I246" i="13"/>
  <c r="K246" i="13" s="1"/>
  <c r="N246" i="13" s="1"/>
  <c r="I245" i="13"/>
  <c r="K245" i="13" s="1"/>
  <c r="N245" i="13" s="1"/>
  <c r="L244" i="13"/>
  <c r="I244" i="13"/>
  <c r="K244" i="13" s="1"/>
  <c r="I243" i="13"/>
  <c r="K243" i="13" s="1"/>
  <c r="N243" i="13" s="1"/>
  <c r="I242" i="13"/>
  <c r="J242" i="13" s="1"/>
  <c r="K242" i="13" s="1"/>
  <c r="N242" i="13" s="1"/>
  <c r="I241" i="13"/>
  <c r="J241" i="13" s="1"/>
  <c r="I240" i="13"/>
  <c r="J240" i="13" s="1"/>
  <c r="K240" i="13" s="1"/>
  <c r="N240" i="13" s="1"/>
  <c r="I239" i="13"/>
  <c r="J239" i="13" s="1"/>
  <c r="K239" i="13" s="1"/>
  <c r="N239" i="13" s="1"/>
  <c r="I238" i="13"/>
  <c r="J238" i="13" s="1"/>
  <c r="K238" i="13" s="1"/>
  <c r="N238" i="13" s="1"/>
  <c r="I237" i="13"/>
  <c r="J237" i="13" s="1"/>
  <c r="I236" i="13"/>
  <c r="J236" i="13" s="1"/>
  <c r="I235" i="13"/>
  <c r="J235" i="13" s="1"/>
  <c r="K235" i="13" s="1"/>
  <c r="N235" i="13" s="1"/>
  <c r="I234" i="13"/>
  <c r="K234" i="13" s="1"/>
  <c r="N234" i="13" s="1"/>
  <c r="I233" i="13"/>
  <c r="K233" i="13" s="1"/>
  <c r="N233" i="13" s="1"/>
  <c r="I232" i="13"/>
  <c r="K232" i="13" s="1"/>
  <c r="N232" i="13" s="1"/>
  <c r="I231" i="13"/>
  <c r="K231" i="13" s="1"/>
  <c r="N231" i="13" s="1"/>
  <c r="I230" i="13"/>
  <c r="K230" i="13" s="1"/>
  <c r="N230" i="13" s="1"/>
  <c r="I229" i="13"/>
  <c r="K229" i="13" s="1"/>
  <c r="N229" i="13" s="1"/>
  <c r="I228" i="13"/>
  <c r="K228" i="13" s="1"/>
  <c r="N228" i="13" s="1"/>
  <c r="I227" i="13"/>
  <c r="K227" i="13" s="1"/>
  <c r="N227" i="13" s="1"/>
  <c r="I226" i="13"/>
  <c r="K226" i="13" s="1"/>
  <c r="N226" i="13" s="1"/>
  <c r="I225" i="13"/>
  <c r="K225" i="13" s="1"/>
  <c r="N225" i="13" s="1"/>
  <c r="I224" i="13"/>
  <c r="I223" i="13"/>
  <c r="J223" i="13" s="1"/>
  <c r="I222" i="13"/>
  <c r="I221" i="13"/>
  <c r="J221" i="13" s="1"/>
  <c r="I220" i="13"/>
  <c r="I219" i="13"/>
  <c r="J219" i="13" s="1"/>
  <c r="I218" i="13"/>
  <c r="I217" i="13"/>
  <c r="K217" i="13" s="1"/>
  <c r="N217" i="13" s="1"/>
  <c r="I216" i="13"/>
  <c r="I215" i="13"/>
  <c r="I214" i="13"/>
  <c r="K214" i="13" s="1"/>
  <c r="N214" i="13" s="1"/>
  <c r="I213" i="13"/>
  <c r="K213" i="13" s="1"/>
  <c r="N213" i="13" s="1"/>
  <c r="I212" i="13"/>
  <c r="K212" i="13" s="1"/>
  <c r="N212" i="13" s="1"/>
  <c r="I211" i="13"/>
  <c r="K211" i="13" s="1"/>
  <c r="N211" i="13" s="1"/>
  <c r="I210" i="13"/>
  <c r="K210" i="13" s="1"/>
  <c r="N210" i="13" s="1"/>
  <c r="I209" i="13"/>
  <c r="K209" i="13" s="1"/>
  <c r="N209" i="13" s="1"/>
  <c r="I208" i="13"/>
  <c r="K208" i="13" s="1"/>
  <c r="N208" i="13" s="1"/>
  <c r="I207" i="13"/>
  <c r="K207" i="13" s="1"/>
  <c r="N207" i="13" s="1"/>
  <c r="I206" i="13"/>
  <c r="K206" i="13" s="1"/>
  <c r="N206" i="13" s="1"/>
  <c r="I205" i="13"/>
  <c r="K205" i="13" s="1"/>
  <c r="N205" i="13" s="1"/>
  <c r="I204" i="13"/>
  <c r="K204" i="13" s="1"/>
  <c r="N204" i="13" s="1"/>
  <c r="I203" i="13"/>
  <c r="K203" i="13" s="1"/>
  <c r="N203" i="13" s="1"/>
  <c r="I202" i="13"/>
  <c r="K202" i="13" s="1"/>
  <c r="N202" i="13" s="1"/>
  <c r="I201" i="13"/>
  <c r="K201" i="13" s="1"/>
  <c r="N201" i="13" s="1"/>
  <c r="I200" i="13"/>
  <c r="K200" i="13" s="1"/>
  <c r="N200" i="13" s="1"/>
  <c r="I199" i="13"/>
  <c r="J199" i="13" s="1"/>
  <c r="I198" i="13"/>
  <c r="I197" i="13"/>
  <c r="K197" i="13" s="1"/>
  <c r="N197" i="13" s="1"/>
  <c r="I196" i="13"/>
  <c r="K196" i="13" s="1"/>
  <c r="N196" i="13" s="1"/>
  <c r="I195" i="13"/>
  <c r="K195" i="13" s="1"/>
  <c r="N195" i="13" s="1"/>
  <c r="I194" i="13"/>
  <c r="K194" i="13" s="1"/>
  <c r="N194" i="13" s="1"/>
  <c r="I193" i="13"/>
  <c r="K193" i="13" s="1"/>
  <c r="N193" i="13" s="1"/>
  <c r="I192" i="13"/>
  <c r="K192" i="13" s="1"/>
  <c r="N192" i="13" s="1"/>
  <c r="I191" i="13"/>
  <c r="K191" i="13" s="1"/>
  <c r="N191" i="13" s="1"/>
  <c r="I190" i="13"/>
  <c r="K190" i="13" s="1"/>
  <c r="N190" i="13" s="1"/>
  <c r="I189" i="13"/>
  <c r="K189" i="13" s="1"/>
  <c r="N189" i="13" s="1"/>
  <c r="I188" i="13"/>
  <c r="K188" i="13" s="1"/>
  <c r="N188" i="13" s="1"/>
  <c r="I187" i="13"/>
  <c r="K187" i="13" s="1"/>
  <c r="N187" i="13" s="1"/>
  <c r="I186" i="13"/>
  <c r="K186" i="13" s="1"/>
  <c r="N186" i="13" s="1"/>
  <c r="I185" i="13"/>
  <c r="K185" i="13" s="1"/>
  <c r="N185" i="13" s="1"/>
  <c r="I184" i="13"/>
  <c r="K184" i="13" s="1"/>
  <c r="N184" i="13" s="1"/>
  <c r="I183" i="13"/>
  <c r="K183" i="13" s="1"/>
  <c r="N183" i="13" s="1"/>
  <c r="I182" i="13"/>
  <c r="K182" i="13" s="1"/>
  <c r="N182" i="13" s="1"/>
  <c r="I181" i="13"/>
  <c r="K181" i="13" s="1"/>
  <c r="N181" i="13" s="1"/>
  <c r="I180" i="13"/>
  <c r="K180" i="13" s="1"/>
  <c r="N180" i="13" s="1"/>
  <c r="I179" i="13"/>
  <c r="K179" i="13" s="1"/>
  <c r="N179" i="13" s="1"/>
  <c r="I178" i="13"/>
  <c r="K178" i="13" s="1"/>
  <c r="N178" i="13" s="1"/>
  <c r="I177" i="13"/>
  <c r="K177" i="13" s="1"/>
  <c r="N177" i="13" s="1"/>
  <c r="I176" i="13"/>
  <c r="I175" i="13"/>
  <c r="J175" i="13" s="1"/>
  <c r="I174" i="13"/>
  <c r="J174" i="13" s="1"/>
  <c r="I173" i="13"/>
  <c r="I172" i="13"/>
  <c r="K172" i="13" s="1"/>
  <c r="N172" i="13" s="1"/>
  <c r="I171" i="13"/>
  <c r="K171" i="13" s="1"/>
  <c r="N171" i="13" s="1"/>
  <c r="I170" i="13"/>
  <c r="K170" i="13" s="1"/>
  <c r="N170" i="13" s="1"/>
  <c r="I169" i="13"/>
  <c r="J169" i="13" s="1"/>
  <c r="K169" i="13" s="1"/>
  <c r="N169" i="13" s="1"/>
  <c r="I168" i="13"/>
  <c r="J168" i="13" s="1"/>
  <c r="K168" i="13" s="1"/>
  <c r="N168" i="13" s="1"/>
  <c r="I167" i="13"/>
  <c r="I166" i="13"/>
  <c r="I165" i="13"/>
  <c r="J165" i="13" s="1"/>
  <c r="K165" i="13" s="1"/>
  <c r="N165" i="13" s="1"/>
  <c r="I164" i="13"/>
  <c r="I163" i="13"/>
  <c r="J163" i="13" s="1"/>
  <c r="I162" i="13"/>
  <c r="I161" i="13"/>
  <c r="I160" i="13"/>
  <c r="I159" i="13"/>
  <c r="I158" i="13"/>
  <c r="I157" i="13"/>
  <c r="I156" i="13"/>
  <c r="I155" i="13"/>
  <c r="I154" i="13"/>
  <c r="K154" i="13" s="1"/>
  <c r="N154" i="13" s="1"/>
  <c r="I153" i="13"/>
  <c r="K153" i="13" s="1"/>
  <c r="N153" i="13" s="1"/>
  <c r="I152" i="13"/>
  <c r="K152" i="13" s="1"/>
  <c r="N152" i="13" s="1"/>
  <c r="I151" i="13"/>
  <c r="K151" i="13" s="1"/>
  <c r="N151" i="13" s="1"/>
  <c r="I150" i="13"/>
  <c r="K150" i="13" s="1"/>
  <c r="N150" i="13" s="1"/>
  <c r="K149" i="13"/>
  <c r="N149" i="13" s="1"/>
  <c r="I149" i="13"/>
  <c r="I148" i="13"/>
  <c r="K148" i="13" s="1"/>
  <c r="N148" i="13" s="1"/>
  <c r="I147" i="13"/>
  <c r="K147" i="13" s="1"/>
  <c r="N147" i="13" s="1"/>
  <c r="I146" i="13"/>
  <c r="K146" i="13" s="1"/>
  <c r="N146" i="13" s="1"/>
  <c r="I145" i="13"/>
  <c r="K145" i="13" s="1"/>
  <c r="N145" i="13" s="1"/>
  <c r="I144" i="13"/>
  <c r="K144" i="13" s="1"/>
  <c r="N144" i="13" s="1"/>
  <c r="I143" i="13"/>
  <c r="K143" i="13" s="1"/>
  <c r="N143" i="13" s="1"/>
  <c r="I142" i="13"/>
  <c r="K142" i="13" s="1"/>
  <c r="N142" i="13" s="1"/>
  <c r="I141" i="13"/>
  <c r="J141" i="13" s="1"/>
  <c r="I140" i="13"/>
  <c r="J140" i="13" s="1"/>
  <c r="I139" i="13"/>
  <c r="J139" i="13" s="1"/>
  <c r="I138" i="13"/>
  <c r="J138" i="13" s="1"/>
  <c r="K138" i="13" s="1"/>
  <c r="N138" i="13" s="1"/>
  <c r="I137" i="13"/>
  <c r="J137" i="13" s="1"/>
  <c r="I136" i="13"/>
  <c r="J136" i="13" s="1"/>
  <c r="K135" i="13"/>
  <c r="N135" i="13" s="1"/>
  <c r="I135" i="13"/>
  <c r="J135" i="13" s="1"/>
  <c r="I134" i="13"/>
  <c r="J134" i="13" s="1"/>
  <c r="I133" i="13"/>
  <c r="J133" i="13" s="1"/>
  <c r="I132" i="13"/>
  <c r="J132" i="13" s="1"/>
  <c r="I131" i="13"/>
  <c r="J131" i="13" s="1"/>
  <c r="I130" i="13"/>
  <c r="J130" i="13" s="1"/>
  <c r="I129" i="13"/>
  <c r="J129" i="13" s="1"/>
  <c r="I128" i="13"/>
  <c r="J128" i="13" s="1"/>
  <c r="I127" i="13"/>
  <c r="J127" i="13" s="1"/>
  <c r="I126" i="13"/>
  <c r="J126" i="13" s="1"/>
  <c r="K126" i="13" s="1"/>
  <c r="N126" i="13" s="1"/>
  <c r="I125" i="13"/>
  <c r="J125" i="13" s="1"/>
  <c r="I124" i="13"/>
  <c r="J124" i="13" s="1"/>
  <c r="I123" i="13"/>
  <c r="J123" i="13" s="1"/>
  <c r="I122" i="13"/>
  <c r="J122" i="13" s="1"/>
  <c r="I121" i="13"/>
  <c r="J121" i="13" s="1"/>
  <c r="I120" i="13"/>
  <c r="J120" i="13" s="1"/>
  <c r="I119" i="13"/>
  <c r="J119" i="13" s="1"/>
  <c r="I118" i="13"/>
  <c r="J118" i="13" s="1"/>
  <c r="K117" i="13"/>
  <c r="N117" i="13" s="1"/>
  <c r="I117" i="13"/>
  <c r="J117" i="13" s="1"/>
  <c r="I116" i="13"/>
  <c r="J116" i="13" s="1"/>
  <c r="I115" i="13"/>
  <c r="J115" i="13" s="1"/>
  <c r="I114" i="13"/>
  <c r="J114" i="13" s="1"/>
  <c r="I113" i="13"/>
  <c r="J113" i="13" s="1"/>
  <c r="I112" i="13"/>
  <c r="J112" i="13" s="1"/>
  <c r="I111" i="13"/>
  <c r="J111" i="13" s="1"/>
  <c r="K110" i="13"/>
  <c r="N110" i="13" s="1"/>
  <c r="I110" i="13"/>
  <c r="J110" i="13" s="1"/>
  <c r="I109" i="13"/>
  <c r="J109" i="13" s="1"/>
  <c r="I108" i="13"/>
  <c r="J108" i="13" s="1"/>
  <c r="I107" i="13"/>
  <c r="I106" i="13"/>
  <c r="I105" i="13"/>
  <c r="I104" i="13"/>
  <c r="I103" i="13"/>
  <c r="I102" i="13"/>
  <c r="I101" i="13"/>
  <c r="K101" i="13" s="1"/>
  <c r="N101" i="13" s="1"/>
  <c r="I100" i="13"/>
  <c r="K100" i="13" s="1"/>
  <c r="N100" i="13" s="1"/>
  <c r="I99" i="13"/>
  <c r="K99" i="13" s="1"/>
  <c r="N99" i="13" s="1"/>
  <c r="I98" i="13"/>
  <c r="K98" i="13" s="1"/>
  <c r="N98" i="13" s="1"/>
  <c r="I97" i="13"/>
  <c r="K97" i="13" s="1"/>
  <c r="N97" i="13" s="1"/>
  <c r="I96" i="13"/>
  <c r="K96" i="13" s="1"/>
  <c r="N96" i="13" s="1"/>
  <c r="I95" i="13"/>
  <c r="K95" i="13" s="1"/>
  <c r="N95" i="13" s="1"/>
  <c r="I94" i="13"/>
  <c r="K94" i="13" s="1"/>
  <c r="N94" i="13" s="1"/>
  <c r="I93" i="13"/>
  <c r="I92" i="13"/>
  <c r="I91" i="13"/>
  <c r="I90" i="13"/>
  <c r="I89" i="13"/>
  <c r="I88" i="13"/>
  <c r="I87" i="13"/>
  <c r="I86" i="13"/>
  <c r="I85" i="13"/>
  <c r="I84" i="13"/>
  <c r="I83" i="13"/>
  <c r="I82" i="13"/>
  <c r="I81" i="13"/>
  <c r="K81" i="13" s="1"/>
  <c r="N81" i="13" s="1"/>
  <c r="I80" i="13"/>
  <c r="K80" i="13" s="1"/>
  <c r="N80" i="13" s="1"/>
  <c r="L79" i="13"/>
  <c r="I79" i="13"/>
  <c r="K79" i="13" s="1"/>
  <c r="L78" i="13"/>
  <c r="I78" i="13"/>
  <c r="K78" i="13" s="1"/>
  <c r="I77" i="13"/>
  <c r="K77" i="13" s="1"/>
  <c r="N77" i="13" s="1"/>
  <c r="I76" i="13"/>
  <c r="K76" i="13" s="1"/>
  <c r="N76" i="13" s="1"/>
  <c r="I75" i="13"/>
  <c r="K75" i="13" s="1"/>
  <c r="N75" i="13" s="1"/>
  <c r="I74" i="13"/>
  <c r="K74" i="13" s="1"/>
  <c r="N74" i="13" s="1"/>
  <c r="I73" i="13"/>
  <c r="K73" i="13" s="1"/>
  <c r="N73" i="13" s="1"/>
  <c r="I72" i="13"/>
  <c r="K72" i="13" s="1"/>
  <c r="N72" i="13" s="1"/>
  <c r="I71" i="13"/>
  <c r="K71" i="13" s="1"/>
  <c r="N71" i="13" s="1"/>
  <c r="I70" i="13"/>
  <c r="K70" i="13" s="1"/>
  <c r="N70" i="13" s="1"/>
  <c r="I69" i="13"/>
  <c r="K69" i="13" s="1"/>
  <c r="N69" i="13" s="1"/>
  <c r="I68" i="13"/>
  <c r="K68" i="13" s="1"/>
  <c r="N68" i="13" s="1"/>
  <c r="I67" i="13"/>
  <c r="K67" i="13" s="1"/>
  <c r="N67" i="13" s="1"/>
  <c r="I66" i="13"/>
  <c r="K66" i="13" s="1"/>
  <c r="N66" i="13" s="1"/>
  <c r="I65" i="13"/>
  <c r="K65" i="13" s="1"/>
  <c r="N65" i="13" s="1"/>
  <c r="I64" i="13"/>
  <c r="K64" i="13" s="1"/>
  <c r="N64" i="13" s="1"/>
  <c r="I63" i="13"/>
  <c r="K63" i="13" s="1"/>
  <c r="N63" i="13" s="1"/>
  <c r="I62" i="13"/>
  <c r="K62" i="13" s="1"/>
  <c r="N62" i="13" s="1"/>
  <c r="I61" i="13"/>
  <c r="K61" i="13" s="1"/>
  <c r="N61" i="13" s="1"/>
  <c r="I60" i="13"/>
  <c r="K60" i="13" s="1"/>
  <c r="N60" i="13" s="1"/>
  <c r="I59" i="13"/>
  <c r="K59" i="13" s="1"/>
  <c r="N59" i="13" s="1"/>
  <c r="I58" i="13"/>
  <c r="J58" i="13" s="1"/>
  <c r="K58" i="13" s="1"/>
  <c r="N58" i="13" s="1"/>
  <c r="I57" i="13"/>
  <c r="K57" i="13" s="1"/>
  <c r="N57" i="13" s="1"/>
  <c r="I56" i="13"/>
  <c r="K56" i="13" s="1"/>
  <c r="N56" i="13" s="1"/>
  <c r="I55" i="13"/>
  <c r="K55" i="13" s="1"/>
  <c r="N55" i="13" s="1"/>
  <c r="I54" i="13"/>
  <c r="K54" i="13" s="1"/>
  <c r="N54" i="13" s="1"/>
  <c r="I53" i="13"/>
  <c r="K53" i="13" s="1"/>
  <c r="N53" i="13" s="1"/>
  <c r="I52" i="13"/>
  <c r="K52" i="13" s="1"/>
  <c r="N52" i="13" s="1"/>
  <c r="I51" i="13"/>
  <c r="I50" i="13"/>
  <c r="K50" i="13" s="1"/>
  <c r="N50" i="13" s="1"/>
  <c r="I49" i="13"/>
  <c r="K49" i="13" s="1"/>
  <c r="N49" i="13" s="1"/>
  <c r="I48" i="13"/>
  <c r="K48" i="13" s="1"/>
  <c r="N48" i="13" s="1"/>
  <c r="I47" i="13"/>
  <c r="K47" i="13" s="1"/>
  <c r="N47" i="13" s="1"/>
  <c r="I46" i="13"/>
  <c r="K46" i="13" s="1"/>
  <c r="N46" i="13" s="1"/>
  <c r="I45" i="13"/>
  <c r="K45" i="13" s="1"/>
  <c r="N45" i="13" s="1"/>
  <c r="L44" i="13"/>
  <c r="I44" i="13"/>
  <c r="K44" i="13" s="1"/>
  <c r="I43" i="13"/>
  <c r="I42" i="13"/>
  <c r="K42" i="13" s="1"/>
  <c r="N42" i="13" s="1"/>
  <c r="I41" i="13"/>
  <c r="K41" i="13" s="1"/>
  <c r="N41" i="13" s="1"/>
  <c r="I40" i="13"/>
  <c r="K40" i="13" s="1"/>
  <c r="N40" i="13" s="1"/>
  <c r="I39" i="13"/>
  <c r="K39" i="13" s="1"/>
  <c r="N39" i="13" s="1"/>
  <c r="I38" i="13"/>
  <c r="I37" i="13"/>
  <c r="K37" i="13" s="1"/>
  <c r="N37" i="13" s="1"/>
  <c r="I36" i="13"/>
  <c r="J36" i="13" s="1"/>
  <c r="I35" i="13"/>
  <c r="K35" i="13" s="1"/>
  <c r="N35" i="13" s="1"/>
  <c r="I34" i="13"/>
  <c r="K34" i="13" s="1"/>
  <c r="N34" i="13" s="1"/>
  <c r="I33" i="13"/>
  <c r="K33" i="13" s="1"/>
  <c r="N33" i="13" s="1"/>
  <c r="I32" i="13"/>
  <c r="K32" i="13" s="1"/>
  <c r="N32" i="13" s="1"/>
  <c r="K31" i="13"/>
  <c r="N31" i="13" s="1"/>
  <c r="I31" i="13"/>
  <c r="I30" i="13"/>
  <c r="K30" i="13" s="1"/>
  <c r="N30" i="13" s="1"/>
  <c r="I29" i="13"/>
  <c r="K29" i="13" s="1"/>
  <c r="N29" i="13" s="1"/>
  <c r="I28" i="13"/>
  <c r="K28" i="13" s="1"/>
  <c r="N28" i="13" s="1"/>
  <c r="I27" i="13"/>
  <c r="K27" i="13" s="1"/>
  <c r="N27" i="13" s="1"/>
  <c r="I26" i="13"/>
  <c r="I25" i="13"/>
  <c r="I24" i="13"/>
  <c r="I23" i="13"/>
  <c r="I22" i="13"/>
  <c r="K22" i="13" s="1"/>
  <c r="N22" i="13" s="1"/>
  <c r="I21" i="13"/>
  <c r="K21" i="13" s="1"/>
  <c r="N21" i="13" s="1"/>
  <c r="I20" i="13"/>
  <c r="K20" i="13" s="1"/>
  <c r="N20" i="13" s="1"/>
  <c r="I19" i="13"/>
  <c r="J19" i="13" s="1"/>
  <c r="I18" i="13"/>
  <c r="K18" i="13" s="1"/>
  <c r="N18" i="13" s="1"/>
  <c r="L17" i="13"/>
  <c r="I17" i="13"/>
  <c r="K17" i="13" s="1"/>
  <c r="N17" i="13" s="1"/>
  <c r="I16" i="13"/>
  <c r="K16" i="13" s="1"/>
  <c r="N16" i="13" s="1"/>
  <c r="I15" i="13"/>
  <c r="I14" i="13"/>
  <c r="K14" i="13" s="1"/>
  <c r="N14" i="13" s="1"/>
  <c r="I13" i="13"/>
  <c r="K13" i="13" s="1"/>
  <c r="N13" i="13" s="1"/>
  <c r="I12" i="13"/>
  <c r="I11" i="13"/>
  <c r="I10" i="13"/>
  <c r="K10" i="13" s="1"/>
  <c r="N10" i="13" s="1"/>
  <c r="I9" i="13"/>
  <c r="I8" i="13"/>
  <c r="K8" i="13" s="1"/>
  <c r="N8" i="13" s="1"/>
  <c r="I7" i="13"/>
  <c r="K7" i="13" s="1"/>
  <c r="N7" i="13" s="1"/>
  <c r="I6" i="13"/>
  <c r="K6" i="13" s="1"/>
  <c r="N6" i="13" s="1"/>
  <c r="I5" i="13"/>
  <c r="K5" i="13" s="1"/>
  <c r="N5" i="13" s="1"/>
  <c r="I4" i="13"/>
  <c r="K4" i="13" s="1"/>
  <c r="N4" i="13" s="1"/>
  <c r="I3" i="13"/>
  <c r="K3" i="13" s="1"/>
  <c r="N3" i="13" s="1"/>
  <c r="I2" i="13"/>
  <c r="K2" i="13" s="1"/>
  <c r="N2" i="13" s="1"/>
  <c r="K130" i="13" l="1"/>
  <c r="N130" i="13" s="1"/>
  <c r="K236" i="13"/>
  <c r="N236" i="13" s="1"/>
  <c r="N244" i="13"/>
  <c r="N79" i="13"/>
  <c r="K137" i="13"/>
  <c r="N137" i="13" s="1"/>
  <c r="N266" i="13"/>
  <c r="K36" i="13"/>
  <c r="N36" i="13" s="1"/>
  <c r="N44" i="13"/>
  <c r="N78" i="13"/>
  <c r="N258" i="13"/>
  <c r="K115" i="13"/>
  <c r="N115" i="13" s="1"/>
  <c r="K111" i="13"/>
  <c r="N111" i="13" s="1"/>
  <c r="K113" i="13"/>
  <c r="N113" i="13" s="1"/>
  <c r="K122" i="13"/>
  <c r="N122" i="13" s="1"/>
  <c r="K134" i="13"/>
  <c r="N134" i="13" s="1"/>
  <c r="J12" i="13"/>
  <c r="K12" i="13" s="1"/>
  <c r="N12" i="13" s="1"/>
  <c r="J38" i="13"/>
  <c r="K38" i="13" s="1"/>
  <c r="N38" i="13" s="1"/>
  <c r="K114" i="13"/>
  <c r="N114" i="13" s="1"/>
  <c r="K119" i="13"/>
  <c r="N119" i="13" s="1"/>
  <c r="K121" i="13"/>
  <c r="N121" i="13" s="1"/>
  <c r="K127" i="13"/>
  <c r="N127" i="13" s="1"/>
  <c r="K129" i="13"/>
  <c r="N129" i="13" s="1"/>
  <c r="J164" i="13"/>
  <c r="K164" i="13" s="1"/>
  <c r="N164" i="13" s="1"/>
  <c r="K167" i="13"/>
  <c r="N167" i="13" s="1"/>
  <c r="K241" i="13"/>
  <c r="N241" i="13" s="1"/>
  <c r="J26" i="13"/>
  <c r="K26" i="13" s="1"/>
  <c r="N26" i="13" s="1"/>
  <c r="J9" i="13"/>
  <c r="K9" i="13" s="1"/>
  <c r="N9" i="13" s="1"/>
  <c r="J11" i="13"/>
  <c r="K11" i="13" s="1"/>
  <c r="N11" i="13" s="1"/>
  <c r="K19" i="13"/>
  <c r="N19" i="13" s="1"/>
  <c r="J43" i="13"/>
  <c r="K43" i="13" s="1"/>
  <c r="N43" i="13" s="1"/>
  <c r="K109" i="13"/>
  <c r="N109" i="13" s="1"/>
  <c r="K118" i="13"/>
  <c r="N118" i="13" s="1"/>
  <c r="K123" i="13"/>
  <c r="N123" i="13" s="1"/>
  <c r="K125" i="13"/>
  <c r="N125" i="13" s="1"/>
  <c r="K131" i="13"/>
  <c r="N131" i="13" s="1"/>
  <c r="K133" i="13"/>
  <c r="N133" i="13" s="1"/>
  <c r="K139" i="13"/>
  <c r="N139" i="13" s="1"/>
  <c r="K141" i="13"/>
  <c r="N141" i="13" s="1"/>
  <c r="J167" i="13"/>
  <c r="K237" i="13"/>
  <c r="N237" i="13" s="1"/>
  <c r="J24" i="13"/>
  <c r="K24" i="13" s="1"/>
  <c r="N24" i="13" s="1"/>
  <c r="J23" i="13"/>
  <c r="K23" i="13" s="1"/>
  <c r="N23" i="13" s="1"/>
  <c r="J25" i="13"/>
  <c r="K25" i="13" s="1"/>
  <c r="N25" i="13" s="1"/>
  <c r="J51" i="13"/>
  <c r="K51" i="13" s="1"/>
  <c r="N51" i="13" s="1"/>
  <c r="J157" i="13"/>
  <c r="K157" i="13" s="1"/>
  <c r="N157" i="13" s="1"/>
  <c r="J161" i="13"/>
  <c r="K161" i="13" s="1"/>
  <c r="N161" i="13" s="1"/>
  <c r="J166" i="13"/>
  <c r="K166" i="13" s="1"/>
  <c r="N166" i="13" s="1"/>
  <c r="J173" i="13"/>
  <c r="K173" i="13" s="1"/>
  <c r="N173" i="13" s="1"/>
  <c r="J158" i="13"/>
  <c r="K158" i="13" s="1"/>
  <c r="N158" i="13" s="1"/>
  <c r="J162" i="13"/>
  <c r="K162" i="13" s="1"/>
  <c r="N162" i="13" s="1"/>
  <c r="J15" i="13"/>
  <c r="K15" i="13" s="1"/>
  <c r="J82" i="13"/>
  <c r="K82" i="13" s="1"/>
  <c r="N82" i="13" s="1"/>
  <c r="J83" i="13"/>
  <c r="K83" i="13" s="1"/>
  <c r="N83" i="13" s="1"/>
  <c r="J84" i="13"/>
  <c r="K84" i="13" s="1"/>
  <c r="N84" i="13" s="1"/>
  <c r="J85" i="13"/>
  <c r="K85" i="13" s="1"/>
  <c r="N85" i="13" s="1"/>
  <c r="J86" i="13"/>
  <c r="K86" i="13" s="1"/>
  <c r="N86" i="13" s="1"/>
  <c r="J87" i="13"/>
  <c r="K87" i="13" s="1"/>
  <c r="N87" i="13" s="1"/>
  <c r="J88" i="13"/>
  <c r="K88" i="13" s="1"/>
  <c r="N88" i="13" s="1"/>
  <c r="J89" i="13"/>
  <c r="K89" i="13" s="1"/>
  <c r="N89" i="13" s="1"/>
  <c r="J90" i="13"/>
  <c r="K90" i="13" s="1"/>
  <c r="N90" i="13" s="1"/>
  <c r="J91" i="13"/>
  <c r="K91" i="13" s="1"/>
  <c r="N91" i="13" s="1"/>
  <c r="J92" i="13"/>
  <c r="K92" i="13" s="1"/>
  <c r="N92" i="13" s="1"/>
  <c r="J93" i="13"/>
  <c r="K93" i="13" s="1"/>
  <c r="N93" i="13" s="1"/>
  <c r="J102" i="13"/>
  <c r="K102" i="13" s="1"/>
  <c r="N102" i="13" s="1"/>
  <c r="J103" i="13"/>
  <c r="K103" i="13" s="1"/>
  <c r="N103" i="13" s="1"/>
  <c r="J104" i="13"/>
  <c r="K104" i="13" s="1"/>
  <c r="N104" i="13" s="1"/>
  <c r="J105" i="13"/>
  <c r="K105" i="13" s="1"/>
  <c r="N105" i="13" s="1"/>
  <c r="J106" i="13"/>
  <c r="K106" i="13" s="1"/>
  <c r="N106" i="13" s="1"/>
  <c r="J107" i="13"/>
  <c r="K107" i="13" s="1"/>
  <c r="N107" i="13" s="1"/>
  <c r="K108" i="13"/>
  <c r="N108" i="13" s="1"/>
  <c r="K112" i="13"/>
  <c r="N112" i="13" s="1"/>
  <c r="K116" i="13"/>
  <c r="N116" i="13" s="1"/>
  <c r="K120" i="13"/>
  <c r="N120" i="13" s="1"/>
  <c r="K124" i="13"/>
  <c r="N124" i="13" s="1"/>
  <c r="K128" i="13"/>
  <c r="N128" i="13" s="1"/>
  <c r="K132" i="13"/>
  <c r="N132" i="13" s="1"/>
  <c r="K136" i="13"/>
  <c r="N136" i="13" s="1"/>
  <c r="K140" i="13"/>
  <c r="N140" i="13" s="1"/>
  <c r="J155" i="13"/>
  <c r="K155" i="13" s="1"/>
  <c r="N155" i="13" s="1"/>
  <c r="J159" i="13"/>
  <c r="K159" i="13" s="1"/>
  <c r="N159" i="13" s="1"/>
  <c r="K163" i="13"/>
  <c r="N163" i="13" s="1"/>
  <c r="J156" i="13"/>
  <c r="K156" i="13" s="1"/>
  <c r="N156" i="13" s="1"/>
  <c r="J160" i="13"/>
  <c r="K160" i="13" s="1"/>
  <c r="N160" i="13" s="1"/>
  <c r="K215" i="13"/>
  <c r="N215" i="13" s="1"/>
  <c r="J215" i="13"/>
  <c r="J257" i="13"/>
  <c r="K257" i="13" s="1"/>
  <c r="N257" i="13" s="1"/>
  <c r="J272" i="13"/>
  <c r="K272" i="13" s="1"/>
  <c r="N272" i="13" s="1"/>
  <c r="J274" i="13"/>
  <c r="K274" i="13" s="1"/>
  <c r="N274" i="13" s="1"/>
  <c r="K175" i="13"/>
  <c r="N175" i="13" s="1"/>
  <c r="J176" i="13"/>
  <c r="K176" i="13" s="1"/>
  <c r="N176" i="13" s="1"/>
  <c r="J198" i="13"/>
  <c r="K198" i="13" s="1"/>
  <c r="N198" i="13" s="1"/>
  <c r="J216" i="13"/>
  <c r="K216" i="13" s="1"/>
  <c r="N216" i="13" s="1"/>
  <c r="J218" i="13"/>
  <c r="K218" i="13" s="1"/>
  <c r="N218" i="13" s="1"/>
  <c r="J220" i="13"/>
  <c r="K220" i="13" s="1"/>
  <c r="N220" i="13" s="1"/>
  <c r="J222" i="13"/>
  <c r="K222" i="13" s="1"/>
  <c r="N222" i="13" s="1"/>
  <c r="J224" i="13"/>
  <c r="K224" i="13" s="1"/>
  <c r="N224" i="13" s="1"/>
  <c r="K174" i="13"/>
  <c r="N174" i="13" s="1"/>
  <c r="K199" i="13"/>
  <c r="N199" i="13" s="1"/>
  <c r="K219" i="13"/>
  <c r="N219" i="13" s="1"/>
  <c r="K221" i="13"/>
  <c r="N221" i="13" s="1"/>
  <c r="K223" i="13"/>
  <c r="N223" i="13" s="1"/>
  <c r="J273" i="13"/>
  <c r="K273" i="13" s="1"/>
  <c r="N273" i="13" s="1"/>
  <c r="J298" i="13"/>
  <c r="K298" i="13" s="1"/>
  <c r="N298" i="13" s="1"/>
  <c r="N15" i="13" l="1"/>
  <c r="G481" i="12"/>
  <c r="I480" i="12"/>
  <c r="K480" i="12" s="1"/>
  <c r="N480" i="12" s="1"/>
  <c r="I479" i="12"/>
  <c r="K479" i="12" s="1"/>
  <c r="N479" i="12" s="1"/>
  <c r="I478" i="12"/>
  <c r="K478" i="12" s="1"/>
  <c r="N478" i="12" s="1"/>
  <c r="L477" i="12"/>
  <c r="I477" i="12"/>
  <c r="K477" i="12" s="1"/>
  <c r="I476" i="12"/>
  <c r="K476" i="12" s="1"/>
  <c r="N476" i="12" s="1"/>
  <c r="I475" i="12"/>
  <c r="K475" i="12" s="1"/>
  <c r="N475" i="12" s="1"/>
  <c r="I474" i="12"/>
  <c r="J474" i="12" s="1"/>
  <c r="I473" i="12"/>
  <c r="J473" i="12" s="1"/>
  <c r="I472" i="12"/>
  <c r="J472" i="12" s="1"/>
  <c r="I471" i="12"/>
  <c r="K471" i="12" s="1"/>
  <c r="N471" i="12" s="1"/>
  <c r="I470" i="12"/>
  <c r="L469" i="12"/>
  <c r="I469" i="12"/>
  <c r="K469" i="12" s="1"/>
  <c r="I468" i="12"/>
  <c r="I467" i="12"/>
  <c r="K467" i="12" s="1"/>
  <c r="N467" i="12" s="1"/>
  <c r="I466" i="12"/>
  <c r="J466" i="12" s="1"/>
  <c r="K466" i="12" s="1"/>
  <c r="N466" i="12" s="1"/>
  <c r="I465" i="12"/>
  <c r="K465" i="12" s="1"/>
  <c r="N465" i="12" s="1"/>
  <c r="I464" i="12"/>
  <c r="K464" i="12" s="1"/>
  <c r="N464" i="12" s="1"/>
  <c r="I463" i="12"/>
  <c r="K463" i="12" s="1"/>
  <c r="N463" i="12" s="1"/>
  <c r="I462" i="12"/>
  <c r="K462" i="12" s="1"/>
  <c r="N462" i="12" s="1"/>
  <c r="I461" i="12"/>
  <c r="K461" i="12" s="1"/>
  <c r="N461" i="12" s="1"/>
  <c r="I460" i="12"/>
  <c r="K460" i="12" s="1"/>
  <c r="N460" i="12" s="1"/>
  <c r="I459" i="12"/>
  <c r="K459" i="12" s="1"/>
  <c r="N459" i="12" s="1"/>
  <c r="I458" i="12"/>
  <c r="K458" i="12" s="1"/>
  <c r="N458" i="12" s="1"/>
  <c r="I457" i="12"/>
  <c r="K457" i="12" s="1"/>
  <c r="N457" i="12" s="1"/>
  <c r="I456" i="12"/>
  <c r="K456" i="12" s="1"/>
  <c r="N456" i="12" s="1"/>
  <c r="I455" i="12"/>
  <c r="K455" i="12" s="1"/>
  <c r="N455" i="12" s="1"/>
  <c r="I454" i="12"/>
  <c r="K454" i="12" s="1"/>
  <c r="N454" i="12" s="1"/>
  <c r="I453" i="12"/>
  <c r="K453" i="12" s="1"/>
  <c r="N453" i="12" s="1"/>
  <c r="I452" i="12"/>
  <c r="I451" i="12"/>
  <c r="J451" i="12" s="1"/>
  <c r="L450" i="12"/>
  <c r="I450" i="12"/>
  <c r="K450" i="12" s="1"/>
  <c r="I449" i="12"/>
  <c r="K449" i="12" s="1"/>
  <c r="N449" i="12" s="1"/>
  <c r="I448" i="12"/>
  <c r="K448" i="12" s="1"/>
  <c r="N448" i="12" s="1"/>
  <c r="I447" i="12"/>
  <c r="K447" i="12" s="1"/>
  <c r="N447" i="12" s="1"/>
  <c r="I446" i="12"/>
  <c r="K446" i="12" s="1"/>
  <c r="N446" i="12" s="1"/>
  <c r="I445" i="12"/>
  <c r="J445" i="12" s="1"/>
  <c r="I444" i="12"/>
  <c r="K444" i="12" s="1"/>
  <c r="N444" i="12" s="1"/>
  <c r="I443" i="12"/>
  <c r="K443" i="12" s="1"/>
  <c r="N443" i="12" s="1"/>
  <c r="I442" i="12"/>
  <c r="K442" i="12" s="1"/>
  <c r="N442" i="12" s="1"/>
  <c r="I441" i="12"/>
  <c r="K441" i="12" s="1"/>
  <c r="N441" i="12" s="1"/>
  <c r="I440" i="12"/>
  <c r="K440" i="12" s="1"/>
  <c r="N440" i="12" s="1"/>
  <c r="I439" i="12"/>
  <c r="K439" i="12" s="1"/>
  <c r="N439" i="12" s="1"/>
  <c r="I438" i="12"/>
  <c r="K438" i="12" s="1"/>
  <c r="N438" i="12" s="1"/>
  <c r="I437" i="12"/>
  <c r="K437" i="12" s="1"/>
  <c r="N437" i="12" s="1"/>
  <c r="I436" i="12"/>
  <c r="I435" i="12"/>
  <c r="J435" i="12" s="1"/>
  <c r="I434" i="12"/>
  <c r="I433" i="12"/>
  <c r="J433" i="12" s="1"/>
  <c r="I432" i="12"/>
  <c r="I431" i="12"/>
  <c r="K431" i="12" s="1"/>
  <c r="N431" i="12" s="1"/>
  <c r="I430" i="12"/>
  <c r="K430" i="12" s="1"/>
  <c r="N430" i="12" s="1"/>
  <c r="I429" i="12"/>
  <c r="K429" i="12" s="1"/>
  <c r="N429" i="12" s="1"/>
  <c r="L428" i="12"/>
  <c r="I428" i="12"/>
  <c r="K428" i="12" s="1"/>
  <c r="I427" i="12"/>
  <c r="K427" i="12" s="1"/>
  <c r="N427" i="12" s="1"/>
  <c r="I426" i="12"/>
  <c r="K426" i="12" s="1"/>
  <c r="N426" i="12" s="1"/>
  <c r="L425" i="12"/>
  <c r="I425" i="12"/>
  <c r="K425" i="12" s="1"/>
  <c r="I424" i="12"/>
  <c r="K424" i="12" s="1"/>
  <c r="N424" i="12" s="1"/>
  <c r="I423" i="12"/>
  <c r="J423" i="12" s="1"/>
  <c r="I422" i="12"/>
  <c r="I421" i="12"/>
  <c r="K421" i="12" s="1"/>
  <c r="N421" i="12" s="1"/>
  <c r="I420" i="12"/>
  <c r="K420" i="12" s="1"/>
  <c r="N420" i="12" s="1"/>
  <c r="I419" i="12"/>
  <c r="J419" i="12" s="1"/>
  <c r="I418" i="12"/>
  <c r="K418" i="12" s="1"/>
  <c r="N418" i="12" s="1"/>
  <c r="I417" i="12"/>
  <c r="K417" i="12" s="1"/>
  <c r="N417" i="12" s="1"/>
  <c r="I416" i="12"/>
  <c r="K416" i="12" s="1"/>
  <c r="N416" i="12" s="1"/>
  <c r="I415" i="12"/>
  <c r="K415" i="12" s="1"/>
  <c r="N415" i="12" s="1"/>
  <c r="I414" i="12"/>
  <c r="K414" i="12" s="1"/>
  <c r="N414" i="12" s="1"/>
  <c r="I413" i="12"/>
  <c r="K413" i="12" s="1"/>
  <c r="N413" i="12" s="1"/>
  <c r="I412" i="12"/>
  <c r="I411" i="12"/>
  <c r="J411" i="12" s="1"/>
  <c r="I410" i="12"/>
  <c r="K410" i="12" s="1"/>
  <c r="N410" i="12" s="1"/>
  <c r="I409" i="12"/>
  <c r="K409" i="12" s="1"/>
  <c r="N409" i="12" s="1"/>
  <c r="I408" i="12"/>
  <c r="K408" i="12" s="1"/>
  <c r="N408" i="12" s="1"/>
  <c r="L407" i="12"/>
  <c r="I407" i="12"/>
  <c r="K407" i="12" s="1"/>
  <c r="I406" i="12"/>
  <c r="J406" i="12" s="1"/>
  <c r="I405" i="12"/>
  <c r="K405" i="12" s="1"/>
  <c r="N405" i="12" s="1"/>
  <c r="I404" i="12"/>
  <c r="K404" i="12" s="1"/>
  <c r="N404" i="12" s="1"/>
  <c r="N403" i="12"/>
  <c r="I403" i="12"/>
  <c r="K403" i="12" s="1"/>
  <c r="I402" i="12"/>
  <c r="K402" i="12" s="1"/>
  <c r="N402" i="12" s="1"/>
  <c r="I401" i="12"/>
  <c r="K401" i="12" s="1"/>
  <c r="N401" i="12" s="1"/>
  <c r="I400" i="12"/>
  <c r="K400" i="12" s="1"/>
  <c r="N400" i="12" s="1"/>
  <c r="I399" i="12"/>
  <c r="K399" i="12" s="1"/>
  <c r="N399" i="12" s="1"/>
  <c r="L398" i="12"/>
  <c r="I398" i="12"/>
  <c r="K398" i="12" s="1"/>
  <c r="I397" i="12"/>
  <c r="K397" i="12" s="1"/>
  <c r="N397" i="12" s="1"/>
  <c r="I396" i="12"/>
  <c r="K396" i="12" s="1"/>
  <c r="N396" i="12" s="1"/>
  <c r="I395" i="12"/>
  <c r="K395" i="12" s="1"/>
  <c r="N395" i="12" s="1"/>
  <c r="I394" i="12"/>
  <c r="K394" i="12" s="1"/>
  <c r="N394" i="12" s="1"/>
  <c r="I393" i="12"/>
  <c r="K393" i="12" s="1"/>
  <c r="N393" i="12" s="1"/>
  <c r="I392" i="12"/>
  <c r="K392" i="12" s="1"/>
  <c r="N392" i="12" s="1"/>
  <c r="L391" i="12"/>
  <c r="I391" i="12"/>
  <c r="K391" i="12" s="1"/>
  <c r="I390" i="12"/>
  <c r="I389" i="12"/>
  <c r="K389" i="12" s="1"/>
  <c r="N389" i="12" s="1"/>
  <c r="I388" i="12"/>
  <c r="K388" i="12" s="1"/>
  <c r="N388" i="12" s="1"/>
  <c r="L387" i="12"/>
  <c r="I387" i="12"/>
  <c r="K387" i="12" s="1"/>
  <c r="I386" i="12"/>
  <c r="K386" i="12" s="1"/>
  <c r="N386" i="12" s="1"/>
  <c r="I385" i="12"/>
  <c r="K385" i="12" s="1"/>
  <c r="N385" i="12" s="1"/>
  <c r="I384" i="12"/>
  <c r="K384" i="12" s="1"/>
  <c r="N384" i="12" s="1"/>
  <c r="I383" i="12"/>
  <c r="J383" i="12" s="1"/>
  <c r="I382" i="12"/>
  <c r="J382" i="12" s="1"/>
  <c r="I381" i="12"/>
  <c r="I380" i="12"/>
  <c r="J380" i="12" s="1"/>
  <c r="I379" i="12"/>
  <c r="I378" i="12"/>
  <c r="J378" i="12" s="1"/>
  <c r="I377" i="12"/>
  <c r="I376" i="12"/>
  <c r="J376" i="12" s="1"/>
  <c r="I375" i="12"/>
  <c r="J375" i="12" s="1"/>
  <c r="I374" i="12"/>
  <c r="J374" i="12" s="1"/>
  <c r="I373" i="12"/>
  <c r="J373" i="12" s="1"/>
  <c r="I372" i="12"/>
  <c r="J372" i="12" s="1"/>
  <c r="I371" i="12"/>
  <c r="J371" i="12" s="1"/>
  <c r="I370" i="12"/>
  <c r="J370" i="12" s="1"/>
  <c r="I369" i="12"/>
  <c r="J369" i="12" s="1"/>
  <c r="I368" i="12"/>
  <c r="J368" i="12" s="1"/>
  <c r="I367" i="12"/>
  <c r="J367" i="12" s="1"/>
  <c r="I366" i="12"/>
  <c r="J366" i="12" s="1"/>
  <c r="I365" i="12"/>
  <c r="I364" i="12"/>
  <c r="K364" i="12" s="1"/>
  <c r="N364" i="12" s="1"/>
  <c r="I363" i="12"/>
  <c r="I362" i="12"/>
  <c r="K362" i="12" s="1"/>
  <c r="N362" i="12" s="1"/>
  <c r="I361" i="12"/>
  <c r="J361" i="12" s="1"/>
  <c r="I360" i="12"/>
  <c r="I359" i="12"/>
  <c r="K359" i="12" s="1"/>
  <c r="N359" i="12" s="1"/>
  <c r="I358" i="12"/>
  <c r="K358" i="12" s="1"/>
  <c r="N358" i="12" s="1"/>
  <c r="I357" i="12"/>
  <c r="K357" i="12" s="1"/>
  <c r="N357" i="12" s="1"/>
  <c r="I356" i="12"/>
  <c r="K356" i="12" s="1"/>
  <c r="N356" i="12" s="1"/>
  <c r="I355" i="12"/>
  <c r="K355" i="12" s="1"/>
  <c r="N355" i="12" s="1"/>
  <c r="I354" i="12"/>
  <c r="I353" i="12"/>
  <c r="I352" i="12"/>
  <c r="I351" i="12"/>
  <c r="K351" i="12" s="1"/>
  <c r="N351" i="12" s="1"/>
  <c r="I350" i="12"/>
  <c r="K350" i="12" s="1"/>
  <c r="N350" i="12" s="1"/>
  <c r="I349" i="12"/>
  <c r="K349" i="12" s="1"/>
  <c r="N349" i="12" s="1"/>
  <c r="I348" i="12"/>
  <c r="J348" i="12" s="1"/>
  <c r="I347" i="12"/>
  <c r="J347" i="12" s="1"/>
  <c r="I346" i="12"/>
  <c r="J346" i="12" s="1"/>
  <c r="I345" i="12"/>
  <c r="J345" i="12" s="1"/>
  <c r="I344" i="12"/>
  <c r="J344" i="12" s="1"/>
  <c r="I343" i="12"/>
  <c r="I342" i="12"/>
  <c r="J342" i="12" s="1"/>
  <c r="I341" i="12"/>
  <c r="J341" i="12" s="1"/>
  <c r="I340" i="12"/>
  <c r="K340" i="12" s="1"/>
  <c r="N340" i="12" s="1"/>
  <c r="I339" i="12"/>
  <c r="K339" i="12" s="1"/>
  <c r="N339" i="12" s="1"/>
  <c r="I338" i="12"/>
  <c r="K338" i="12" s="1"/>
  <c r="N338" i="12" s="1"/>
  <c r="L337" i="12"/>
  <c r="I337" i="12"/>
  <c r="K337" i="12" s="1"/>
  <c r="I336" i="12"/>
  <c r="K336" i="12" s="1"/>
  <c r="N336" i="12" s="1"/>
  <c r="I335" i="12"/>
  <c r="K335" i="12" s="1"/>
  <c r="N335" i="12" s="1"/>
  <c r="I334" i="12"/>
  <c r="K334" i="12" s="1"/>
  <c r="N334" i="12" s="1"/>
  <c r="I333" i="12"/>
  <c r="I332" i="12"/>
  <c r="K332" i="12" s="1"/>
  <c r="N332" i="12" s="1"/>
  <c r="I331" i="12"/>
  <c r="K331" i="12" s="1"/>
  <c r="N331" i="12" s="1"/>
  <c r="I330" i="12"/>
  <c r="K330" i="12" s="1"/>
  <c r="N330" i="12" s="1"/>
  <c r="I329" i="12"/>
  <c r="K329" i="12" s="1"/>
  <c r="N329" i="12" s="1"/>
  <c r="I328" i="12"/>
  <c r="J328" i="12" s="1"/>
  <c r="K328" i="12" s="1"/>
  <c r="N328" i="12" s="1"/>
  <c r="I327" i="12"/>
  <c r="K327" i="12" s="1"/>
  <c r="N327" i="12" s="1"/>
  <c r="I326" i="12"/>
  <c r="K326" i="12" s="1"/>
  <c r="N326" i="12" s="1"/>
  <c r="I325" i="12"/>
  <c r="K325" i="12" s="1"/>
  <c r="N325" i="12" s="1"/>
  <c r="L324" i="12"/>
  <c r="I324" i="12"/>
  <c r="K324" i="12" s="1"/>
  <c r="L323" i="12"/>
  <c r="I323" i="12"/>
  <c r="K323" i="12" s="1"/>
  <c r="I322" i="12"/>
  <c r="K322" i="12" s="1"/>
  <c r="N322" i="12" s="1"/>
  <c r="I321" i="12"/>
  <c r="K321" i="12" s="1"/>
  <c r="N321" i="12" s="1"/>
  <c r="I320" i="12"/>
  <c r="K320" i="12" s="1"/>
  <c r="N320" i="12" s="1"/>
  <c r="I319" i="12"/>
  <c r="K319" i="12" s="1"/>
  <c r="N319" i="12" s="1"/>
  <c r="I318" i="12"/>
  <c r="I317" i="12"/>
  <c r="J317" i="12" s="1"/>
  <c r="K317" i="12" s="1"/>
  <c r="N317" i="12" s="1"/>
  <c r="I316" i="12"/>
  <c r="J316" i="12" s="1"/>
  <c r="K316" i="12" s="1"/>
  <c r="N316" i="12" s="1"/>
  <c r="I315" i="12"/>
  <c r="K315" i="12" s="1"/>
  <c r="N315" i="12" s="1"/>
  <c r="I314" i="12"/>
  <c r="K314" i="12" s="1"/>
  <c r="N314" i="12" s="1"/>
  <c r="I313" i="12"/>
  <c r="K313" i="12" s="1"/>
  <c r="N313" i="12" s="1"/>
  <c r="I312" i="12"/>
  <c r="K312" i="12" s="1"/>
  <c r="N312" i="12" s="1"/>
  <c r="I311" i="12"/>
  <c r="K311" i="12" s="1"/>
  <c r="N311" i="12" s="1"/>
  <c r="I310" i="12"/>
  <c r="K310" i="12" s="1"/>
  <c r="N310" i="12" s="1"/>
  <c r="I309" i="12"/>
  <c r="K309" i="12" s="1"/>
  <c r="N309" i="12" s="1"/>
  <c r="I308" i="12"/>
  <c r="K308" i="12" s="1"/>
  <c r="N308" i="12" s="1"/>
  <c r="I307" i="12"/>
  <c r="K307" i="12" s="1"/>
  <c r="N307" i="12" s="1"/>
  <c r="I306" i="12"/>
  <c r="K306" i="12" s="1"/>
  <c r="N306" i="12" s="1"/>
  <c r="I305" i="12"/>
  <c r="I304" i="12"/>
  <c r="J304" i="12" s="1"/>
  <c r="I303" i="12"/>
  <c r="K303" i="12" s="1"/>
  <c r="N303" i="12" s="1"/>
  <c r="I302" i="12"/>
  <c r="K302" i="12" s="1"/>
  <c r="N302" i="12" s="1"/>
  <c r="I301" i="12"/>
  <c r="K301" i="12" s="1"/>
  <c r="N301" i="12" s="1"/>
  <c r="I300" i="12"/>
  <c r="I299" i="12"/>
  <c r="I298" i="12"/>
  <c r="I297" i="12"/>
  <c r="J297" i="12" s="1"/>
  <c r="K297" i="12" s="1"/>
  <c r="N297" i="12" s="1"/>
  <c r="L296" i="12"/>
  <c r="I296" i="12"/>
  <c r="K296" i="12" s="1"/>
  <c r="I295" i="12"/>
  <c r="K295" i="12" s="1"/>
  <c r="N295" i="12" s="1"/>
  <c r="I294" i="12"/>
  <c r="J294" i="12" s="1"/>
  <c r="L293" i="12"/>
  <c r="I293" i="12"/>
  <c r="K293" i="12" s="1"/>
  <c r="I292" i="12"/>
  <c r="I291" i="12"/>
  <c r="I290" i="12"/>
  <c r="I289" i="12"/>
  <c r="J289" i="12" s="1"/>
  <c r="I288" i="12"/>
  <c r="I287" i="12"/>
  <c r="K287" i="12" s="1"/>
  <c r="N287" i="12" s="1"/>
  <c r="I286" i="12"/>
  <c r="K286" i="12" s="1"/>
  <c r="N286" i="12" s="1"/>
  <c r="I285" i="12"/>
  <c r="K285" i="12" s="1"/>
  <c r="N285" i="12" s="1"/>
  <c r="I284" i="12"/>
  <c r="K284" i="12" s="1"/>
  <c r="N284" i="12" s="1"/>
  <c r="I283" i="12"/>
  <c r="J283" i="12" s="1"/>
  <c r="I282" i="12"/>
  <c r="L281" i="12"/>
  <c r="I281" i="12"/>
  <c r="K281" i="12" s="1"/>
  <c r="I280" i="12"/>
  <c r="I279" i="12"/>
  <c r="I278" i="12"/>
  <c r="J278" i="12" s="1"/>
  <c r="I277" i="12"/>
  <c r="I276" i="12"/>
  <c r="K276" i="12" s="1"/>
  <c r="N276" i="12" s="1"/>
  <c r="I275" i="12"/>
  <c r="I274" i="12"/>
  <c r="I273" i="12"/>
  <c r="I272" i="12"/>
  <c r="I271" i="12"/>
  <c r="I270" i="12"/>
  <c r="I269" i="12"/>
  <c r="I268" i="12"/>
  <c r="I267" i="12"/>
  <c r="I266" i="12"/>
  <c r="I265" i="12"/>
  <c r="I264" i="12"/>
  <c r="K264" i="12" s="1"/>
  <c r="N264" i="12" s="1"/>
  <c r="I263" i="12"/>
  <c r="K263" i="12" s="1"/>
  <c r="N263" i="12" s="1"/>
  <c r="I262" i="12"/>
  <c r="J262" i="12" s="1"/>
  <c r="K262" i="12" s="1"/>
  <c r="N262" i="12" s="1"/>
  <c r="I261" i="12"/>
  <c r="J261" i="12" s="1"/>
  <c r="K261" i="12" s="1"/>
  <c r="N261" i="12" s="1"/>
  <c r="I260" i="12"/>
  <c r="J260" i="12" s="1"/>
  <c r="K260" i="12" s="1"/>
  <c r="N260" i="12" s="1"/>
  <c r="I259" i="12"/>
  <c r="J259" i="12" s="1"/>
  <c r="K259" i="12" s="1"/>
  <c r="N259" i="12" s="1"/>
  <c r="I258" i="12"/>
  <c r="K258" i="12" s="1"/>
  <c r="N258" i="12" s="1"/>
  <c r="I257" i="12"/>
  <c r="I256" i="12"/>
  <c r="I255" i="12"/>
  <c r="K255" i="12" s="1"/>
  <c r="N255" i="12" s="1"/>
  <c r="I254" i="12"/>
  <c r="K254" i="12" s="1"/>
  <c r="N254" i="12" s="1"/>
  <c r="I253" i="12"/>
  <c r="K253" i="12" s="1"/>
  <c r="N253" i="12" s="1"/>
  <c r="I252" i="12"/>
  <c r="K252" i="12" s="1"/>
  <c r="N252" i="12" s="1"/>
  <c r="I251" i="12"/>
  <c r="J251" i="12" s="1"/>
  <c r="I250" i="12"/>
  <c r="J250" i="12" s="1"/>
  <c r="I249" i="12"/>
  <c r="K249" i="12" s="1"/>
  <c r="N249" i="12" s="1"/>
  <c r="I248" i="12"/>
  <c r="K248" i="12" s="1"/>
  <c r="N248" i="12" s="1"/>
  <c r="I247" i="12"/>
  <c r="K247" i="12" s="1"/>
  <c r="N247" i="12" s="1"/>
  <c r="I246" i="12"/>
  <c r="I245" i="12"/>
  <c r="J245" i="12" s="1"/>
  <c r="K245" i="12" s="1"/>
  <c r="N245" i="12" s="1"/>
  <c r="I244" i="12"/>
  <c r="K244" i="12" s="1"/>
  <c r="N244" i="12" s="1"/>
  <c r="I243" i="12"/>
  <c r="K243" i="12" s="1"/>
  <c r="N243" i="12" s="1"/>
  <c r="I242" i="12"/>
  <c r="I241" i="12"/>
  <c r="L240" i="12"/>
  <c r="I240" i="12"/>
  <c r="K240" i="12" s="1"/>
  <c r="I239" i="12"/>
  <c r="I238" i="12"/>
  <c r="I237" i="12"/>
  <c r="I236" i="12"/>
  <c r="I235" i="12"/>
  <c r="I234" i="12"/>
  <c r="I233" i="12"/>
  <c r="I232" i="12"/>
  <c r="I231" i="12"/>
  <c r="I230" i="12"/>
  <c r="I229" i="12"/>
  <c r="I228" i="12"/>
  <c r="I227" i="12"/>
  <c r="I226" i="12"/>
  <c r="I225" i="12"/>
  <c r="I224" i="12"/>
  <c r="I223" i="12"/>
  <c r="I222" i="12"/>
  <c r="I221" i="12"/>
  <c r="I220" i="12"/>
  <c r="I219" i="12"/>
  <c r="I218" i="12"/>
  <c r="I217" i="12"/>
  <c r="I216" i="12"/>
  <c r="J216" i="12" s="1"/>
  <c r="I215" i="12"/>
  <c r="J215" i="12" s="1"/>
  <c r="I214" i="12"/>
  <c r="J214" i="12" s="1"/>
  <c r="I213" i="12"/>
  <c r="I212" i="12"/>
  <c r="J212" i="12" s="1"/>
  <c r="I211" i="12"/>
  <c r="J211" i="12" s="1"/>
  <c r="I210" i="12"/>
  <c r="J210" i="12" s="1"/>
  <c r="I209" i="12"/>
  <c r="J208" i="12"/>
  <c r="I208" i="12"/>
  <c r="I207" i="12"/>
  <c r="J207" i="12" s="1"/>
  <c r="I206" i="12"/>
  <c r="J206" i="12" s="1"/>
  <c r="I205" i="12"/>
  <c r="I204" i="12"/>
  <c r="J204" i="12" s="1"/>
  <c r="I203" i="12"/>
  <c r="J203" i="12" s="1"/>
  <c r="I202" i="12"/>
  <c r="J202" i="12" s="1"/>
  <c r="I201" i="12"/>
  <c r="I200" i="12"/>
  <c r="J200" i="12" s="1"/>
  <c r="I199" i="12"/>
  <c r="K199" i="12" s="1"/>
  <c r="N199" i="12" s="1"/>
  <c r="I198" i="12"/>
  <c r="J198" i="12" s="1"/>
  <c r="I197" i="12"/>
  <c r="K197" i="12" s="1"/>
  <c r="N197" i="12" s="1"/>
  <c r="I196" i="12"/>
  <c r="K196" i="12" s="1"/>
  <c r="N196" i="12" s="1"/>
  <c r="I195" i="12"/>
  <c r="J195" i="12" s="1"/>
  <c r="I194" i="12"/>
  <c r="K194" i="12" s="1"/>
  <c r="N194" i="12" s="1"/>
  <c r="I193" i="12"/>
  <c r="K193" i="12" s="1"/>
  <c r="N193" i="12" s="1"/>
  <c r="I192" i="12"/>
  <c r="J192" i="12" s="1"/>
  <c r="I191" i="12"/>
  <c r="K191" i="12" s="1"/>
  <c r="N191" i="12" s="1"/>
  <c r="I190" i="12"/>
  <c r="K190" i="12" s="1"/>
  <c r="N190" i="12" s="1"/>
  <c r="I189" i="12"/>
  <c r="K189" i="12" s="1"/>
  <c r="N189" i="12" s="1"/>
  <c r="I188" i="12"/>
  <c r="K188" i="12" s="1"/>
  <c r="N188" i="12" s="1"/>
  <c r="I187" i="12"/>
  <c r="K187" i="12" s="1"/>
  <c r="N187" i="12" s="1"/>
  <c r="I186" i="12"/>
  <c r="J186" i="12" s="1"/>
  <c r="K186" i="12" s="1"/>
  <c r="N186" i="12" s="1"/>
  <c r="I185" i="12"/>
  <c r="K185" i="12" s="1"/>
  <c r="N185" i="12" s="1"/>
  <c r="I184" i="12"/>
  <c r="K184" i="12" s="1"/>
  <c r="N184" i="12" s="1"/>
  <c r="I183" i="12"/>
  <c r="K183" i="12" s="1"/>
  <c r="N183" i="12" s="1"/>
  <c r="I182" i="12"/>
  <c r="J182" i="12" s="1"/>
  <c r="I181" i="12"/>
  <c r="J181" i="12" s="1"/>
  <c r="I180" i="12"/>
  <c r="I179" i="12"/>
  <c r="J179" i="12" s="1"/>
  <c r="I178" i="12"/>
  <c r="J178" i="12" s="1"/>
  <c r="I177" i="12"/>
  <c r="J177" i="12" s="1"/>
  <c r="I176" i="12"/>
  <c r="J176" i="12" s="1"/>
  <c r="I175" i="12"/>
  <c r="J175" i="12" s="1"/>
  <c r="I174" i="12"/>
  <c r="J174" i="12" s="1"/>
  <c r="I173" i="12"/>
  <c r="J173" i="12" s="1"/>
  <c r="I172" i="12"/>
  <c r="I171" i="12"/>
  <c r="J171" i="12" s="1"/>
  <c r="I170" i="12"/>
  <c r="J170" i="12" s="1"/>
  <c r="I169" i="12"/>
  <c r="J169" i="12" s="1"/>
  <c r="I168" i="12"/>
  <c r="J168" i="12" s="1"/>
  <c r="I167" i="12"/>
  <c r="J167" i="12" s="1"/>
  <c r="I166" i="12"/>
  <c r="J166" i="12" s="1"/>
  <c r="I165" i="12"/>
  <c r="J165" i="12" s="1"/>
  <c r="I164" i="12"/>
  <c r="I163" i="12"/>
  <c r="J163" i="12" s="1"/>
  <c r="I162" i="12"/>
  <c r="J162" i="12" s="1"/>
  <c r="I161" i="12"/>
  <c r="J161" i="12" s="1"/>
  <c r="I160" i="12"/>
  <c r="J160" i="12" s="1"/>
  <c r="I159" i="12"/>
  <c r="J159" i="12" s="1"/>
  <c r="I158" i="12"/>
  <c r="J158" i="12" s="1"/>
  <c r="I157" i="12"/>
  <c r="J157" i="12" s="1"/>
  <c r="I156" i="12"/>
  <c r="I155" i="12"/>
  <c r="J155" i="12" s="1"/>
  <c r="I154" i="12"/>
  <c r="K154" i="12" s="1"/>
  <c r="N154" i="12" s="1"/>
  <c r="I153" i="12"/>
  <c r="K153" i="12" s="1"/>
  <c r="N153" i="12" s="1"/>
  <c r="L152" i="12"/>
  <c r="I152" i="12"/>
  <c r="K152" i="12" s="1"/>
  <c r="I151" i="12"/>
  <c r="K151" i="12" s="1"/>
  <c r="N151" i="12" s="1"/>
  <c r="I150" i="12"/>
  <c r="K150" i="12" s="1"/>
  <c r="N150" i="12" s="1"/>
  <c r="I149" i="12"/>
  <c r="K149" i="12" s="1"/>
  <c r="N149" i="12" s="1"/>
  <c r="I148" i="12"/>
  <c r="K148" i="12" s="1"/>
  <c r="N148" i="12" s="1"/>
  <c r="I147" i="12"/>
  <c r="I146" i="12"/>
  <c r="J146" i="12" s="1"/>
  <c r="I145" i="12"/>
  <c r="J145" i="12" s="1"/>
  <c r="K145" i="12" s="1"/>
  <c r="N145" i="12" s="1"/>
  <c r="I144" i="12"/>
  <c r="J144" i="12" s="1"/>
  <c r="K144" i="12" s="1"/>
  <c r="N144" i="12" s="1"/>
  <c r="I143" i="12"/>
  <c r="I142" i="12"/>
  <c r="I141" i="12"/>
  <c r="J141" i="12" s="1"/>
  <c r="K141" i="12" s="1"/>
  <c r="N141" i="12" s="1"/>
  <c r="I140" i="12"/>
  <c r="J140" i="12" s="1"/>
  <c r="K140" i="12" s="1"/>
  <c r="N140" i="12" s="1"/>
  <c r="I139" i="12"/>
  <c r="I138" i="12"/>
  <c r="J138" i="12" s="1"/>
  <c r="I137" i="12"/>
  <c r="J137" i="12" s="1"/>
  <c r="K137" i="12" s="1"/>
  <c r="N137" i="12" s="1"/>
  <c r="I136" i="12"/>
  <c r="J136" i="12" s="1"/>
  <c r="K136" i="12" s="1"/>
  <c r="N136" i="12" s="1"/>
  <c r="I135" i="12"/>
  <c r="I134" i="12"/>
  <c r="I133" i="12"/>
  <c r="J133" i="12" s="1"/>
  <c r="K133" i="12" s="1"/>
  <c r="N133" i="12" s="1"/>
  <c r="I132" i="12"/>
  <c r="J132" i="12" s="1"/>
  <c r="K132" i="12" s="1"/>
  <c r="N132" i="12" s="1"/>
  <c r="I131" i="12"/>
  <c r="I130" i="12"/>
  <c r="J130" i="12" s="1"/>
  <c r="I129" i="12"/>
  <c r="J129" i="12" s="1"/>
  <c r="K129" i="12" s="1"/>
  <c r="N129" i="12" s="1"/>
  <c r="I128" i="12"/>
  <c r="K128" i="12" s="1"/>
  <c r="N128" i="12" s="1"/>
  <c r="I127" i="12"/>
  <c r="J127" i="12" s="1"/>
  <c r="I126" i="12"/>
  <c r="K126" i="12" s="1"/>
  <c r="N126" i="12" s="1"/>
  <c r="I125" i="12"/>
  <c r="K125" i="12" s="1"/>
  <c r="N125" i="12" s="1"/>
  <c r="I124" i="12"/>
  <c r="K124" i="12" s="1"/>
  <c r="N124" i="12" s="1"/>
  <c r="I123" i="12"/>
  <c r="K123" i="12" s="1"/>
  <c r="N123" i="12" s="1"/>
  <c r="I122" i="12"/>
  <c r="K122" i="12" s="1"/>
  <c r="N122" i="12" s="1"/>
  <c r="I121" i="12"/>
  <c r="J121" i="12" s="1"/>
  <c r="I120" i="12"/>
  <c r="J120" i="12" s="1"/>
  <c r="L119" i="12"/>
  <c r="I119" i="12"/>
  <c r="K119" i="12" s="1"/>
  <c r="I118" i="12"/>
  <c r="J118" i="12" s="1"/>
  <c r="I117" i="12"/>
  <c r="J117" i="12" s="1"/>
  <c r="I116" i="12"/>
  <c r="I115" i="12"/>
  <c r="J115" i="12" s="1"/>
  <c r="L114" i="12"/>
  <c r="I114" i="12"/>
  <c r="K114" i="12" s="1"/>
  <c r="N114" i="12" s="1"/>
  <c r="I113" i="12"/>
  <c r="K113" i="12" s="1"/>
  <c r="N113" i="12" s="1"/>
  <c r="I112" i="12"/>
  <c r="K112" i="12" s="1"/>
  <c r="N112" i="12" s="1"/>
  <c r="I111" i="12"/>
  <c r="K111" i="12" s="1"/>
  <c r="N111" i="12" s="1"/>
  <c r="I110" i="12"/>
  <c r="I109" i="12"/>
  <c r="J109" i="12" s="1"/>
  <c r="I108" i="12"/>
  <c r="J108" i="12" s="1"/>
  <c r="I107" i="12"/>
  <c r="J107" i="12" s="1"/>
  <c r="I106" i="12"/>
  <c r="J106" i="12" s="1"/>
  <c r="K106" i="12" s="1"/>
  <c r="N106" i="12" s="1"/>
  <c r="I105" i="12"/>
  <c r="J105" i="12" s="1"/>
  <c r="K105" i="12" s="1"/>
  <c r="N105" i="12" s="1"/>
  <c r="I104" i="12"/>
  <c r="J104" i="12" s="1"/>
  <c r="K104" i="12" s="1"/>
  <c r="N104" i="12" s="1"/>
  <c r="I103" i="12"/>
  <c r="K103" i="12" s="1"/>
  <c r="N103" i="12" s="1"/>
  <c r="I102" i="12"/>
  <c r="K102" i="12" s="1"/>
  <c r="N102" i="12" s="1"/>
  <c r="I101" i="12"/>
  <c r="I100" i="12"/>
  <c r="J100" i="12" s="1"/>
  <c r="I99" i="12"/>
  <c r="K99" i="12" s="1"/>
  <c r="N99" i="12" s="1"/>
  <c r="I98" i="12"/>
  <c r="K98" i="12" s="1"/>
  <c r="N98" i="12" s="1"/>
  <c r="I97" i="12"/>
  <c r="K97" i="12" s="1"/>
  <c r="N97" i="12" s="1"/>
  <c r="I96" i="12"/>
  <c r="K96" i="12" s="1"/>
  <c r="N96" i="12" s="1"/>
  <c r="I95" i="12"/>
  <c r="J95" i="12" s="1"/>
  <c r="I94" i="12"/>
  <c r="I93" i="12"/>
  <c r="K93" i="12" s="1"/>
  <c r="N93" i="12" s="1"/>
  <c r="I92" i="12"/>
  <c r="K92" i="12" s="1"/>
  <c r="N92" i="12" s="1"/>
  <c r="I91" i="12"/>
  <c r="K91" i="12" s="1"/>
  <c r="N91" i="12" s="1"/>
  <c r="I90" i="12"/>
  <c r="K90" i="12" s="1"/>
  <c r="N90" i="12" s="1"/>
  <c r="I89" i="12"/>
  <c r="I88" i="12"/>
  <c r="J88" i="12" s="1"/>
  <c r="I87" i="12"/>
  <c r="I86" i="12"/>
  <c r="J86" i="12" s="1"/>
  <c r="I85" i="12"/>
  <c r="K85" i="12" s="1"/>
  <c r="N85" i="12" s="1"/>
  <c r="I84" i="12"/>
  <c r="K84" i="12" s="1"/>
  <c r="N84" i="12" s="1"/>
  <c r="I83" i="12"/>
  <c r="K83" i="12" s="1"/>
  <c r="N83" i="12" s="1"/>
  <c r="I82" i="12"/>
  <c r="I81" i="12"/>
  <c r="K81" i="12" s="1"/>
  <c r="N81" i="12" s="1"/>
  <c r="I80" i="12"/>
  <c r="K80" i="12" s="1"/>
  <c r="N80" i="12" s="1"/>
  <c r="I79" i="12"/>
  <c r="K79" i="12" s="1"/>
  <c r="N79" i="12" s="1"/>
  <c r="I78" i="12"/>
  <c r="K78" i="12" s="1"/>
  <c r="N78" i="12" s="1"/>
  <c r="I77" i="12"/>
  <c r="I76" i="12"/>
  <c r="I75" i="12"/>
  <c r="I74" i="12"/>
  <c r="I73" i="12"/>
  <c r="K73" i="12" s="1"/>
  <c r="N73" i="12" s="1"/>
  <c r="I72" i="12"/>
  <c r="I71" i="12"/>
  <c r="J71" i="12" s="1"/>
  <c r="I70" i="12"/>
  <c r="I69" i="12"/>
  <c r="K69" i="12" s="1"/>
  <c r="N69" i="12" s="1"/>
  <c r="I68" i="12"/>
  <c r="K68" i="12" s="1"/>
  <c r="N68" i="12" s="1"/>
  <c r="I67" i="12"/>
  <c r="K67" i="12" s="1"/>
  <c r="N67" i="12" s="1"/>
  <c r="I66" i="12"/>
  <c r="K66" i="12" s="1"/>
  <c r="N66" i="12" s="1"/>
  <c r="I65" i="12"/>
  <c r="K65" i="12" s="1"/>
  <c r="N65" i="12" s="1"/>
  <c r="I64" i="12"/>
  <c r="K64" i="12" s="1"/>
  <c r="N64" i="12" s="1"/>
  <c r="I63" i="12"/>
  <c r="K63" i="12" s="1"/>
  <c r="N63" i="12" s="1"/>
  <c r="I62" i="12"/>
  <c r="K62" i="12" s="1"/>
  <c r="N62" i="12" s="1"/>
  <c r="I61" i="12"/>
  <c r="K61" i="12" s="1"/>
  <c r="N61" i="12" s="1"/>
  <c r="I60" i="12"/>
  <c r="K60" i="12" s="1"/>
  <c r="N60" i="12" s="1"/>
  <c r="I59" i="12"/>
  <c r="K59" i="12" s="1"/>
  <c r="N59" i="12" s="1"/>
  <c r="I58" i="12"/>
  <c r="I57" i="12"/>
  <c r="I56" i="12"/>
  <c r="I55" i="12"/>
  <c r="I54" i="12"/>
  <c r="I53" i="12"/>
  <c r="I52" i="12"/>
  <c r="K52" i="12" s="1"/>
  <c r="N52" i="12" s="1"/>
  <c r="I51" i="12"/>
  <c r="J51" i="12" s="1"/>
  <c r="I50" i="12"/>
  <c r="I49" i="12"/>
  <c r="J49" i="12" s="1"/>
  <c r="I48" i="12"/>
  <c r="I47" i="12"/>
  <c r="J47" i="12" s="1"/>
  <c r="I46" i="12"/>
  <c r="J46" i="12" s="1"/>
  <c r="I45" i="12"/>
  <c r="I44" i="12"/>
  <c r="J44" i="12" s="1"/>
  <c r="I43" i="12"/>
  <c r="I42" i="12"/>
  <c r="K42" i="12" s="1"/>
  <c r="N42" i="12" s="1"/>
  <c r="I41" i="12"/>
  <c r="K41" i="12" s="1"/>
  <c r="N41" i="12" s="1"/>
  <c r="I40" i="12"/>
  <c r="K40" i="12" s="1"/>
  <c r="N40" i="12" s="1"/>
  <c r="I39" i="12"/>
  <c r="K39" i="12" s="1"/>
  <c r="N39" i="12" s="1"/>
  <c r="I38" i="12"/>
  <c r="I37" i="12"/>
  <c r="K37" i="12" s="1"/>
  <c r="N37" i="12" s="1"/>
  <c r="I36" i="12"/>
  <c r="K36" i="12" s="1"/>
  <c r="N36" i="12" s="1"/>
  <c r="I35" i="12"/>
  <c r="K35" i="12" s="1"/>
  <c r="N35" i="12" s="1"/>
  <c r="I34" i="12"/>
  <c r="K34" i="12" s="1"/>
  <c r="N34" i="12" s="1"/>
  <c r="I33" i="12"/>
  <c r="K33" i="12" s="1"/>
  <c r="N33" i="12" s="1"/>
  <c r="I32" i="12"/>
  <c r="K32" i="12" s="1"/>
  <c r="N32" i="12" s="1"/>
  <c r="I31" i="12"/>
  <c r="K31" i="12" s="1"/>
  <c r="N31" i="12" s="1"/>
  <c r="I30" i="12"/>
  <c r="K30" i="12" s="1"/>
  <c r="N30" i="12" s="1"/>
  <c r="I29" i="12"/>
  <c r="K29" i="12" s="1"/>
  <c r="N29" i="12" s="1"/>
  <c r="I28" i="12"/>
  <c r="K28" i="12" s="1"/>
  <c r="N28" i="12" s="1"/>
  <c r="I27" i="12"/>
  <c r="K27" i="12" s="1"/>
  <c r="N27" i="12" s="1"/>
  <c r="I26" i="12"/>
  <c r="K26" i="12" s="1"/>
  <c r="N26" i="12" s="1"/>
  <c r="I25" i="12"/>
  <c r="K25" i="12" s="1"/>
  <c r="N25" i="12" s="1"/>
  <c r="I24" i="12"/>
  <c r="K24" i="12" s="1"/>
  <c r="N24" i="12" s="1"/>
  <c r="I23" i="12"/>
  <c r="K23" i="12" s="1"/>
  <c r="N23" i="12" s="1"/>
  <c r="I22" i="12"/>
  <c r="K22" i="12" s="1"/>
  <c r="N22" i="12" s="1"/>
  <c r="I21" i="12"/>
  <c r="K21" i="12" s="1"/>
  <c r="N21" i="12" s="1"/>
  <c r="I20" i="12"/>
  <c r="K20" i="12" s="1"/>
  <c r="N20" i="12" s="1"/>
  <c r="I19" i="12"/>
  <c r="K19" i="12" s="1"/>
  <c r="N19" i="12" s="1"/>
  <c r="I18" i="12"/>
  <c r="K18" i="12" s="1"/>
  <c r="N18" i="12" s="1"/>
  <c r="I17" i="12"/>
  <c r="K17" i="12" s="1"/>
  <c r="N17" i="12" s="1"/>
  <c r="I16" i="12"/>
  <c r="K16" i="12" s="1"/>
  <c r="N16" i="12" s="1"/>
  <c r="I15" i="12"/>
  <c r="K15" i="12" s="1"/>
  <c r="N15" i="12" s="1"/>
  <c r="I14" i="12"/>
  <c r="K14" i="12" s="1"/>
  <c r="N14" i="12" s="1"/>
  <c r="I13" i="12"/>
  <c r="K13" i="12" s="1"/>
  <c r="N13" i="12" s="1"/>
  <c r="I12" i="12"/>
  <c r="K12" i="12" s="1"/>
  <c r="N12" i="12" s="1"/>
  <c r="I11" i="12"/>
  <c r="J11" i="12" s="1"/>
  <c r="K11" i="12" s="1"/>
  <c r="N11" i="12" s="1"/>
  <c r="I10" i="12"/>
  <c r="J10" i="12" s="1"/>
  <c r="K10" i="12" s="1"/>
  <c r="N10" i="12" s="1"/>
  <c r="I9" i="12"/>
  <c r="J9" i="12" s="1"/>
  <c r="K9" i="12" s="1"/>
  <c r="N9" i="12" s="1"/>
  <c r="I8" i="12"/>
  <c r="K8" i="12" s="1"/>
  <c r="N8" i="12" s="1"/>
  <c r="I7" i="12"/>
  <c r="K7" i="12" s="1"/>
  <c r="N7" i="12" s="1"/>
  <c r="I6" i="12"/>
  <c r="K6" i="12" s="1"/>
  <c r="N6" i="12" s="1"/>
  <c r="I5" i="12"/>
  <c r="K5" i="12" s="1"/>
  <c r="N5" i="12" s="1"/>
  <c r="I4" i="12"/>
  <c r="J4" i="12" s="1"/>
  <c r="K4" i="12" s="1"/>
  <c r="N4" i="12" s="1"/>
  <c r="I3" i="12"/>
  <c r="K3" i="12" s="1"/>
  <c r="N3" i="12" s="1"/>
  <c r="I2" i="12"/>
  <c r="N425" i="12" l="1"/>
  <c r="K174" i="12"/>
  <c r="N174" i="12" s="1"/>
  <c r="N240" i="12"/>
  <c r="N450" i="12"/>
  <c r="K160" i="12"/>
  <c r="N160" i="12" s="1"/>
  <c r="N152" i="12"/>
  <c r="K158" i="12"/>
  <c r="N158" i="12" s="1"/>
  <c r="K168" i="12"/>
  <c r="N168" i="12" s="1"/>
  <c r="N296" i="12"/>
  <c r="K176" i="12"/>
  <c r="N176" i="12" s="1"/>
  <c r="N119" i="12"/>
  <c r="N337" i="12"/>
  <c r="N428" i="12"/>
  <c r="N477" i="12"/>
  <c r="J318" i="12"/>
  <c r="K318" i="12"/>
  <c r="N318" i="12" s="1"/>
  <c r="N323" i="12"/>
  <c r="J381" i="12"/>
  <c r="K381" i="12" s="1"/>
  <c r="N381" i="12" s="1"/>
  <c r="J156" i="12"/>
  <c r="K156" i="12" s="1"/>
  <c r="N156" i="12" s="1"/>
  <c r="J246" i="12"/>
  <c r="K246" i="12" s="1"/>
  <c r="N246" i="12" s="1"/>
  <c r="J38" i="12"/>
  <c r="K38" i="12" s="1"/>
  <c r="N38" i="12" s="1"/>
  <c r="J43" i="12"/>
  <c r="K43" i="12" s="1"/>
  <c r="N43" i="12" s="1"/>
  <c r="K46" i="12"/>
  <c r="N46" i="12" s="1"/>
  <c r="J48" i="12"/>
  <c r="K48" i="12" s="1"/>
  <c r="N48" i="12" s="1"/>
  <c r="J87" i="12"/>
  <c r="K87" i="12" s="1"/>
  <c r="N87" i="12" s="1"/>
  <c r="J101" i="12"/>
  <c r="K101" i="12" s="1"/>
  <c r="N101" i="12" s="1"/>
  <c r="J116" i="12"/>
  <c r="K116" i="12" s="1"/>
  <c r="N116" i="12" s="1"/>
  <c r="J142" i="12"/>
  <c r="K142" i="12" s="1"/>
  <c r="N142" i="12" s="1"/>
  <c r="K166" i="12"/>
  <c r="N166" i="12" s="1"/>
  <c r="K182" i="12"/>
  <c r="N182" i="12" s="1"/>
  <c r="J365" i="12"/>
  <c r="K365" i="12" s="1"/>
  <c r="N365" i="12" s="1"/>
  <c r="J379" i="12"/>
  <c r="K379" i="12" s="1"/>
  <c r="N379" i="12" s="1"/>
  <c r="J470" i="12"/>
  <c r="K470" i="12" s="1"/>
  <c r="N470" i="12" s="1"/>
  <c r="J94" i="12"/>
  <c r="K94" i="12" s="1"/>
  <c r="N94" i="12" s="1"/>
  <c r="J360" i="12"/>
  <c r="K360" i="12" s="1"/>
  <c r="N360" i="12" s="1"/>
  <c r="J390" i="12"/>
  <c r="K390" i="12" s="1"/>
  <c r="N390" i="12" s="1"/>
  <c r="J45" i="12"/>
  <c r="K45" i="12" s="1"/>
  <c r="N45" i="12" s="1"/>
  <c r="J50" i="12"/>
  <c r="K50" i="12" s="1"/>
  <c r="N50" i="12" s="1"/>
  <c r="J89" i="12"/>
  <c r="K89" i="12" s="1"/>
  <c r="N89" i="12" s="1"/>
  <c r="K118" i="12"/>
  <c r="N118" i="12" s="1"/>
  <c r="K120" i="12"/>
  <c r="N120" i="12" s="1"/>
  <c r="J172" i="12"/>
  <c r="K172" i="12" s="1"/>
  <c r="N172" i="12" s="1"/>
  <c r="K44" i="12"/>
  <c r="N44" i="12" s="1"/>
  <c r="J70" i="12"/>
  <c r="K70" i="12" s="1"/>
  <c r="N70" i="12" s="1"/>
  <c r="J72" i="12"/>
  <c r="K72" i="12" s="1"/>
  <c r="N72" i="12" s="1"/>
  <c r="K107" i="12"/>
  <c r="N107" i="12" s="1"/>
  <c r="J134" i="12"/>
  <c r="K134" i="12" s="1"/>
  <c r="N134" i="12" s="1"/>
  <c r="J164" i="12"/>
  <c r="K164" i="12" s="1"/>
  <c r="N164" i="12" s="1"/>
  <c r="J180" i="12"/>
  <c r="K180" i="12" s="1"/>
  <c r="N180" i="12" s="1"/>
  <c r="N293" i="12"/>
  <c r="J298" i="12"/>
  <c r="K298" i="12" s="1"/>
  <c r="N298" i="12" s="1"/>
  <c r="K341" i="12"/>
  <c r="N341" i="12" s="1"/>
  <c r="J343" i="12"/>
  <c r="K343" i="12" s="1"/>
  <c r="N343" i="12" s="1"/>
  <c r="K375" i="12"/>
  <c r="N375" i="12" s="1"/>
  <c r="J377" i="12"/>
  <c r="K377" i="12" s="1"/>
  <c r="N377" i="12" s="1"/>
  <c r="N407" i="12"/>
  <c r="J468" i="12"/>
  <c r="K468" i="12" s="1"/>
  <c r="N468" i="12" s="1"/>
  <c r="K86" i="12"/>
  <c r="N86" i="12" s="1"/>
  <c r="K88" i="12"/>
  <c r="N88" i="12" s="1"/>
  <c r="K95" i="12"/>
  <c r="N95" i="12" s="1"/>
  <c r="K100" i="12"/>
  <c r="N100" i="12" s="1"/>
  <c r="K162" i="12"/>
  <c r="N162" i="12" s="1"/>
  <c r="K170" i="12"/>
  <c r="N170" i="12" s="1"/>
  <c r="K178" i="12"/>
  <c r="N178" i="12" s="1"/>
  <c r="K195" i="12"/>
  <c r="N195" i="12" s="1"/>
  <c r="N281" i="12"/>
  <c r="N324" i="12"/>
  <c r="K369" i="12"/>
  <c r="N369" i="12" s="1"/>
  <c r="K371" i="12"/>
  <c r="N371" i="12" s="1"/>
  <c r="K373" i="12"/>
  <c r="N373" i="12" s="1"/>
  <c r="K473" i="12"/>
  <c r="N473" i="12" s="1"/>
  <c r="K47" i="12"/>
  <c r="N47" i="12" s="1"/>
  <c r="K49" i="12"/>
  <c r="N49" i="12" s="1"/>
  <c r="K51" i="12"/>
  <c r="N51" i="12" s="1"/>
  <c r="K71" i="12"/>
  <c r="N71" i="12" s="1"/>
  <c r="K130" i="12"/>
  <c r="N130" i="12" s="1"/>
  <c r="K138" i="12"/>
  <c r="N138" i="12" s="1"/>
  <c r="K146" i="12"/>
  <c r="N146" i="12" s="1"/>
  <c r="K345" i="12"/>
  <c r="N345" i="12" s="1"/>
  <c r="K347" i="12"/>
  <c r="N347" i="12" s="1"/>
  <c r="K367" i="12"/>
  <c r="N367" i="12" s="1"/>
  <c r="K383" i="12"/>
  <c r="N383" i="12" s="1"/>
  <c r="J241" i="12"/>
  <c r="K241" i="12" s="1"/>
  <c r="N241" i="12" s="1"/>
  <c r="J277" i="12"/>
  <c r="K277" i="12" s="1"/>
  <c r="N277" i="12" s="1"/>
  <c r="J282" i="12"/>
  <c r="K282" i="12" s="1"/>
  <c r="N282" i="12" s="1"/>
  <c r="J53" i="12"/>
  <c r="K53" i="12" s="1"/>
  <c r="N53" i="12" s="1"/>
  <c r="J54" i="12"/>
  <c r="K54" i="12" s="1"/>
  <c r="N54" i="12" s="1"/>
  <c r="J55" i="12"/>
  <c r="K55" i="12" s="1"/>
  <c r="N55" i="12" s="1"/>
  <c r="J56" i="12"/>
  <c r="K56" i="12" s="1"/>
  <c r="N56" i="12" s="1"/>
  <c r="J57" i="12"/>
  <c r="K57" i="12" s="1"/>
  <c r="N57" i="12" s="1"/>
  <c r="J58" i="12"/>
  <c r="K58" i="12" s="1"/>
  <c r="N58" i="12" s="1"/>
  <c r="J74" i="12"/>
  <c r="K74" i="12" s="1"/>
  <c r="N74" i="12" s="1"/>
  <c r="J75" i="12"/>
  <c r="K75" i="12" s="1"/>
  <c r="N75" i="12" s="1"/>
  <c r="J76" i="12"/>
  <c r="K76" i="12" s="1"/>
  <c r="N76" i="12" s="1"/>
  <c r="J77" i="12"/>
  <c r="K77" i="12" s="1"/>
  <c r="N77" i="12" s="1"/>
  <c r="J82" i="12"/>
  <c r="K82" i="12" s="1"/>
  <c r="N82" i="12" s="1"/>
  <c r="K115" i="12"/>
  <c r="N115" i="12" s="1"/>
  <c r="K127" i="12"/>
  <c r="N127" i="12" s="1"/>
  <c r="J131" i="12"/>
  <c r="K131" i="12" s="1"/>
  <c r="N131" i="12" s="1"/>
  <c r="J135" i="12"/>
  <c r="K135" i="12" s="1"/>
  <c r="N135" i="12" s="1"/>
  <c r="J139" i="12"/>
  <c r="K139" i="12" s="1"/>
  <c r="N139" i="12" s="1"/>
  <c r="J143" i="12"/>
  <c r="K143" i="12" s="1"/>
  <c r="N143" i="12" s="1"/>
  <c r="J147" i="12"/>
  <c r="K147" i="12" s="1"/>
  <c r="N147" i="12" s="1"/>
  <c r="K157" i="12"/>
  <c r="N157" i="12" s="1"/>
  <c r="K161" i="12"/>
  <c r="N161" i="12" s="1"/>
  <c r="K165" i="12"/>
  <c r="N165" i="12" s="1"/>
  <c r="K169" i="12"/>
  <c r="N169" i="12" s="1"/>
  <c r="K173" i="12"/>
  <c r="N173" i="12" s="1"/>
  <c r="K177" i="12"/>
  <c r="N177" i="12" s="1"/>
  <c r="K181" i="12"/>
  <c r="N181" i="12" s="1"/>
  <c r="K202" i="12"/>
  <c r="N202" i="12" s="1"/>
  <c r="K206" i="12"/>
  <c r="N206" i="12" s="1"/>
  <c r="K210" i="12"/>
  <c r="N210" i="12" s="1"/>
  <c r="K214" i="12"/>
  <c r="N214" i="12" s="1"/>
  <c r="J218" i="12"/>
  <c r="K218" i="12" s="1"/>
  <c r="N218" i="12" s="1"/>
  <c r="J220" i="12"/>
  <c r="K220" i="12" s="1"/>
  <c r="N220" i="12" s="1"/>
  <c r="J222" i="12"/>
  <c r="K222" i="12" s="1"/>
  <c r="N222" i="12" s="1"/>
  <c r="J224" i="12"/>
  <c r="K224" i="12" s="1"/>
  <c r="N224" i="12" s="1"/>
  <c r="J226" i="12"/>
  <c r="K226" i="12" s="1"/>
  <c r="N226" i="12" s="1"/>
  <c r="J228" i="12"/>
  <c r="K228" i="12" s="1"/>
  <c r="N228" i="12" s="1"/>
  <c r="J230" i="12"/>
  <c r="K230" i="12" s="1"/>
  <c r="N230" i="12" s="1"/>
  <c r="J232" i="12"/>
  <c r="K232" i="12" s="1"/>
  <c r="N232" i="12" s="1"/>
  <c r="J234" i="12"/>
  <c r="K234" i="12" s="1"/>
  <c r="N234" i="12" s="1"/>
  <c r="J236" i="12"/>
  <c r="K236" i="12" s="1"/>
  <c r="N236" i="12" s="1"/>
  <c r="J238" i="12"/>
  <c r="K238" i="12" s="1"/>
  <c r="N238" i="12" s="1"/>
  <c r="K251" i="12"/>
  <c r="N251" i="12" s="1"/>
  <c r="J353" i="12"/>
  <c r="K353" i="12" s="1"/>
  <c r="N353" i="12" s="1"/>
  <c r="K108" i="12"/>
  <c r="N108" i="12" s="1"/>
  <c r="J363" i="12"/>
  <c r="K363" i="12" s="1"/>
  <c r="N363" i="12" s="1"/>
  <c r="J434" i="12"/>
  <c r="K434" i="12" s="1"/>
  <c r="N434" i="12" s="1"/>
  <c r="J242" i="12"/>
  <c r="K242" i="12" s="1"/>
  <c r="N242" i="12" s="1"/>
  <c r="J256" i="12"/>
  <c r="K256" i="12" s="1"/>
  <c r="N256" i="12" s="1"/>
  <c r="J292" i="12"/>
  <c r="K292" i="12" s="1"/>
  <c r="N292" i="12" s="1"/>
  <c r="K203" i="12"/>
  <c r="N203" i="12" s="1"/>
  <c r="K207" i="12"/>
  <c r="N207" i="12" s="1"/>
  <c r="K211" i="12"/>
  <c r="N211" i="12" s="1"/>
  <c r="K215" i="12"/>
  <c r="N215" i="12" s="1"/>
  <c r="J288" i="12"/>
  <c r="K288" i="12" s="1"/>
  <c r="N288" i="12" s="1"/>
  <c r="J300" i="12"/>
  <c r="K300" i="12" s="1"/>
  <c r="N300" i="12" s="1"/>
  <c r="J2" i="12"/>
  <c r="K2" i="12" s="1"/>
  <c r="K109" i="12"/>
  <c r="N109" i="12" s="1"/>
  <c r="J110" i="12"/>
  <c r="K110" i="12" s="1"/>
  <c r="N110" i="12" s="1"/>
  <c r="K117" i="12"/>
  <c r="N117" i="12" s="1"/>
  <c r="K121" i="12"/>
  <c r="N121" i="12" s="1"/>
  <c r="K155" i="12"/>
  <c r="N155" i="12" s="1"/>
  <c r="K159" i="12"/>
  <c r="N159" i="12" s="1"/>
  <c r="K163" i="12"/>
  <c r="N163" i="12" s="1"/>
  <c r="K167" i="12"/>
  <c r="N167" i="12" s="1"/>
  <c r="K171" i="12"/>
  <c r="N171" i="12" s="1"/>
  <c r="K175" i="12"/>
  <c r="N175" i="12" s="1"/>
  <c r="K179" i="12"/>
  <c r="N179" i="12" s="1"/>
  <c r="K192" i="12"/>
  <c r="N192" i="12" s="1"/>
  <c r="K198" i="12"/>
  <c r="N198" i="12" s="1"/>
  <c r="K200" i="12"/>
  <c r="N200" i="12" s="1"/>
  <c r="J201" i="12"/>
  <c r="K201" i="12" s="1"/>
  <c r="N201" i="12" s="1"/>
  <c r="K204" i="12"/>
  <c r="N204" i="12" s="1"/>
  <c r="J205" i="12"/>
  <c r="K205" i="12" s="1"/>
  <c r="N205" i="12" s="1"/>
  <c r="K208" i="12"/>
  <c r="N208" i="12" s="1"/>
  <c r="J209" i="12"/>
  <c r="K209" i="12" s="1"/>
  <c r="N209" i="12" s="1"/>
  <c r="K212" i="12"/>
  <c r="N212" i="12" s="1"/>
  <c r="J213" i="12"/>
  <c r="K213" i="12" s="1"/>
  <c r="N213" i="12" s="1"/>
  <c r="K216" i="12"/>
  <c r="N216" i="12" s="1"/>
  <c r="J217" i="12"/>
  <c r="K217" i="12" s="1"/>
  <c r="N217" i="12" s="1"/>
  <c r="J219" i="12"/>
  <c r="K219" i="12" s="1"/>
  <c r="N219" i="12" s="1"/>
  <c r="J221" i="12"/>
  <c r="K221" i="12" s="1"/>
  <c r="N221" i="12" s="1"/>
  <c r="J223" i="12"/>
  <c r="K223" i="12" s="1"/>
  <c r="N223" i="12" s="1"/>
  <c r="J225" i="12"/>
  <c r="K225" i="12" s="1"/>
  <c r="N225" i="12" s="1"/>
  <c r="J227" i="12"/>
  <c r="K227" i="12" s="1"/>
  <c r="N227" i="12" s="1"/>
  <c r="J229" i="12"/>
  <c r="K229" i="12" s="1"/>
  <c r="N229" i="12" s="1"/>
  <c r="J231" i="12"/>
  <c r="K231" i="12" s="1"/>
  <c r="N231" i="12" s="1"/>
  <c r="J233" i="12"/>
  <c r="K233" i="12" s="1"/>
  <c r="N233" i="12" s="1"/>
  <c r="J235" i="12"/>
  <c r="K235" i="12" s="1"/>
  <c r="N235" i="12" s="1"/>
  <c r="J237" i="12"/>
  <c r="K237" i="12" s="1"/>
  <c r="N237" i="12" s="1"/>
  <c r="J239" i="12"/>
  <c r="K239" i="12" s="1"/>
  <c r="N239" i="12" s="1"/>
  <c r="K250" i="12"/>
  <c r="N250" i="12" s="1"/>
  <c r="J257" i="12"/>
  <c r="K257" i="12" s="1"/>
  <c r="N257" i="12" s="1"/>
  <c r="J333" i="12"/>
  <c r="K333" i="12" s="1"/>
  <c r="N333" i="12" s="1"/>
  <c r="J354" i="12"/>
  <c r="K354" i="12" s="1"/>
  <c r="N354" i="12" s="1"/>
  <c r="J412" i="12"/>
  <c r="K412" i="12" s="1"/>
  <c r="N412" i="12" s="1"/>
  <c r="J452" i="12"/>
  <c r="K452" i="12" s="1"/>
  <c r="N452" i="12" s="1"/>
  <c r="J265" i="12"/>
  <c r="K265" i="12" s="1"/>
  <c r="N265" i="12" s="1"/>
  <c r="J266" i="12"/>
  <c r="K266" i="12" s="1"/>
  <c r="N266" i="12" s="1"/>
  <c r="J267" i="12"/>
  <c r="K267" i="12" s="1"/>
  <c r="N267" i="12" s="1"/>
  <c r="J268" i="12"/>
  <c r="K268" i="12" s="1"/>
  <c r="N268" i="12" s="1"/>
  <c r="J269" i="12"/>
  <c r="K269" i="12" s="1"/>
  <c r="N269" i="12" s="1"/>
  <c r="J270" i="12"/>
  <c r="K270" i="12" s="1"/>
  <c r="N270" i="12" s="1"/>
  <c r="J271" i="12"/>
  <c r="K271" i="12" s="1"/>
  <c r="N271" i="12" s="1"/>
  <c r="J272" i="12"/>
  <c r="K272" i="12" s="1"/>
  <c r="N272" i="12" s="1"/>
  <c r="J273" i="12"/>
  <c r="K273" i="12" s="1"/>
  <c r="N273" i="12" s="1"/>
  <c r="J274" i="12"/>
  <c r="K274" i="12" s="1"/>
  <c r="N274" i="12" s="1"/>
  <c r="J275" i="12"/>
  <c r="K275" i="12" s="1"/>
  <c r="N275" i="12" s="1"/>
  <c r="J280" i="12"/>
  <c r="K280" i="12" s="1"/>
  <c r="N280" i="12" s="1"/>
  <c r="J291" i="12"/>
  <c r="K291" i="12" s="1"/>
  <c r="N291" i="12" s="1"/>
  <c r="J299" i="12"/>
  <c r="K299" i="12" s="1"/>
  <c r="N299" i="12" s="1"/>
  <c r="J432" i="12"/>
  <c r="K432" i="12" s="1"/>
  <c r="N432" i="12" s="1"/>
  <c r="J436" i="12"/>
  <c r="K436" i="12" s="1"/>
  <c r="N436" i="12" s="1"/>
  <c r="K278" i="12"/>
  <c r="N278" i="12" s="1"/>
  <c r="J279" i="12"/>
  <c r="K279" i="12" s="1"/>
  <c r="N279" i="12" s="1"/>
  <c r="K283" i="12"/>
  <c r="N283" i="12" s="1"/>
  <c r="K289" i="12"/>
  <c r="N289" i="12" s="1"/>
  <c r="J290" i="12"/>
  <c r="K290" i="12" s="1"/>
  <c r="N290" i="12" s="1"/>
  <c r="K294" i="12"/>
  <c r="N294" i="12" s="1"/>
  <c r="K304" i="12"/>
  <c r="N304" i="12" s="1"/>
  <c r="J305" i="12"/>
  <c r="K305" i="12" s="1"/>
  <c r="N305" i="12" s="1"/>
  <c r="J352" i="12"/>
  <c r="K352" i="12" s="1"/>
  <c r="N352" i="12" s="1"/>
  <c r="J422" i="12"/>
  <c r="K422" i="12" s="1"/>
  <c r="N422" i="12" s="1"/>
  <c r="K342" i="12"/>
  <c r="N342" i="12" s="1"/>
  <c r="K346" i="12"/>
  <c r="N346" i="12" s="1"/>
  <c r="K368" i="12"/>
  <c r="N368" i="12" s="1"/>
  <c r="K372" i="12"/>
  <c r="N372" i="12" s="1"/>
  <c r="K376" i="12"/>
  <c r="N376" i="12" s="1"/>
  <c r="K380" i="12"/>
  <c r="N380" i="12" s="1"/>
  <c r="N398" i="12"/>
  <c r="K406" i="12"/>
  <c r="N406" i="12" s="1"/>
  <c r="K472" i="12"/>
  <c r="N472" i="12" s="1"/>
  <c r="K344" i="12"/>
  <c r="N344" i="12" s="1"/>
  <c r="K348" i="12"/>
  <c r="N348" i="12" s="1"/>
  <c r="K361" i="12"/>
  <c r="N361" i="12" s="1"/>
  <c r="K366" i="12"/>
  <c r="N366" i="12" s="1"/>
  <c r="K370" i="12"/>
  <c r="N370" i="12" s="1"/>
  <c r="K374" i="12"/>
  <c r="N374" i="12" s="1"/>
  <c r="K378" i="12"/>
  <c r="N378" i="12" s="1"/>
  <c r="K382" i="12"/>
  <c r="N382" i="12" s="1"/>
  <c r="N387" i="12"/>
  <c r="N391" i="12"/>
  <c r="K411" i="12"/>
  <c r="N411" i="12" s="1"/>
  <c r="K419" i="12"/>
  <c r="N419" i="12" s="1"/>
  <c r="K423" i="12"/>
  <c r="N423" i="12" s="1"/>
  <c r="K433" i="12"/>
  <c r="N433" i="12" s="1"/>
  <c r="K435" i="12"/>
  <c r="N435" i="12" s="1"/>
  <c r="K445" i="12"/>
  <c r="N445" i="12" s="1"/>
  <c r="K451" i="12"/>
  <c r="N451" i="12" s="1"/>
  <c r="N469" i="12"/>
  <c r="K474" i="12"/>
  <c r="N474" i="12" s="1"/>
  <c r="G247" i="9"/>
  <c r="N2" i="12" l="1"/>
  <c r="K481" i="12"/>
  <c r="N481" i="12" s="1"/>
  <c r="G259" i="7"/>
  <c r="G223" i="1"/>
  <c r="G331" i="11" l="1"/>
  <c r="G108" i="8"/>
  <c r="I330" i="11" l="1"/>
  <c r="I329" i="11"/>
  <c r="K329" i="11" s="1"/>
  <c r="N329" i="11" s="1"/>
  <c r="I328" i="11"/>
  <c r="J328" i="11" s="1"/>
  <c r="I327" i="11"/>
  <c r="J327" i="11" s="1"/>
  <c r="K327" i="11" s="1"/>
  <c r="N327" i="11" s="1"/>
  <c r="L326" i="11"/>
  <c r="I326" i="11"/>
  <c r="L325" i="11"/>
  <c r="I325" i="11"/>
  <c r="L324" i="11"/>
  <c r="I324" i="11"/>
  <c r="J324" i="11" s="1"/>
  <c r="I323" i="11"/>
  <c r="K323" i="11" s="1"/>
  <c r="N323" i="11" s="1"/>
  <c r="I322" i="11"/>
  <c r="K322" i="11" s="1"/>
  <c r="N322" i="11" s="1"/>
  <c r="I321" i="11"/>
  <c r="J321" i="11" s="1"/>
  <c r="L320" i="11"/>
  <c r="I320" i="11"/>
  <c r="K320" i="11" s="1"/>
  <c r="I319" i="11"/>
  <c r="I318" i="11"/>
  <c r="I317" i="11"/>
  <c r="J317" i="11" s="1"/>
  <c r="I316" i="11"/>
  <c r="I315" i="11"/>
  <c r="I314" i="11"/>
  <c r="I313" i="11"/>
  <c r="J313" i="11" s="1"/>
  <c r="I312" i="11"/>
  <c r="J312" i="11" s="1"/>
  <c r="I311" i="11"/>
  <c r="I310" i="11"/>
  <c r="I309" i="11"/>
  <c r="J309" i="11" s="1"/>
  <c r="I308" i="11"/>
  <c r="I307" i="11"/>
  <c r="K307" i="11" s="1"/>
  <c r="N307" i="11" s="1"/>
  <c r="I306" i="11"/>
  <c r="J306" i="11" s="1"/>
  <c r="I305" i="11"/>
  <c r="K305" i="11" s="1"/>
  <c r="N305" i="11" s="1"/>
  <c r="I304" i="11"/>
  <c r="K304" i="11" s="1"/>
  <c r="N304" i="11" s="1"/>
  <c r="L303" i="11"/>
  <c r="I303" i="11"/>
  <c r="K303" i="11" s="1"/>
  <c r="I302" i="11"/>
  <c r="K302" i="11" s="1"/>
  <c r="N302" i="11" s="1"/>
  <c r="I301" i="11"/>
  <c r="I300" i="11"/>
  <c r="I299" i="11"/>
  <c r="J299" i="11" s="1"/>
  <c r="I298" i="11"/>
  <c r="I297" i="11"/>
  <c r="I296" i="11"/>
  <c r="I295" i="11"/>
  <c r="J295" i="11" s="1"/>
  <c r="I294" i="11"/>
  <c r="I293" i="11"/>
  <c r="I292" i="11"/>
  <c r="I291" i="11"/>
  <c r="J291" i="11" s="1"/>
  <c r="I290" i="11"/>
  <c r="I289" i="11"/>
  <c r="I288" i="11"/>
  <c r="I287" i="11"/>
  <c r="J287" i="11" s="1"/>
  <c r="I286" i="11"/>
  <c r="I285" i="11"/>
  <c r="I284" i="11"/>
  <c r="K284" i="11" s="1"/>
  <c r="N284" i="11" s="1"/>
  <c r="I283" i="11"/>
  <c r="K283" i="11" s="1"/>
  <c r="N283" i="11" s="1"/>
  <c r="I282" i="11"/>
  <c r="J282" i="11" s="1"/>
  <c r="K282" i="11" s="1"/>
  <c r="N282" i="11" s="1"/>
  <c r="I281" i="11"/>
  <c r="J281" i="11" s="1"/>
  <c r="K281" i="11" s="1"/>
  <c r="N281" i="11" s="1"/>
  <c r="I280" i="11"/>
  <c r="J280" i="11" s="1"/>
  <c r="K280" i="11" s="1"/>
  <c r="N280" i="11" s="1"/>
  <c r="I279" i="11"/>
  <c r="K279" i="11" s="1"/>
  <c r="N279" i="11" s="1"/>
  <c r="I278" i="11"/>
  <c r="J278" i="11" s="1"/>
  <c r="I277" i="11"/>
  <c r="J277" i="11" s="1"/>
  <c r="K277" i="11" s="1"/>
  <c r="N277" i="11" s="1"/>
  <c r="I276" i="11"/>
  <c r="J276" i="11" s="1"/>
  <c r="I275" i="11"/>
  <c r="I274" i="11"/>
  <c r="J274" i="11" s="1"/>
  <c r="I273" i="11"/>
  <c r="J273" i="11" s="1"/>
  <c r="K273" i="11" s="1"/>
  <c r="N273" i="11" s="1"/>
  <c r="I272" i="11"/>
  <c r="K272" i="11" s="1"/>
  <c r="N272" i="11" s="1"/>
  <c r="I271" i="11"/>
  <c r="K271" i="11" s="1"/>
  <c r="N271" i="11" s="1"/>
  <c r="I270" i="11"/>
  <c r="I269" i="11"/>
  <c r="I268" i="11"/>
  <c r="J268" i="11" s="1"/>
  <c r="I267" i="11"/>
  <c r="I266" i="11"/>
  <c r="J266" i="11" s="1"/>
  <c r="I265" i="11"/>
  <c r="J265" i="11" s="1"/>
  <c r="I264" i="11"/>
  <c r="I263" i="11"/>
  <c r="I262" i="11"/>
  <c r="K262" i="11" s="1"/>
  <c r="N262" i="11" s="1"/>
  <c r="I261" i="11"/>
  <c r="K261" i="11" s="1"/>
  <c r="N261" i="11" s="1"/>
  <c r="I260" i="11"/>
  <c r="K260" i="11" s="1"/>
  <c r="N260" i="11" s="1"/>
  <c r="I259" i="11"/>
  <c r="J259" i="11" s="1"/>
  <c r="L258" i="11"/>
  <c r="I258" i="11"/>
  <c r="K258" i="11" s="1"/>
  <c r="I257" i="11"/>
  <c r="K257" i="11" s="1"/>
  <c r="N257" i="11" s="1"/>
  <c r="I256" i="11"/>
  <c r="K256" i="11" s="1"/>
  <c r="N256" i="11" s="1"/>
  <c r="I255" i="11"/>
  <c r="I254" i="11"/>
  <c r="K254" i="11" s="1"/>
  <c r="N254" i="11" s="1"/>
  <c r="I253" i="11"/>
  <c r="K253" i="11" s="1"/>
  <c r="N253" i="11" s="1"/>
  <c r="I252" i="11"/>
  <c r="J252" i="11" s="1"/>
  <c r="I251" i="11"/>
  <c r="J251" i="11" s="1"/>
  <c r="I250" i="11"/>
  <c r="I249" i="11"/>
  <c r="K249" i="11" s="1"/>
  <c r="N249" i="11" s="1"/>
  <c r="I248" i="11"/>
  <c r="K248" i="11" s="1"/>
  <c r="N248" i="11" s="1"/>
  <c r="I247" i="11"/>
  <c r="K247" i="11" s="1"/>
  <c r="N247" i="11" s="1"/>
  <c r="I246" i="11"/>
  <c r="K246" i="11" s="1"/>
  <c r="N246" i="11" s="1"/>
  <c r="I245" i="11"/>
  <c r="K245" i="11" s="1"/>
  <c r="N245" i="11" s="1"/>
  <c r="I244" i="11"/>
  <c r="K244" i="11" s="1"/>
  <c r="N244" i="11" s="1"/>
  <c r="I243" i="11"/>
  <c r="K243" i="11" s="1"/>
  <c r="N243" i="11" s="1"/>
  <c r="I242" i="11"/>
  <c r="K242" i="11" s="1"/>
  <c r="N242" i="11" s="1"/>
  <c r="I241" i="11"/>
  <c r="K241" i="11" s="1"/>
  <c r="N241" i="11" s="1"/>
  <c r="I240" i="11"/>
  <c r="K240" i="11" s="1"/>
  <c r="N240" i="11" s="1"/>
  <c r="I239" i="11"/>
  <c r="K239" i="11" s="1"/>
  <c r="N239" i="11" s="1"/>
  <c r="I238" i="11"/>
  <c r="K238" i="11" s="1"/>
  <c r="N238" i="11" s="1"/>
  <c r="I237" i="11"/>
  <c r="K237" i="11" s="1"/>
  <c r="N237" i="11" s="1"/>
  <c r="I236" i="11"/>
  <c r="K236" i="11" s="1"/>
  <c r="N236" i="11" s="1"/>
  <c r="I235" i="11"/>
  <c r="K235" i="11" s="1"/>
  <c r="N235" i="11" s="1"/>
  <c r="I234" i="11"/>
  <c r="K234" i="11" s="1"/>
  <c r="N234" i="11" s="1"/>
  <c r="I233" i="11"/>
  <c r="K233" i="11" s="1"/>
  <c r="N233" i="11" s="1"/>
  <c r="I232" i="11"/>
  <c r="K232" i="11" s="1"/>
  <c r="N232" i="11" s="1"/>
  <c r="I231" i="11"/>
  <c r="K231" i="11" s="1"/>
  <c r="N231" i="11" s="1"/>
  <c r="I230" i="11"/>
  <c r="K230" i="11" s="1"/>
  <c r="N230" i="11" s="1"/>
  <c r="I229" i="11"/>
  <c r="K229" i="11" s="1"/>
  <c r="N229" i="11" s="1"/>
  <c r="I228" i="11"/>
  <c r="K228" i="11" s="1"/>
  <c r="N228" i="11" s="1"/>
  <c r="I227" i="11"/>
  <c r="K227" i="11" s="1"/>
  <c r="N227" i="11" s="1"/>
  <c r="I226" i="11"/>
  <c r="K226" i="11" s="1"/>
  <c r="N226" i="11" s="1"/>
  <c r="I225" i="11"/>
  <c r="K225" i="11" s="1"/>
  <c r="N225" i="11" s="1"/>
  <c r="I224" i="11"/>
  <c r="K224" i="11" s="1"/>
  <c r="N224" i="11" s="1"/>
  <c r="I223" i="11"/>
  <c r="K223" i="11" s="1"/>
  <c r="N223" i="11" s="1"/>
  <c r="I222" i="11"/>
  <c r="K222" i="11" s="1"/>
  <c r="N222" i="11" s="1"/>
  <c r="I221" i="11"/>
  <c r="K221" i="11" s="1"/>
  <c r="N221" i="11" s="1"/>
  <c r="I220" i="11"/>
  <c r="K220" i="11" s="1"/>
  <c r="N220" i="11" s="1"/>
  <c r="I219" i="11"/>
  <c r="K219" i="11" s="1"/>
  <c r="N219" i="11" s="1"/>
  <c r="I218" i="11"/>
  <c r="K218" i="11" s="1"/>
  <c r="N218" i="11" s="1"/>
  <c r="I217" i="11"/>
  <c r="K217" i="11" s="1"/>
  <c r="N217" i="11" s="1"/>
  <c r="I216" i="11"/>
  <c r="K216" i="11" s="1"/>
  <c r="N216" i="11" s="1"/>
  <c r="I215" i="11"/>
  <c r="K215" i="11" s="1"/>
  <c r="N215" i="11" s="1"/>
  <c r="I214" i="11"/>
  <c r="K214" i="11" s="1"/>
  <c r="N214" i="11" s="1"/>
  <c r="L213" i="11"/>
  <c r="I213" i="11"/>
  <c r="J213" i="11" s="1"/>
  <c r="I212" i="11"/>
  <c r="K212" i="11" s="1"/>
  <c r="N212" i="11" s="1"/>
  <c r="I211" i="11"/>
  <c r="K211" i="11" s="1"/>
  <c r="N211" i="11" s="1"/>
  <c r="N258" i="11" l="1"/>
  <c r="N320" i="11"/>
  <c r="K328" i="11"/>
  <c r="N328" i="11" s="1"/>
  <c r="K278" i="11"/>
  <c r="N278" i="11" s="1"/>
  <c r="K306" i="11"/>
  <c r="N306" i="11" s="1"/>
  <c r="K265" i="11"/>
  <c r="N265" i="11" s="1"/>
  <c r="K268" i="11"/>
  <c r="N268" i="11" s="1"/>
  <c r="J263" i="11"/>
  <c r="K263" i="11" s="1"/>
  <c r="N263" i="11" s="1"/>
  <c r="J267" i="11"/>
  <c r="K267" i="11" s="1"/>
  <c r="N267" i="11" s="1"/>
  <c r="J270" i="11"/>
  <c r="K270" i="11" s="1"/>
  <c r="N270" i="11" s="1"/>
  <c r="K324" i="11"/>
  <c r="N324" i="11" s="1"/>
  <c r="J255" i="11"/>
  <c r="K255" i="11" s="1"/>
  <c r="N255" i="11" s="1"/>
  <c r="J264" i="11"/>
  <c r="K264" i="11" s="1"/>
  <c r="N264" i="11" s="1"/>
  <c r="K266" i="11"/>
  <c r="N266" i="11" s="1"/>
  <c r="J269" i="11"/>
  <c r="K269" i="11" s="1"/>
  <c r="N269" i="11" s="1"/>
  <c r="K274" i="11"/>
  <c r="N274" i="11" s="1"/>
  <c r="K330" i="11"/>
  <c r="N330" i="11" s="1"/>
  <c r="J289" i="11"/>
  <c r="K289" i="11" s="1"/>
  <c r="N289" i="11" s="1"/>
  <c r="J297" i="11"/>
  <c r="K297" i="11" s="1"/>
  <c r="N297" i="11" s="1"/>
  <c r="J308" i="11"/>
  <c r="K308" i="11" s="1"/>
  <c r="N308" i="11" s="1"/>
  <c r="J316" i="11"/>
  <c r="K316" i="11" s="1"/>
  <c r="N316" i="11" s="1"/>
  <c r="J285" i="11"/>
  <c r="K285" i="11" s="1"/>
  <c r="N285" i="11" s="1"/>
  <c r="K213" i="11"/>
  <c r="N213" i="11" s="1"/>
  <c r="J275" i="11"/>
  <c r="K275" i="11" s="1"/>
  <c r="N275" i="11" s="1"/>
  <c r="J250" i="11"/>
  <c r="K250" i="11" s="1"/>
  <c r="N250" i="11" s="1"/>
  <c r="K276" i="11"/>
  <c r="N276" i="11" s="1"/>
  <c r="J286" i="11"/>
  <c r="K286" i="11" s="1"/>
  <c r="N286" i="11" s="1"/>
  <c r="J290" i="11"/>
  <c r="K290" i="11" s="1"/>
  <c r="N290" i="11" s="1"/>
  <c r="J294" i="11"/>
  <c r="K294" i="11" s="1"/>
  <c r="N294" i="11" s="1"/>
  <c r="J298" i="11"/>
  <c r="K298" i="11" s="1"/>
  <c r="N298" i="11" s="1"/>
  <c r="K259" i="11"/>
  <c r="N259" i="11" s="1"/>
  <c r="J293" i="11"/>
  <c r="K293" i="11" s="1"/>
  <c r="N293" i="11" s="1"/>
  <c r="J301" i="11"/>
  <c r="K301" i="11" s="1"/>
  <c r="N301" i="11" s="1"/>
  <c r="K312" i="11"/>
  <c r="N312" i="11" s="1"/>
  <c r="K251" i="11"/>
  <c r="N251" i="11" s="1"/>
  <c r="N303" i="11"/>
  <c r="J311" i="11"/>
  <c r="K311" i="11" s="1"/>
  <c r="N311" i="11" s="1"/>
  <c r="J315" i="11"/>
  <c r="K315" i="11" s="1"/>
  <c r="N315" i="11" s="1"/>
  <c r="J319" i="11"/>
  <c r="K319" i="11" s="1"/>
  <c r="N319" i="11" s="1"/>
  <c r="K321" i="11"/>
  <c r="N321" i="11" s="1"/>
  <c r="J326" i="11"/>
  <c r="K326" i="11" s="1"/>
  <c r="N326" i="11" s="1"/>
  <c r="K252" i="11"/>
  <c r="N252" i="11" s="1"/>
  <c r="K287" i="11"/>
  <c r="N287" i="11" s="1"/>
  <c r="J288" i="11"/>
  <c r="K288" i="11" s="1"/>
  <c r="N288" i="11" s="1"/>
  <c r="K291" i="11"/>
  <c r="N291" i="11" s="1"/>
  <c r="J292" i="11"/>
  <c r="K292" i="11" s="1"/>
  <c r="N292" i="11" s="1"/>
  <c r="K295" i="11"/>
  <c r="N295" i="11" s="1"/>
  <c r="J296" i="11"/>
  <c r="K296" i="11" s="1"/>
  <c r="N296" i="11" s="1"/>
  <c r="K299" i="11"/>
  <c r="N299" i="11" s="1"/>
  <c r="J300" i="11"/>
  <c r="K300" i="11" s="1"/>
  <c r="N300" i="11" s="1"/>
  <c r="K309" i="11"/>
  <c r="N309" i="11" s="1"/>
  <c r="J310" i="11"/>
  <c r="K310" i="11" s="1"/>
  <c r="N310" i="11" s="1"/>
  <c r="K313" i="11"/>
  <c r="N313" i="11" s="1"/>
  <c r="J314" i="11"/>
  <c r="K314" i="11" s="1"/>
  <c r="N314" i="11" s="1"/>
  <c r="K317" i="11"/>
  <c r="N317" i="11" s="1"/>
  <c r="J318" i="11"/>
  <c r="K318" i="11" s="1"/>
  <c r="N318" i="11" s="1"/>
  <c r="J325" i="11"/>
  <c r="K325" i="11" s="1"/>
  <c r="N325" i="11" s="1"/>
  <c r="I210" i="11"/>
  <c r="I209" i="11"/>
  <c r="J209" i="11" s="1"/>
  <c r="K209" i="11" s="1"/>
  <c r="N209" i="11" s="1"/>
  <c r="I208" i="11"/>
  <c r="J208" i="11" s="1"/>
  <c r="K208" i="11" s="1"/>
  <c r="N208" i="11" s="1"/>
  <c r="I207" i="11"/>
  <c r="J207" i="11" s="1"/>
  <c r="K207" i="11" s="1"/>
  <c r="N207" i="11" s="1"/>
  <c r="I206" i="11"/>
  <c r="J206" i="11" s="1"/>
  <c r="K206" i="11" s="1"/>
  <c r="N206" i="11" s="1"/>
  <c r="I205" i="11"/>
  <c r="J205" i="11" s="1"/>
  <c r="K205" i="11" s="1"/>
  <c r="N205" i="11" s="1"/>
  <c r="I204" i="11"/>
  <c r="J204" i="11" s="1"/>
  <c r="K204" i="11" s="1"/>
  <c r="N204" i="11" s="1"/>
  <c r="I203" i="11"/>
  <c r="J203" i="11" s="1"/>
  <c r="K203" i="11" s="1"/>
  <c r="N203" i="11" s="1"/>
  <c r="I202" i="11"/>
  <c r="J202" i="11" s="1"/>
  <c r="K202" i="11" s="1"/>
  <c r="N202" i="11" s="1"/>
  <c r="I201" i="11"/>
  <c r="J201" i="11" s="1"/>
  <c r="K201" i="11" s="1"/>
  <c r="N201" i="11" s="1"/>
  <c r="I200" i="11"/>
  <c r="J200" i="11" s="1"/>
  <c r="K200" i="11" s="1"/>
  <c r="N200" i="11" s="1"/>
  <c r="I199" i="11"/>
  <c r="J199" i="11" s="1"/>
  <c r="K199" i="11" s="1"/>
  <c r="N199" i="11" s="1"/>
  <c r="I198" i="11"/>
  <c r="J198" i="11" s="1"/>
  <c r="K198" i="11" s="1"/>
  <c r="N198" i="11" s="1"/>
  <c r="I197" i="11"/>
  <c r="J197" i="11" s="1"/>
  <c r="K197" i="11" s="1"/>
  <c r="N197" i="11" s="1"/>
  <c r="I196" i="11"/>
  <c r="J196" i="11" s="1"/>
  <c r="K196" i="11" s="1"/>
  <c r="N196" i="11" s="1"/>
  <c r="I195" i="11"/>
  <c r="J195" i="11" s="1"/>
  <c r="K195" i="11" s="1"/>
  <c r="N195" i="11" s="1"/>
  <c r="I194" i="11"/>
  <c r="J194" i="11" s="1"/>
  <c r="K194" i="11" s="1"/>
  <c r="N194" i="11" s="1"/>
  <c r="I193" i="11"/>
  <c r="J193" i="11" s="1"/>
  <c r="K193" i="11" s="1"/>
  <c r="N193" i="11" s="1"/>
  <c r="I192" i="11"/>
  <c r="J192" i="11" s="1"/>
  <c r="K192" i="11" s="1"/>
  <c r="N192" i="11" s="1"/>
  <c r="I191" i="11"/>
  <c r="J191" i="11" s="1"/>
  <c r="K191" i="11" s="1"/>
  <c r="N191" i="11" s="1"/>
  <c r="I190" i="11"/>
  <c r="J190" i="11" s="1"/>
  <c r="K190" i="11" s="1"/>
  <c r="N190" i="11" s="1"/>
  <c r="I189" i="11"/>
  <c r="J189" i="11" s="1"/>
  <c r="K189" i="11" s="1"/>
  <c r="N189" i="11" s="1"/>
  <c r="I188" i="11"/>
  <c r="J188" i="11" s="1"/>
  <c r="K188" i="11" s="1"/>
  <c r="N188" i="11" s="1"/>
  <c r="I187" i="11"/>
  <c r="J187" i="11" s="1"/>
  <c r="K187" i="11" s="1"/>
  <c r="N187" i="11" s="1"/>
  <c r="I186" i="11"/>
  <c r="J186" i="11" s="1"/>
  <c r="K186" i="11" s="1"/>
  <c r="N186" i="11" s="1"/>
  <c r="I185" i="11"/>
  <c r="J185" i="11" s="1"/>
  <c r="K185" i="11" s="1"/>
  <c r="N185" i="11" s="1"/>
  <c r="I184" i="11"/>
  <c r="J184" i="11" s="1"/>
  <c r="K184" i="11" s="1"/>
  <c r="N184" i="11" s="1"/>
  <c r="I183" i="11"/>
  <c r="J183" i="11" s="1"/>
  <c r="K183" i="11" s="1"/>
  <c r="N183" i="11" s="1"/>
  <c r="I182" i="11"/>
  <c r="J182" i="11" s="1"/>
  <c r="K182" i="11" s="1"/>
  <c r="N182" i="11" s="1"/>
  <c r="I181" i="11"/>
  <c r="J181" i="11" s="1"/>
  <c r="K181" i="11" s="1"/>
  <c r="N181" i="11" s="1"/>
  <c r="I180" i="11"/>
  <c r="K180" i="11" s="1"/>
  <c r="N180" i="11" s="1"/>
  <c r="I179" i="11"/>
  <c r="J179" i="11" s="1"/>
  <c r="I178" i="11"/>
  <c r="J178" i="11" s="1"/>
  <c r="K178" i="11" s="1"/>
  <c r="N178" i="11" s="1"/>
  <c r="I177" i="11"/>
  <c r="J177" i="11" s="1"/>
  <c r="I176" i="11"/>
  <c r="J176" i="11" s="1"/>
  <c r="K176" i="11" s="1"/>
  <c r="N176" i="11" s="1"/>
  <c r="I175" i="11"/>
  <c r="J175" i="11" s="1"/>
  <c r="I174" i="11"/>
  <c r="J174" i="11" s="1"/>
  <c r="K174" i="11" s="1"/>
  <c r="N174" i="11" s="1"/>
  <c r="I173" i="11"/>
  <c r="J173" i="11" s="1"/>
  <c r="I172" i="11"/>
  <c r="J172" i="11" s="1"/>
  <c r="K172" i="11" s="1"/>
  <c r="N172" i="11" s="1"/>
  <c r="I171" i="11"/>
  <c r="J171" i="11" s="1"/>
  <c r="I170" i="11"/>
  <c r="J170" i="11" s="1"/>
  <c r="K170" i="11" s="1"/>
  <c r="N170" i="11" s="1"/>
  <c r="I169" i="11"/>
  <c r="J169" i="11" s="1"/>
  <c r="I168" i="11"/>
  <c r="J168" i="11" s="1"/>
  <c r="K168" i="11" s="1"/>
  <c r="N168" i="11" s="1"/>
  <c r="I167" i="11"/>
  <c r="J167" i="11" s="1"/>
  <c r="I166" i="11"/>
  <c r="J166" i="11" s="1"/>
  <c r="K166" i="11" s="1"/>
  <c r="N166" i="11" s="1"/>
  <c r="I165" i="11"/>
  <c r="J165" i="11" s="1"/>
  <c r="I164" i="11"/>
  <c r="J164" i="11" s="1"/>
  <c r="K164" i="11" s="1"/>
  <c r="N164" i="11" s="1"/>
  <c r="I163" i="11"/>
  <c r="J163" i="11" s="1"/>
  <c r="I162" i="11"/>
  <c r="J162" i="11" s="1"/>
  <c r="K162" i="11" s="1"/>
  <c r="N162" i="11" s="1"/>
  <c r="I161" i="11"/>
  <c r="J161" i="11" s="1"/>
  <c r="I160" i="11"/>
  <c r="J160" i="11" s="1"/>
  <c r="K160" i="11" s="1"/>
  <c r="N160" i="11" s="1"/>
  <c r="I159" i="11"/>
  <c r="J159" i="11" s="1"/>
  <c r="I158" i="11"/>
  <c r="J158" i="11" s="1"/>
  <c r="K158" i="11" s="1"/>
  <c r="N158" i="11" s="1"/>
  <c r="I157" i="11"/>
  <c r="J157" i="11" s="1"/>
  <c r="I156" i="11"/>
  <c r="K156" i="11" s="1"/>
  <c r="N156" i="11" s="1"/>
  <c r="I155" i="11"/>
  <c r="K155" i="11" s="1"/>
  <c r="N155" i="11" s="1"/>
  <c r="L154" i="11"/>
  <c r="I154" i="11"/>
  <c r="K154" i="11" s="1"/>
  <c r="I153" i="11"/>
  <c r="K153" i="11" s="1"/>
  <c r="N153" i="11" s="1"/>
  <c r="I152" i="11"/>
  <c r="I151" i="11"/>
  <c r="J151" i="11" s="1"/>
  <c r="I150" i="11"/>
  <c r="I149" i="11"/>
  <c r="J149" i="11" s="1"/>
  <c r="I148" i="11"/>
  <c r="K148" i="11" s="1"/>
  <c r="N148" i="11" s="1"/>
  <c r="I147" i="11"/>
  <c r="K147" i="11" s="1"/>
  <c r="N147" i="11" s="1"/>
  <c r="I146" i="11"/>
  <c r="K146" i="11" s="1"/>
  <c r="N146" i="11" s="1"/>
  <c r="I145" i="11"/>
  <c r="K145" i="11" s="1"/>
  <c r="N145" i="11" s="1"/>
  <c r="I144" i="11"/>
  <c r="K144" i="11" s="1"/>
  <c r="N144" i="11" s="1"/>
  <c r="I143" i="11"/>
  <c r="K143" i="11" s="1"/>
  <c r="N143" i="11" s="1"/>
  <c r="I142" i="11"/>
  <c r="K142" i="11" s="1"/>
  <c r="N142" i="11" s="1"/>
  <c r="I141" i="11"/>
  <c r="K141" i="11" s="1"/>
  <c r="N141" i="11" s="1"/>
  <c r="I140" i="11"/>
  <c r="K140" i="11" s="1"/>
  <c r="N140" i="11" s="1"/>
  <c r="I139" i="11"/>
  <c r="K139" i="11" s="1"/>
  <c r="N139" i="11" s="1"/>
  <c r="I138" i="11"/>
  <c r="K138" i="11" s="1"/>
  <c r="N138" i="11" s="1"/>
  <c r="I137" i="11"/>
  <c r="K137" i="11" s="1"/>
  <c r="N137" i="11" s="1"/>
  <c r="I136" i="11"/>
  <c r="K136" i="11" s="1"/>
  <c r="N136" i="11" s="1"/>
  <c r="I135" i="11"/>
  <c r="J135" i="11" s="1"/>
  <c r="I134" i="11"/>
  <c r="J134" i="11" s="1"/>
  <c r="I133" i="11"/>
  <c r="J133" i="11" s="1"/>
  <c r="I132" i="11"/>
  <c r="J132" i="11" s="1"/>
  <c r="I131" i="11"/>
  <c r="J131" i="11" s="1"/>
  <c r="L130" i="11"/>
  <c r="I130" i="11"/>
  <c r="K130" i="11" s="1"/>
  <c r="N130" i="11" s="1"/>
  <c r="I129" i="11"/>
  <c r="K129" i="11" s="1"/>
  <c r="N129" i="11" s="1"/>
  <c r="I128" i="11"/>
  <c r="K128" i="11" s="1"/>
  <c r="N128" i="11" s="1"/>
  <c r="I127" i="11"/>
  <c r="K127" i="11" s="1"/>
  <c r="N127" i="11" s="1"/>
  <c r="I126" i="11"/>
  <c r="K126" i="11" s="1"/>
  <c r="N126" i="11" s="1"/>
  <c r="I125" i="11"/>
  <c r="K125" i="11" s="1"/>
  <c r="N125" i="11" s="1"/>
  <c r="I124" i="11"/>
  <c r="K124" i="11" s="1"/>
  <c r="N124" i="11" s="1"/>
  <c r="I123" i="11"/>
  <c r="K123" i="11" s="1"/>
  <c r="N123" i="11" s="1"/>
  <c r="I122" i="11"/>
  <c r="K122" i="11" s="1"/>
  <c r="N122" i="11" s="1"/>
  <c r="I121" i="11"/>
  <c r="K121" i="11" s="1"/>
  <c r="N121" i="11" s="1"/>
  <c r="I120" i="11"/>
  <c r="K120" i="11" s="1"/>
  <c r="N120" i="11" s="1"/>
  <c r="I119" i="11"/>
  <c r="K119" i="11" s="1"/>
  <c r="N119" i="11" s="1"/>
  <c r="L118" i="11"/>
  <c r="I118" i="11"/>
  <c r="J118" i="11" s="1"/>
  <c r="I117" i="11"/>
  <c r="K117" i="11" s="1"/>
  <c r="N117" i="11" s="1"/>
  <c r="I116" i="11"/>
  <c r="K116" i="11" s="1"/>
  <c r="N116" i="11" s="1"/>
  <c r="I115" i="11"/>
  <c r="K115" i="11" s="1"/>
  <c r="N115" i="11" s="1"/>
  <c r="I114" i="11"/>
  <c r="K114" i="11" s="1"/>
  <c r="N114" i="11" s="1"/>
  <c r="I113" i="11"/>
  <c r="K113" i="11" s="1"/>
  <c r="N113" i="11" s="1"/>
  <c r="L112" i="11"/>
  <c r="I112" i="11"/>
  <c r="K112" i="11" s="1"/>
  <c r="N112" i="11" s="1"/>
  <c r="I111" i="11"/>
  <c r="K111" i="11" s="1"/>
  <c r="N111" i="11" s="1"/>
  <c r="I110" i="11"/>
  <c r="J110" i="11" s="1"/>
  <c r="I109" i="11"/>
  <c r="K109" i="11" s="1"/>
  <c r="N109" i="11" s="1"/>
  <c r="L108" i="11"/>
  <c r="I108" i="11"/>
  <c r="K108" i="11" s="1"/>
  <c r="I107" i="11"/>
  <c r="J107" i="11" s="1"/>
  <c r="K107" i="11" s="1"/>
  <c r="N107" i="11" s="1"/>
  <c r="L106" i="11"/>
  <c r="I106" i="11"/>
  <c r="J106" i="11" s="1"/>
  <c r="L105" i="11"/>
  <c r="I105" i="11"/>
  <c r="K105" i="11" s="1"/>
  <c r="K173" i="11" l="1"/>
  <c r="N173" i="11" s="1"/>
  <c r="N105" i="11"/>
  <c r="K134" i="11"/>
  <c r="N134" i="11" s="1"/>
  <c r="N154" i="11"/>
  <c r="N108" i="11"/>
  <c r="K157" i="11"/>
  <c r="N157" i="11" s="1"/>
  <c r="K110" i="11"/>
  <c r="N110" i="11" s="1"/>
  <c r="K171" i="11"/>
  <c r="N171" i="11" s="1"/>
  <c r="K165" i="11"/>
  <c r="N165" i="11" s="1"/>
  <c r="K163" i="11"/>
  <c r="N163" i="11" s="1"/>
  <c r="K179" i="11"/>
  <c r="N179" i="11" s="1"/>
  <c r="K132" i="11"/>
  <c r="N132" i="11" s="1"/>
  <c r="K161" i="11"/>
  <c r="N161" i="11" s="1"/>
  <c r="K169" i="11"/>
  <c r="N169" i="11" s="1"/>
  <c r="K177" i="11"/>
  <c r="N177" i="11" s="1"/>
  <c r="K159" i="11"/>
  <c r="N159" i="11" s="1"/>
  <c r="K167" i="11"/>
  <c r="N167" i="11" s="1"/>
  <c r="K175" i="11"/>
  <c r="N175" i="11" s="1"/>
  <c r="K118" i="11"/>
  <c r="N118" i="11" s="1"/>
  <c r="K133" i="11"/>
  <c r="N133" i="11" s="1"/>
  <c r="K149" i="11"/>
  <c r="N149" i="11" s="1"/>
  <c r="J150" i="11"/>
  <c r="K150" i="11" s="1"/>
  <c r="N150" i="11" s="1"/>
  <c r="K106" i="11"/>
  <c r="N106" i="11" s="1"/>
  <c r="K131" i="11"/>
  <c r="N131" i="11" s="1"/>
  <c r="K135" i="11"/>
  <c r="N135" i="11" s="1"/>
  <c r="K151" i="11"/>
  <c r="N151" i="11" s="1"/>
  <c r="J152" i="11"/>
  <c r="K152" i="11" s="1"/>
  <c r="N152" i="11" s="1"/>
  <c r="J210" i="11"/>
  <c r="K210" i="11" s="1"/>
  <c r="N210" i="11" s="1"/>
  <c r="I104" i="11"/>
  <c r="K104" i="11" s="1"/>
  <c r="N104" i="11" s="1"/>
  <c r="I103" i="11"/>
  <c r="K103" i="11" s="1"/>
  <c r="N103" i="11" s="1"/>
  <c r="I102" i="11"/>
  <c r="K102" i="11" s="1"/>
  <c r="N102" i="11" s="1"/>
  <c r="I101" i="11"/>
  <c r="K101" i="11" s="1"/>
  <c r="N101" i="11" s="1"/>
  <c r="I100" i="11"/>
  <c r="K100" i="11" s="1"/>
  <c r="N100" i="11" s="1"/>
  <c r="I99" i="11"/>
  <c r="K99" i="11" s="1"/>
  <c r="N99" i="11" s="1"/>
  <c r="I98" i="11"/>
  <c r="K98" i="11" s="1"/>
  <c r="N98" i="11" s="1"/>
  <c r="I97" i="11"/>
  <c r="K97" i="11" s="1"/>
  <c r="N97" i="11" s="1"/>
  <c r="I96" i="11"/>
  <c r="K96" i="11" s="1"/>
  <c r="N96" i="11" s="1"/>
  <c r="I95" i="11"/>
  <c r="K95" i="11" s="1"/>
  <c r="N95" i="11" s="1"/>
  <c r="I94" i="11"/>
  <c r="K94" i="11" s="1"/>
  <c r="N94" i="11" s="1"/>
  <c r="I93" i="11"/>
  <c r="K93" i="11" s="1"/>
  <c r="N93" i="11" s="1"/>
  <c r="I92" i="11"/>
  <c r="K92" i="11" s="1"/>
  <c r="N92" i="11" s="1"/>
  <c r="I91" i="11"/>
  <c r="K91" i="11" s="1"/>
  <c r="N91" i="11" s="1"/>
  <c r="I90" i="11"/>
  <c r="K90" i="11" s="1"/>
  <c r="N90" i="11" s="1"/>
  <c r="I89" i="11"/>
  <c r="K89" i="11" s="1"/>
  <c r="N89" i="11" s="1"/>
  <c r="I88" i="11"/>
  <c r="K88" i="11" s="1"/>
  <c r="N88" i="11" s="1"/>
  <c r="L87" i="11"/>
  <c r="I87" i="11"/>
  <c r="J87" i="11" s="1"/>
  <c r="K87" i="11" s="1"/>
  <c r="I86" i="11"/>
  <c r="K86" i="11" s="1"/>
  <c r="N86" i="11" s="1"/>
  <c r="I85" i="11"/>
  <c r="J85" i="11" s="1"/>
  <c r="K85" i="11" s="1"/>
  <c r="N85" i="11" s="1"/>
  <c r="L84" i="11"/>
  <c r="I84" i="11"/>
  <c r="J84" i="11" s="1"/>
  <c r="K84" i="11" s="1"/>
  <c r="I83" i="11"/>
  <c r="K83" i="11" s="1"/>
  <c r="N83" i="11" s="1"/>
  <c r="I82" i="11"/>
  <c r="K82" i="11" s="1"/>
  <c r="N82" i="11" s="1"/>
  <c r="I81" i="11"/>
  <c r="I80" i="11"/>
  <c r="I79" i="11"/>
  <c r="J79" i="11" s="1"/>
  <c r="K79" i="11" s="1"/>
  <c r="N79" i="11" s="1"/>
  <c r="I78" i="11"/>
  <c r="K78" i="11" s="1"/>
  <c r="N78" i="11" s="1"/>
  <c r="I77" i="11"/>
  <c r="K77" i="11" s="1"/>
  <c r="N77" i="11" s="1"/>
  <c r="I76" i="11"/>
  <c r="K76" i="11" s="1"/>
  <c r="N76" i="11" s="1"/>
  <c r="I75" i="11"/>
  <c r="J75" i="11" s="1"/>
  <c r="K75" i="11" s="1"/>
  <c r="N75" i="11" s="1"/>
  <c r="I74" i="11"/>
  <c r="J74" i="11" s="1"/>
  <c r="K74" i="11" s="1"/>
  <c r="N74" i="11" s="1"/>
  <c r="I73" i="11"/>
  <c r="J73" i="11" s="1"/>
  <c r="K73" i="11" s="1"/>
  <c r="N73" i="11" s="1"/>
  <c r="I72" i="11"/>
  <c r="K72" i="11" s="1"/>
  <c r="N72" i="11" s="1"/>
  <c r="I71" i="11"/>
  <c r="K71" i="11" s="1"/>
  <c r="N71" i="11" s="1"/>
  <c r="I70" i="11"/>
  <c r="K70" i="11" s="1"/>
  <c r="N70" i="11" s="1"/>
  <c r="I69" i="11"/>
  <c r="J69" i="11" s="1"/>
  <c r="K69" i="11" s="1"/>
  <c r="N69" i="11" s="1"/>
  <c r="I68" i="11"/>
  <c r="K68" i="11" s="1"/>
  <c r="N68" i="11" s="1"/>
  <c r="I67" i="11"/>
  <c r="K67" i="11" s="1"/>
  <c r="N67" i="11" s="1"/>
  <c r="I66" i="11"/>
  <c r="K66" i="11" s="1"/>
  <c r="N66" i="11" s="1"/>
  <c r="I65" i="11"/>
  <c r="K65" i="11" s="1"/>
  <c r="N65" i="11" s="1"/>
  <c r="I64" i="11"/>
  <c r="K64" i="11" s="1"/>
  <c r="N64" i="11" s="1"/>
  <c r="I63" i="11"/>
  <c r="K63" i="11" s="1"/>
  <c r="N63" i="11" s="1"/>
  <c r="I62" i="11"/>
  <c r="K62" i="11" s="1"/>
  <c r="N62" i="11" s="1"/>
  <c r="I61" i="11"/>
  <c r="K61" i="11" s="1"/>
  <c r="N61" i="11" s="1"/>
  <c r="I60" i="11"/>
  <c r="K60" i="11" s="1"/>
  <c r="N60" i="11" s="1"/>
  <c r="I59" i="11"/>
  <c r="K59" i="11" s="1"/>
  <c r="N59" i="11" s="1"/>
  <c r="I58" i="11"/>
  <c r="K58" i="11" s="1"/>
  <c r="N58" i="11" s="1"/>
  <c r="L57" i="11"/>
  <c r="I57" i="11"/>
  <c r="K57" i="11" s="1"/>
  <c r="I56" i="11"/>
  <c r="K56" i="11" s="1"/>
  <c r="N56" i="11" s="1"/>
  <c r="I55" i="11"/>
  <c r="K55" i="11" s="1"/>
  <c r="N55" i="11" s="1"/>
  <c r="N57" i="11" l="1"/>
  <c r="N84" i="11"/>
  <c r="N87" i="11"/>
  <c r="J81" i="11"/>
  <c r="K81" i="11" s="1"/>
  <c r="N81" i="11" s="1"/>
  <c r="J80" i="11"/>
  <c r="K80" i="11" s="1"/>
  <c r="N80" i="11" s="1"/>
  <c r="I54" i="11"/>
  <c r="K54" i="11" s="1"/>
  <c r="N54" i="11" s="1"/>
  <c r="L53" i="11"/>
  <c r="I53" i="11"/>
  <c r="I52" i="11"/>
  <c r="K52" i="11" s="1"/>
  <c r="N52" i="11" s="1"/>
  <c r="I51" i="11"/>
  <c r="K51" i="11" s="1"/>
  <c r="N51" i="11" s="1"/>
  <c r="I50" i="11"/>
  <c r="K50" i="11" s="1"/>
  <c r="N50" i="11" s="1"/>
  <c r="I49" i="11"/>
  <c r="K49" i="11" s="1"/>
  <c r="N49" i="11" s="1"/>
  <c r="I48" i="11"/>
  <c r="K48" i="11" s="1"/>
  <c r="N48" i="11" s="1"/>
  <c r="I47" i="11"/>
  <c r="J47" i="11" s="1"/>
  <c r="I46" i="11"/>
  <c r="J46" i="11" s="1"/>
  <c r="I45" i="11"/>
  <c r="K45" i="11" s="1"/>
  <c r="N45" i="11" s="1"/>
  <c r="I44" i="11"/>
  <c r="K44" i="11" s="1"/>
  <c r="N44" i="11" s="1"/>
  <c r="I43" i="11"/>
  <c r="K43" i="11" s="1"/>
  <c r="N43" i="11" s="1"/>
  <c r="I42" i="11"/>
  <c r="K42" i="11" s="1"/>
  <c r="N42" i="11" s="1"/>
  <c r="I41" i="11"/>
  <c r="K41" i="11" s="1"/>
  <c r="N41" i="11" s="1"/>
  <c r="I40" i="11"/>
  <c r="K40" i="11" s="1"/>
  <c r="N40" i="11" s="1"/>
  <c r="I39" i="11"/>
  <c r="K39" i="11" s="1"/>
  <c r="N39" i="11" s="1"/>
  <c r="I38" i="11"/>
  <c r="K38" i="11" s="1"/>
  <c r="N38" i="11" s="1"/>
  <c r="I37" i="11"/>
  <c r="J37" i="11" s="1"/>
  <c r="K37" i="11" s="1"/>
  <c r="N37" i="11" s="1"/>
  <c r="I36" i="11"/>
  <c r="K36" i="11" s="1"/>
  <c r="N36" i="11" s="1"/>
  <c r="I35" i="11"/>
  <c r="K35" i="11" s="1"/>
  <c r="N35" i="11" s="1"/>
  <c r="I34" i="11"/>
  <c r="K34" i="11" s="1"/>
  <c r="N34" i="11" s="1"/>
  <c r="L33" i="11"/>
  <c r="I33" i="11"/>
  <c r="K33" i="11" s="1"/>
  <c r="I32" i="11"/>
  <c r="K32" i="11" s="1"/>
  <c r="N32" i="11" s="1"/>
  <c r="I31" i="11"/>
  <c r="K31" i="11" s="1"/>
  <c r="N31" i="11" s="1"/>
  <c r="I30" i="11"/>
  <c r="I29" i="11"/>
  <c r="I28" i="11"/>
  <c r="I27" i="11"/>
  <c r="K27" i="11" s="1"/>
  <c r="N27" i="11" s="1"/>
  <c r="I26" i="11"/>
  <c r="K26" i="11" s="1"/>
  <c r="N26" i="11" s="1"/>
  <c r="I25" i="11"/>
  <c r="K25" i="11" s="1"/>
  <c r="N25" i="11" s="1"/>
  <c r="I24" i="11"/>
  <c r="K24" i="11" s="1"/>
  <c r="N24" i="11" s="1"/>
  <c r="I23" i="11"/>
  <c r="K23" i="11" s="1"/>
  <c r="N23" i="11" s="1"/>
  <c r="I22" i="11"/>
  <c r="K22" i="11" s="1"/>
  <c r="N22" i="11" s="1"/>
  <c r="I21" i="11"/>
  <c r="K21" i="11" s="1"/>
  <c r="N21" i="11" s="1"/>
  <c r="L20" i="11"/>
  <c r="I20" i="11"/>
  <c r="K20" i="11" s="1"/>
  <c r="N20" i="11" s="1"/>
  <c r="L19" i="11"/>
  <c r="I19" i="11"/>
  <c r="K19" i="11" s="1"/>
  <c r="L18" i="11"/>
  <c r="I18" i="11"/>
  <c r="J18" i="11" s="1"/>
  <c r="K18" i="11" s="1"/>
  <c r="N18" i="11" s="1"/>
  <c r="L17" i="11"/>
  <c r="I17" i="11"/>
  <c r="L16" i="11"/>
  <c r="I16" i="11"/>
  <c r="I15" i="11"/>
  <c r="K15" i="11" s="1"/>
  <c r="N15" i="11" s="1"/>
  <c r="I14" i="11"/>
  <c r="K14" i="11" s="1"/>
  <c r="N14" i="11" s="1"/>
  <c r="I13" i="11"/>
  <c r="K13" i="11" s="1"/>
  <c r="N13" i="11" s="1"/>
  <c r="I12" i="11"/>
  <c r="K12" i="11" s="1"/>
  <c r="N12" i="11" s="1"/>
  <c r="I11" i="11"/>
  <c r="I10" i="11"/>
  <c r="K10" i="11" s="1"/>
  <c r="N10" i="11" s="1"/>
  <c r="I9" i="11"/>
  <c r="K9" i="11" s="1"/>
  <c r="N9" i="11" s="1"/>
  <c r="L8" i="11"/>
  <c r="I8" i="11"/>
  <c r="K8" i="11" s="1"/>
  <c r="I7" i="11"/>
  <c r="K7" i="11" s="1"/>
  <c r="N7" i="11" s="1"/>
  <c r="I6" i="11"/>
  <c r="K6" i="11" s="1"/>
  <c r="N6" i="11" s="1"/>
  <c r="I5" i="11"/>
  <c r="K5" i="11" s="1"/>
  <c r="N5" i="11" s="1"/>
  <c r="I4" i="11"/>
  <c r="K4" i="11" s="1"/>
  <c r="N4" i="11" s="1"/>
  <c r="L3" i="11"/>
  <c r="I3" i="11"/>
  <c r="I2" i="11"/>
  <c r="K2" i="11" s="1"/>
  <c r="N2" i="11" s="1"/>
  <c r="N19" i="11" l="1"/>
  <c r="K47" i="11"/>
  <c r="N47" i="11" s="1"/>
  <c r="N8" i="11"/>
  <c r="K46" i="11"/>
  <c r="N46" i="11" s="1"/>
  <c r="J3" i="11"/>
  <c r="K3" i="11" s="1"/>
  <c r="J16" i="11"/>
  <c r="K16" i="11" s="1"/>
  <c r="N16" i="11" s="1"/>
  <c r="J11" i="11"/>
  <c r="K11" i="11" s="1"/>
  <c r="N11" i="11" s="1"/>
  <c r="J28" i="11"/>
  <c r="K28" i="11" s="1"/>
  <c r="N28" i="11" s="1"/>
  <c r="J29" i="11"/>
  <c r="K29" i="11" s="1"/>
  <c r="N29" i="11" s="1"/>
  <c r="J30" i="11"/>
  <c r="K30" i="11" s="1"/>
  <c r="N30" i="11" s="1"/>
  <c r="N33" i="11"/>
  <c r="J17" i="11"/>
  <c r="K17" i="11" s="1"/>
  <c r="N17" i="11" s="1"/>
  <c r="J53" i="11"/>
  <c r="K53" i="11" s="1"/>
  <c r="N53" i="11" s="1"/>
  <c r="G257" i="10"/>
  <c r="N3" i="11" l="1"/>
  <c r="K331" i="11"/>
  <c r="I256" i="10"/>
  <c r="K256" i="10" s="1"/>
  <c r="N256" i="10" s="1"/>
  <c r="I255" i="10"/>
  <c r="K255" i="10" s="1"/>
  <c r="N255" i="10" s="1"/>
  <c r="I254" i="10"/>
  <c r="K254" i="10" s="1"/>
  <c r="N254" i="10" s="1"/>
  <c r="L253" i="10"/>
  <c r="I253" i="10"/>
  <c r="K253" i="10" s="1"/>
  <c r="I252" i="10"/>
  <c r="J252" i="10" s="1"/>
  <c r="K252" i="10" s="1"/>
  <c r="N252" i="10" s="1"/>
  <c r="L251" i="10"/>
  <c r="I251" i="10"/>
  <c r="K251" i="10" s="1"/>
  <c r="I250" i="10"/>
  <c r="K250" i="10" s="1"/>
  <c r="N250" i="10" s="1"/>
  <c r="I249" i="10"/>
  <c r="K249" i="10" s="1"/>
  <c r="N249" i="10" s="1"/>
  <c r="I248" i="10"/>
  <c r="K248" i="10" s="1"/>
  <c r="N248" i="10" s="1"/>
  <c r="L247" i="10"/>
  <c r="I247" i="10"/>
  <c r="K247" i="10" s="1"/>
  <c r="I246" i="10"/>
  <c r="K246" i="10" s="1"/>
  <c r="N246" i="10" s="1"/>
  <c r="I245" i="10"/>
  <c r="K245" i="10" s="1"/>
  <c r="N245" i="10" s="1"/>
  <c r="I244" i="10"/>
  <c r="K244" i="10" s="1"/>
  <c r="N244" i="10" s="1"/>
  <c r="I243" i="10"/>
  <c r="K243" i="10" s="1"/>
  <c r="N243" i="10" s="1"/>
  <c r="I242" i="10"/>
  <c r="K242" i="10" s="1"/>
  <c r="N242" i="10" s="1"/>
  <c r="I241" i="10"/>
  <c r="K241" i="10" s="1"/>
  <c r="N241" i="10" s="1"/>
  <c r="I240" i="10"/>
  <c r="K240" i="10" s="1"/>
  <c r="N240" i="10" s="1"/>
  <c r="I239" i="10"/>
  <c r="K239" i="10" s="1"/>
  <c r="N239" i="10" s="1"/>
  <c r="I238" i="10"/>
  <c r="K238" i="10" s="1"/>
  <c r="N238" i="10" s="1"/>
  <c r="I237" i="10"/>
  <c r="K237" i="10" s="1"/>
  <c r="N237" i="10" s="1"/>
  <c r="I236" i="10"/>
  <c r="K236" i="10" s="1"/>
  <c r="N236" i="10" s="1"/>
  <c r="I235" i="10"/>
  <c r="K235" i="10" s="1"/>
  <c r="N235" i="10" s="1"/>
  <c r="I234" i="10"/>
  <c r="K234" i="10" s="1"/>
  <c r="N234" i="10" s="1"/>
  <c r="I233" i="10"/>
  <c r="K233" i="10" s="1"/>
  <c r="N233" i="10" s="1"/>
  <c r="I232" i="10"/>
  <c r="K232" i="10" s="1"/>
  <c r="N232" i="10" s="1"/>
  <c r="I231" i="10"/>
  <c r="K231" i="10" s="1"/>
  <c r="N231" i="10" s="1"/>
  <c r="K230" i="10"/>
  <c r="N230" i="10" s="1"/>
  <c r="I230" i="10"/>
  <c r="I229" i="10"/>
  <c r="K229" i="10" s="1"/>
  <c r="N229" i="10" s="1"/>
  <c r="I228" i="10"/>
  <c r="K228" i="10" s="1"/>
  <c r="N228" i="10" s="1"/>
  <c r="I227" i="10"/>
  <c r="K227" i="10" s="1"/>
  <c r="N227" i="10" s="1"/>
  <c r="I226" i="10"/>
  <c r="K226" i="10" s="1"/>
  <c r="N226" i="10" s="1"/>
  <c r="I225" i="10"/>
  <c r="K225" i="10" s="1"/>
  <c r="N225" i="10" s="1"/>
  <c r="I224" i="10"/>
  <c r="K224" i="10" s="1"/>
  <c r="N224" i="10" s="1"/>
  <c r="I223" i="10"/>
  <c r="K223" i="10" s="1"/>
  <c r="N223" i="10" s="1"/>
  <c r="I222" i="10"/>
  <c r="K222" i="10" s="1"/>
  <c r="N222" i="10" s="1"/>
  <c r="I221" i="10"/>
  <c r="K221" i="10" s="1"/>
  <c r="N221" i="10" s="1"/>
  <c r="I220" i="10"/>
  <c r="K220" i="10" s="1"/>
  <c r="N220" i="10" s="1"/>
  <c r="I219" i="10"/>
  <c r="K219" i="10" s="1"/>
  <c r="N219" i="10" s="1"/>
  <c r="I218" i="10"/>
  <c r="K218" i="10" s="1"/>
  <c r="N218" i="10" s="1"/>
  <c r="I217" i="10"/>
  <c r="K217" i="10" s="1"/>
  <c r="N217" i="10" s="1"/>
  <c r="I216" i="10"/>
  <c r="K216" i="10" s="1"/>
  <c r="N216" i="10" s="1"/>
  <c r="I215" i="10"/>
  <c r="K215" i="10" s="1"/>
  <c r="N215" i="10" s="1"/>
  <c r="I214" i="10"/>
  <c r="K214" i="10" s="1"/>
  <c r="N214" i="10" s="1"/>
  <c r="L213" i="10"/>
  <c r="I213" i="10"/>
  <c r="J213" i="10" s="1"/>
  <c r="I212" i="10"/>
  <c r="K212" i="10" s="1"/>
  <c r="N212" i="10" s="1"/>
  <c r="I211" i="10"/>
  <c r="K211" i="10" s="1"/>
  <c r="N211" i="10" s="1"/>
  <c r="I210" i="10"/>
  <c r="K210" i="10" s="1"/>
  <c r="N210" i="10" s="1"/>
  <c r="I209" i="10"/>
  <c r="K209" i="10" s="1"/>
  <c r="N209" i="10" s="1"/>
  <c r="I208" i="10"/>
  <c r="K208" i="10" s="1"/>
  <c r="N208" i="10" s="1"/>
  <c r="I207" i="10"/>
  <c r="K207" i="10" s="1"/>
  <c r="N207" i="10" s="1"/>
  <c r="I206" i="10"/>
  <c r="K206" i="10" s="1"/>
  <c r="N206" i="10" s="1"/>
  <c r="I205" i="10"/>
  <c r="K205" i="10" s="1"/>
  <c r="N205" i="10" s="1"/>
  <c r="I204" i="10"/>
  <c r="K204" i="10" s="1"/>
  <c r="N204" i="10" s="1"/>
  <c r="I203" i="10"/>
  <c r="K203" i="10" s="1"/>
  <c r="N203" i="10" s="1"/>
  <c r="I202" i="10"/>
  <c r="K202" i="10" s="1"/>
  <c r="N202" i="10" s="1"/>
  <c r="L201" i="10"/>
  <c r="I201" i="10"/>
  <c r="J201" i="10" s="1"/>
  <c r="I200" i="10"/>
  <c r="K200" i="10" s="1"/>
  <c r="N200" i="10" s="1"/>
  <c r="I199" i="10"/>
  <c r="K199" i="10" s="1"/>
  <c r="N199" i="10" s="1"/>
  <c r="I198" i="10"/>
  <c r="K198" i="10" s="1"/>
  <c r="N198" i="10" s="1"/>
  <c r="I197" i="10"/>
  <c r="J197" i="10" s="1"/>
  <c r="K197" i="10" s="1"/>
  <c r="N197" i="10" s="1"/>
  <c r="I196" i="10"/>
  <c r="J196" i="10" s="1"/>
  <c r="K196" i="10" s="1"/>
  <c r="N196" i="10" s="1"/>
  <c r="I195" i="10"/>
  <c r="J195" i="10" s="1"/>
  <c r="K195" i="10" s="1"/>
  <c r="N195" i="10" s="1"/>
  <c r="I194" i="10"/>
  <c r="J194" i="10" s="1"/>
  <c r="K194" i="10" s="1"/>
  <c r="N194" i="10" s="1"/>
  <c r="I193" i="10"/>
  <c r="J193" i="10" s="1"/>
  <c r="K193" i="10" s="1"/>
  <c r="N193" i="10" s="1"/>
  <c r="I192" i="10"/>
  <c r="J192" i="10" s="1"/>
  <c r="K192" i="10" s="1"/>
  <c r="N192" i="10" s="1"/>
  <c r="I191" i="10"/>
  <c r="J191" i="10" s="1"/>
  <c r="K191" i="10" s="1"/>
  <c r="N191" i="10" s="1"/>
  <c r="I190" i="10"/>
  <c r="J190" i="10" s="1"/>
  <c r="K190" i="10" s="1"/>
  <c r="N190" i="10" s="1"/>
  <c r="I189" i="10"/>
  <c r="J189" i="10" s="1"/>
  <c r="K189" i="10" s="1"/>
  <c r="N189" i="10" s="1"/>
  <c r="I188" i="10"/>
  <c r="J188" i="10" s="1"/>
  <c r="K188" i="10" s="1"/>
  <c r="N188" i="10" s="1"/>
  <c r="I187" i="10"/>
  <c r="J187" i="10" s="1"/>
  <c r="K187" i="10" s="1"/>
  <c r="N187" i="10" s="1"/>
  <c r="I186" i="10"/>
  <c r="J186" i="10" s="1"/>
  <c r="K186" i="10" s="1"/>
  <c r="N186" i="10" s="1"/>
  <c r="I185" i="10"/>
  <c r="J185" i="10" s="1"/>
  <c r="K185" i="10" s="1"/>
  <c r="N185" i="10" s="1"/>
  <c r="I184" i="10"/>
  <c r="J184" i="10" s="1"/>
  <c r="K184" i="10" s="1"/>
  <c r="N184" i="10" s="1"/>
  <c r="I183" i="10"/>
  <c r="J183" i="10" s="1"/>
  <c r="K183" i="10" s="1"/>
  <c r="N183" i="10" s="1"/>
  <c r="I182" i="10"/>
  <c r="J182" i="10" s="1"/>
  <c r="K182" i="10" s="1"/>
  <c r="N182" i="10" s="1"/>
  <c r="I181" i="10"/>
  <c r="J181" i="10" s="1"/>
  <c r="K181" i="10" s="1"/>
  <c r="N181" i="10" s="1"/>
  <c r="I180" i="10"/>
  <c r="J180" i="10" s="1"/>
  <c r="K180" i="10" s="1"/>
  <c r="N180" i="10" s="1"/>
  <c r="I179" i="10"/>
  <c r="J179" i="10" s="1"/>
  <c r="K179" i="10" s="1"/>
  <c r="N179" i="10" s="1"/>
  <c r="I178" i="10"/>
  <c r="J178" i="10" s="1"/>
  <c r="K178" i="10" s="1"/>
  <c r="N178" i="10" s="1"/>
  <c r="I177" i="10"/>
  <c r="J177" i="10" s="1"/>
  <c r="K177" i="10" s="1"/>
  <c r="N177" i="10" s="1"/>
  <c r="I176" i="10"/>
  <c r="J176" i="10" s="1"/>
  <c r="K176" i="10" s="1"/>
  <c r="N176" i="10" s="1"/>
  <c r="I175" i="10"/>
  <c r="J175" i="10" s="1"/>
  <c r="K175" i="10" s="1"/>
  <c r="N175" i="10" s="1"/>
  <c r="I174" i="10"/>
  <c r="J174" i="10" s="1"/>
  <c r="K174" i="10" s="1"/>
  <c r="N174" i="10" s="1"/>
  <c r="I173" i="10"/>
  <c r="J173" i="10" s="1"/>
  <c r="K173" i="10" s="1"/>
  <c r="N173" i="10" s="1"/>
  <c r="I172" i="10"/>
  <c r="K172" i="10" s="1"/>
  <c r="N172" i="10" s="1"/>
  <c r="I171" i="10"/>
  <c r="K171" i="10" s="1"/>
  <c r="N171" i="10" s="1"/>
  <c r="I170" i="10"/>
  <c r="K170" i="10" s="1"/>
  <c r="N170" i="10" s="1"/>
  <c r="I169" i="10"/>
  <c r="K169" i="10" s="1"/>
  <c r="N169" i="10" s="1"/>
  <c r="I168" i="10"/>
  <c r="K168" i="10" s="1"/>
  <c r="N168" i="10" s="1"/>
  <c r="I167" i="10"/>
  <c r="K167" i="10" s="1"/>
  <c r="N167" i="10" s="1"/>
  <c r="I166" i="10"/>
  <c r="K166" i="10" s="1"/>
  <c r="N166" i="10" s="1"/>
  <c r="I165" i="10"/>
  <c r="K165" i="10" s="1"/>
  <c r="N165" i="10" s="1"/>
  <c r="I164" i="10"/>
  <c r="K164" i="10" s="1"/>
  <c r="N164" i="10" s="1"/>
  <c r="I163" i="10"/>
  <c r="K163" i="10" s="1"/>
  <c r="N163" i="10" s="1"/>
  <c r="I162" i="10"/>
  <c r="K162" i="10" s="1"/>
  <c r="N162" i="10" s="1"/>
  <c r="K161" i="10"/>
  <c r="N161" i="10" s="1"/>
  <c r="I161" i="10"/>
  <c r="J161" i="10" s="1"/>
  <c r="I160" i="10"/>
  <c r="J160" i="10" s="1"/>
  <c r="I159" i="10"/>
  <c r="K159" i="10" s="1"/>
  <c r="N159" i="10" s="1"/>
  <c r="I158" i="10"/>
  <c r="K158" i="10" s="1"/>
  <c r="N158" i="10" s="1"/>
  <c r="I157" i="10"/>
  <c r="K157" i="10" s="1"/>
  <c r="N157" i="10" s="1"/>
  <c r="L156" i="10"/>
  <c r="I156" i="10"/>
  <c r="J156" i="10" s="1"/>
  <c r="I155" i="10"/>
  <c r="K155" i="10" s="1"/>
  <c r="N155" i="10" s="1"/>
  <c r="I154" i="10"/>
  <c r="K154" i="10" s="1"/>
  <c r="N154" i="10" s="1"/>
  <c r="I153" i="10"/>
  <c r="K153" i="10" s="1"/>
  <c r="N153" i="10" s="1"/>
  <c r="I152" i="10"/>
  <c r="K152" i="10" s="1"/>
  <c r="N152" i="10" s="1"/>
  <c r="I151" i="10"/>
  <c r="K151" i="10" s="1"/>
  <c r="N151" i="10" s="1"/>
  <c r="I150" i="10"/>
  <c r="K150" i="10" s="1"/>
  <c r="N150" i="10" s="1"/>
  <c r="I149" i="10"/>
  <c r="K149" i="10" s="1"/>
  <c r="N149" i="10" s="1"/>
  <c r="I148" i="10"/>
  <c r="K148" i="10" s="1"/>
  <c r="N148" i="10" s="1"/>
  <c r="I147" i="10"/>
  <c r="K147" i="10" s="1"/>
  <c r="N147" i="10" s="1"/>
  <c r="I146" i="10"/>
  <c r="K146" i="10" s="1"/>
  <c r="N146" i="10" s="1"/>
  <c r="I145" i="10"/>
  <c r="K145" i="10" s="1"/>
  <c r="N145" i="10" s="1"/>
  <c r="I144" i="10"/>
  <c r="K144" i="10" s="1"/>
  <c r="N144" i="10" s="1"/>
  <c r="I143" i="10"/>
  <c r="K143" i="10" s="1"/>
  <c r="N143" i="10" s="1"/>
  <c r="I142" i="10"/>
  <c r="K142" i="10" s="1"/>
  <c r="N142" i="10" s="1"/>
  <c r="I141" i="10"/>
  <c r="K141" i="10" s="1"/>
  <c r="N141" i="10" s="1"/>
  <c r="I140" i="10"/>
  <c r="K140" i="10" s="1"/>
  <c r="N140" i="10" s="1"/>
  <c r="I139" i="10"/>
  <c r="K139" i="10" s="1"/>
  <c r="N139" i="10" s="1"/>
  <c r="I138" i="10"/>
  <c r="K138" i="10" s="1"/>
  <c r="N138" i="10" s="1"/>
  <c r="I137" i="10"/>
  <c r="K137" i="10" s="1"/>
  <c r="N137" i="10" s="1"/>
  <c r="I136" i="10"/>
  <c r="K136" i="10" s="1"/>
  <c r="N136" i="10" s="1"/>
  <c r="I135" i="10"/>
  <c r="K135" i="10" s="1"/>
  <c r="N135" i="10" s="1"/>
  <c r="I134" i="10"/>
  <c r="K134" i="10" s="1"/>
  <c r="N134" i="10" s="1"/>
  <c r="I133" i="10"/>
  <c r="K133" i="10" s="1"/>
  <c r="N133" i="10" s="1"/>
  <c r="I132" i="10"/>
  <c r="K132" i="10" s="1"/>
  <c r="N132" i="10" s="1"/>
  <c r="I131" i="10"/>
  <c r="K131" i="10" s="1"/>
  <c r="N131" i="10" s="1"/>
  <c r="I130" i="10"/>
  <c r="K130" i="10" s="1"/>
  <c r="N130" i="10" s="1"/>
  <c r="I129" i="10"/>
  <c r="K129" i="10" s="1"/>
  <c r="N129" i="10" s="1"/>
  <c r="I128" i="10"/>
  <c r="K128" i="10" s="1"/>
  <c r="N128" i="10" s="1"/>
  <c r="L127" i="10"/>
  <c r="I127" i="10"/>
  <c r="K127" i="10" s="1"/>
  <c r="I126" i="10"/>
  <c r="K126" i="10" s="1"/>
  <c r="N126" i="10" s="1"/>
  <c r="I125" i="10"/>
  <c r="K125" i="10" s="1"/>
  <c r="N125" i="10" s="1"/>
  <c r="K124" i="10"/>
  <c r="N124" i="10" s="1"/>
  <c r="I124" i="10"/>
  <c r="I123" i="10"/>
  <c r="K123" i="10" s="1"/>
  <c r="N123" i="10" s="1"/>
  <c r="N251" i="10" l="1"/>
  <c r="N247" i="10"/>
  <c r="N253" i="10"/>
  <c r="N127" i="10"/>
  <c r="K156" i="10"/>
  <c r="N156" i="10" s="1"/>
  <c r="K201" i="10"/>
  <c r="N201" i="10" s="1"/>
  <c r="K160" i="10"/>
  <c r="N160" i="10" s="1"/>
  <c r="K213" i="10"/>
  <c r="N213" i="10" s="1"/>
  <c r="I106" i="10"/>
  <c r="J106" i="10" l="1"/>
  <c r="K106" i="10" s="1"/>
  <c r="N106" i="10" s="1"/>
  <c r="I122" i="10"/>
  <c r="J122" i="10" s="1"/>
  <c r="K122" i="10" s="1"/>
  <c r="N122" i="10" s="1"/>
  <c r="I121" i="10"/>
  <c r="I120" i="10"/>
  <c r="K120" i="10" s="1"/>
  <c r="N120" i="10" s="1"/>
  <c r="I119" i="10"/>
  <c r="K119" i="10" s="1"/>
  <c r="N119" i="10" s="1"/>
  <c r="I118" i="10"/>
  <c r="K118" i="10" s="1"/>
  <c r="N118" i="10" s="1"/>
  <c r="I117" i="10"/>
  <c r="K117" i="10" s="1"/>
  <c r="N117" i="10" s="1"/>
  <c r="I116" i="10"/>
  <c r="K116" i="10" s="1"/>
  <c r="N116" i="10" s="1"/>
  <c r="L115" i="10"/>
  <c r="I115" i="10"/>
  <c r="K115" i="10" s="1"/>
  <c r="L114" i="10"/>
  <c r="I114" i="10"/>
  <c r="K114" i="10" s="1"/>
  <c r="N114" i="10" s="1"/>
  <c r="I113" i="10"/>
  <c r="K113" i="10" s="1"/>
  <c r="N113" i="10" s="1"/>
  <c r="I112" i="10"/>
  <c r="K112" i="10" s="1"/>
  <c r="N112" i="10" s="1"/>
  <c r="I111" i="10"/>
  <c r="K111" i="10" s="1"/>
  <c r="N111" i="10" s="1"/>
  <c r="I110" i="10"/>
  <c r="K110" i="10" s="1"/>
  <c r="N110" i="10" s="1"/>
  <c r="I109" i="10"/>
  <c r="K109" i="10" s="1"/>
  <c r="N109" i="10" s="1"/>
  <c r="I108" i="10"/>
  <c r="K108" i="10" s="1"/>
  <c r="N108" i="10" s="1"/>
  <c r="I107" i="10"/>
  <c r="K107" i="10" s="1"/>
  <c r="N107" i="10" s="1"/>
  <c r="I105" i="10"/>
  <c r="K105" i="10" s="1"/>
  <c r="N105" i="10" s="1"/>
  <c r="I104" i="10"/>
  <c r="K104" i="10" s="1"/>
  <c r="N104" i="10" s="1"/>
  <c r="I103" i="10"/>
  <c r="K103" i="10" s="1"/>
  <c r="N103" i="10" s="1"/>
  <c r="I102" i="10"/>
  <c r="K102" i="10" s="1"/>
  <c r="N102" i="10" s="1"/>
  <c r="I101" i="10"/>
  <c r="K101" i="10" s="1"/>
  <c r="N101" i="10" s="1"/>
  <c r="I100" i="10"/>
  <c r="K100" i="10" s="1"/>
  <c r="N100" i="10" s="1"/>
  <c r="I99" i="10"/>
  <c r="K99" i="10" s="1"/>
  <c r="N99" i="10" s="1"/>
  <c r="I98" i="10"/>
  <c r="K98" i="10" s="1"/>
  <c r="N98" i="10" s="1"/>
  <c r="I97" i="10"/>
  <c r="K97" i="10" s="1"/>
  <c r="N97" i="10" s="1"/>
  <c r="I96" i="10"/>
  <c r="K96" i="10" s="1"/>
  <c r="N96" i="10" s="1"/>
  <c r="I95" i="10"/>
  <c r="K95" i="10" s="1"/>
  <c r="N95" i="10" s="1"/>
  <c r="I94" i="10"/>
  <c r="K94" i="10" s="1"/>
  <c r="N94" i="10" s="1"/>
  <c r="I93" i="10"/>
  <c r="K93" i="10" s="1"/>
  <c r="N93" i="10" s="1"/>
  <c r="I92" i="10"/>
  <c r="K92" i="10" s="1"/>
  <c r="N92" i="10" s="1"/>
  <c r="I91" i="10"/>
  <c r="K91" i="10" s="1"/>
  <c r="N91" i="10" s="1"/>
  <c r="I90" i="10"/>
  <c r="K90" i="10" s="1"/>
  <c r="N90" i="10" s="1"/>
  <c r="L89" i="10"/>
  <c r="J89" i="10"/>
  <c r="I89" i="10"/>
  <c r="I88" i="10"/>
  <c r="K88" i="10" s="1"/>
  <c r="N88" i="10" s="1"/>
  <c r="I87" i="10"/>
  <c r="K87" i="10" s="1"/>
  <c r="N87" i="10" s="1"/>
  <c r="I86" i="10"/>
  <c r="J86" i="10" s="1"/>
  <c r="K86" i="10" s="1"/>
  <c r="N86" i="10" s="1"/>
  <c r="L85" i="10"/>
  <c r="I85" i="10"/>
  <c r="J85" i="10" s="1"/>
  <c r="K85" i="10" s="1"/>
  <c r="I84" i="10"/>
  <c r="K84" i="10" s="1"/>
  <c r="N84" i="10" s="1"/>
  <c r="I83" i="10"/>
  <c r="K83" i="10" s="1"/>
  <c r="N83" i="10" s="1"/>
  <c r="I82" i="10"/>
  <c r="K82" i="10" s="1"/>
  <c r="N82" i="10" s="1"/>
  <c r="L81" i="10"/>
  <c r="I81" i="10"/>
  <c r="J81" i="10" s="1"/>
  <c r="I80" i="10"/>
  <c r="K80" i="10" s="1"/>
  <c r="N80" i="10" s="1"/>
  <c r="I79" i="10"/>
  <c r="K79" i="10" s="1"/>
  <c r="N79" i="10" s="1"/>
  <c r="I78" i="10"/>
  <c r="K78" i="10" s="1"/>
  <c r="N78" i="10" s="1"/>
  <c r="L77" i="10"/>
  <c r="I77" i="10"/>
  <c r="K77" i="10" s="1"/>
  <c r="L76" i="10"/>
  <c r="I76" i="10"/>
  <c r="K76" i="10" s="1"/>
  <c r="I75" i="10"/>
  <c r="K75" i="10" s="1"/>
  <c r="N75" i="10" s="1"/>
  <c r="I74" i="10"/>
  <c r="K74" i="10" s="1"/>
  <c r="N74" i="10" s="1"/>
  <c r="I73" i="10"/>
  <c r="K73" i="10" s="1"/>
  <c r="N73" i="10" s="1"/>
  <c r="I72" i="10"/>
  <c r="K72" i="10" s="1"/>
  <c r="N72" i="10" s="1"/>
  <c r="I71" i="10"/>
  <c r="K71" i="10" s="1"/>
  <c r="N71" i="10" s="1"/>
  <c r="I70" i="10"/>
  <c r="K70" i="10" s="1"/>
  <c r="N70" i="10" s="1"/>
  <c r="I69" i="10"/>
  <c r="K69" i="10" s="1"/>
  <c r="N69" i="10" s="1"/>
  <c r="N76" i="10" l="1"/>
  <c r="N85" i="10"/>
  <c r="K89" i="10"/>
  <c r="N89" i="10" s="1"/>
  <c r="N115" i="10"/>
  <c r="J121" i="10"/>
  <c r="K121" i="10" s="1"/>
  <c r="N121" i="10" s="1"/>
  <c r="N77" i="10"/>
  <c r="K81" i="10"/>
  <c r="N81" i="10" s="1"/>
  <c r="I68" i="10" l="1"/>
  <c r="J68" i="10" s="1"/>
  <c r="K68" i="10" s="1"/>
  <c r="N68" i="10" s="1"/>
  <c r="I67" i="10"/>
  <c r="J67" i="10" s="1"/>
  <c r="K67" i="10" s="1"/>
  <c r="N67" i="10" s="1"/>
  <c r="I66" i="10"/>
  <c r="J66" i="10" s="1"/>
  <c r="K66" i="10" s="1"/>
  <c r="N66" i="10" s="1"/>
  <c r="I65" i="10"/>
  <c r="J65" i="10" s="1"/>
  <c r="K65" i="10" s="1"/>
  <c r="N65" i="10" s="1"/>
  <c r="I64" i="10"/>
  <c r="J64" i="10" s="1"/>
  <c r="K64" i="10" s="1"/>
  <c r="N64" i="10" s="1"/>
  <c r="I63" i="10"/>
  <c r="J63" i="10" s="1"/>
  <c r="K63" i="10" s="1"/>
  <c r="N63" i="10" s="1"/>
  <c r="I62" i="10"/>
  <c r="J62" i="10" s="1"/>
  <c r="K62" i="10" s="1"/>
  <c r="N62" i="10" s="1"/>
  <c r="I61" i="10"/>
  <c r="J61" i="10" s="1"/>
  <c r="K61" i="10" s="1"/>
  <c r="N61" i="10" s="1"/>
  <c r="I60" i="10"/>
  <c r="J60" i="10" s="1"/>
  <c r="K60" i="10" s="1"/>
  <c r="N60" i="10" s="1"/>
  <c r="I59" i="10"/>
  <c r="J59" i="10" s="1"/>
  <c r="K59" i="10" s="1"/>
  <c r="N59" i="10" s="1"/>
  <c r="I58" i="10"/>
  <c r="J58" i="10" s="1"/>
  <c r="K58" i="10" s="1"/>
  <c r="N58" i="10" s="1"/>
  <c r="I57" i="10"/>
  <c r="J57" i="10" s="1"/>
  <c r="K57" i="10" s="1"/>
  <c r="N57" i="10" s="1"/>
  <c r="I56" i="10"/>
  <c r="I55" i="10"/>
  <c r="J55" i="10" s="1"/>
  <c r="K55" i="10" s="1"/>
  <c r="N55" i="10" s="1"/>
  <c r="I54" i="10"/>
  <c r="J54" i="10" s="1"/>
  <c r="K54" i="10" s="1"/>
  <c r="N54" i="10" s="1"/>
  <c r="I53" i="10"/>
  <c r="J53" i="10" s="1"/>
  <c r="K53" i="10" s="1"/>
  <c r="N53" i="10" s="1"/>
  <c r="L52" i="10"/>
  <c r="I52" i="10"/>
  <c r="K52" i="10" s="1"/>
  <c r="I51" i="10"/>
  <c r="K51" i="10" s="1"/>
  <c r="N51" i="10" s="1"/>
  <c r="I50" i="10"/>
  <c r="J50" i="10" s="1"/>
  <c r="I49" i="10"/>
  <c r="K49" i="10" s="1"/>
  <c r="N49" i="10" s="1"/>
  <c r="I48" i="10"/>
  <c r="K48" i="10" s="1"/>
  <c r="N48" i="10" s="1"/>
  <c r="L47" i="10"/>
  <c r="I47" i="10"/>
  <c r="K47" i="10" s="1"/>
  <c r="I46" i="10"/>
  <c r="K46" i="10" s="1"/>
  <c r="N46" i="10" s="1"/>
  <c r="I45" i="10"/>
  <c r="K45" i="10" s="1"/>
  <c r="N45" i="10" s="1"/>
  <c r="I44" i="10"/>
  <c r="K44" i="10" s="1"/>
  <c r="N44" i="10" s="1"/>
  <c r="I43" i="10"/>
  <c r="K43" i="10" s="1"/>
  <c r="N43" i="10" s="1"/>
  <c r="I42" i="10"/>
  <c r="K42" i="10" s="1"/>
  <c r="N42" i="10" s="1"/>
  <c r="I41" i="10"/>
  <c r="K41" i="10" s="1"/>
  <c r="N41" i="10" s="1"/>
  <c r="L40" i="10"/>
  <c r="J40" i="10"/>
  <c r="K40" i="10" s="1"/>
  <c r="I40" i="10"/>
  <c r="I39" i="10"/>
  <c r="K39" i="10" s="1"/>
  <c r="N39" i="10" s="1"/>
  <c r="I38" i="10"/>
  <c r="K38" i="10" s="1"/>
  <c r="N38" i="10" s="1"/>
  <c r="I37" i="10"/>
  <c r="K37" i="10" s="1"/>
  <c r="N37" i="10" s="1"/>
  <c r="I36" i="10"/>
  <c r="K36" i="10" s="1"/>
  <c r="N36" i="10" s="1"/>
  <c r="I35" i="10"/>
  <c r="K35" i="10" s="1"/>
  <c r="N35" i="10" s="1"/>
  <c r="I34" i="10"/>
  <c r="J34" i="10" s="1"/>
  <c r="I33" i="10"/>
  <c r="J33" i="10" s="1"/>
  <c r="I32" i="10"/>
  <c r="K32" i="10" s="1"/>
  <c r="N32" i="10" s="1"/>
  <c r="I31" i="10"/>
  <c r="K31" i="10" s="1"/>
  <c r="N31" i="10" s="1"/>
  <c r="I30" i="10"/>
  <c r="K30" i="10" s="1"/>
  <c r="N30" i="10" s="1"/>
  <c r="I29" i="10"/>
  <c r="K29" i="10" s="1"/>
  <c r="N29" i="10" s="1"/>
  <c r="I28" i="10"/>
  <c r="J28" i="10" s="1"/>
  <c r="I27" i="10"/>
  <c r="K27" i="10" s="1"/>
  <c r="N27" i="10" s="1"/>
  <c r="I26" i="10"/>
  <c r="K26" i="10" s="1"/>
  <c r="N26" i="10" s="1"/>
  <c r="I25" i="10"/>
  <c r="K25" i="10" s="1"/>
  <c r="N25" i="10" s="1"/>
  <c r="I24" i="10"/>
  <c r="K24" i="10" s="1"/>
  <c r="N24" i="10" s="1"/>
  <c r="I23" i="10"/>
  <c r="K23" i="10" s="1"/>
  <c r="N23" i="10" s="1"/>
  <c r="L22" i="10"/>
  <c r="I22" i="10"/>
  <c r="K22" i="10" s="1"/>
  <c r="I21" i="10"/>
  <c r="K21" i="10" s="1"/>
  <c r="N21" i="10" s="1"/>
  <c r="I20" i="10"/>
  <c r="K20" i="10" s="1"/>
  <c r="N20" i="10" s="1"/>
  <c r="I19" i="10"/>
  <c r="K19" i="10" s="1"/>
  <c r="N19" i="10" s="1"/>
  <c r="L18" i="10"/>
  <c r="I18" i="10"/>
  <c r="K18" i="10" s="1"/>
  <c r="I17" i="10"/>
  <c r="K17" i="10" s="1"/>
  <c r="N17" i="10" s="1"/>
  <c r="I16" i="10"/>
  <c r="K16" i="10" s="1"/>
  <c r="N16" i="10" s="1"/>
  <c r="I15" i="10"/>
  <c r="J15" i="10" s="1"/>
  <c r="I14" i="10"/>
  <c r="J14" i="10" s="1"/>
  <c r="K14" i="10" s="1"/>
  <c r="N14" i="10" s="1"/>
  <c r="I13" i="10"/>
  <c r="K13" i="10" s="1"/>
  <c r="N13" i="10" s="1"/>
  <c r="I12" i="10"/>
  <c r="K12" i="10" s="1"/>
  <c r="N12" i="10" s="1"/>
  <c r="I11" i="10"/>
  <c r="K11" i="10" s="1"/>
  <c r="N11" i="10" s="1"/>
  <c r="I10" i="10"/>
  <c r="K10" i="10" s="1"/>
  <c r="N10" i="10" s="1"/>
  <c r="I9" i="10"/>
  <c r="K9" i="10" s="1"/>
  <c r="N9" i="10" s="1"/>
  <c r="I8" i="10"/>
  <c r="K8" i="10" s="1"/>
  <c r="N8" i="10" s="1"/>
  <c r="I7" i="10"/>
  <c r="K7" i="10" s="1"/>
  <c r="N7" i="10" s="1"/>
  <c r="I6" i="10"/>
  <c r="I5" i="10"/>
  <c r="K5" i="10" s="1"/>
  <c r="N5" i="10" s="1"/>
  <c r="I4" i="10"/>
  <c r="K4" i="10" s="1"/>
  <c r="N4" i="10" s="1"/>
  <c r="I3" i="10"/>
  <c r="K3" i="10" s="1"/>
  <c r="N3" i="10" s="1"/>
  <c r="I2" i="10"/>
  <c r="K2" i="10" s="1"/>
  <c r="N2" i="10" l="1"/>
  <c r="N22" i="10"/>
  <c r="N47" i="10"/>
  <c r="N40" i="10"/>
  <c r="K15" i="10"/>
  <c r="N15" i="10" s="1"/>
  <c r="N18" i="10"/>
  <c r="J56" i="10"/>
  <c r="K56" i="10" s="1"/>
  <c r="N56" i="10" s="1"/>
  <c r="K50" i="10"/>
  <c r="N50" i="10" s="1"/>
  <c r="J6" i="10"/>
  <c r="K6" i="10" s="1"/>
  <c r="N6" i="10" s="1"/>
  <c r="K33" i="10"/>
  <c r="N33" i="10" s="1"/>
  <c r="K28" i="10"/>
  <c r="N28" i="10" s="1"/>
  <c r="K34" i="10"/>
  <c r="N34" i="10" s="1"/>
  <c r="N52" i="10"/>
  <c r="K257" i="10" l="1"/>
  <c r="I2" i="9"/>
  <c r="K2" i="9" s="1"/>
  <c r="I3" i="9"/>
  <c r="K3" i="9" s="1"/>
  <c r="N3" i="9" s="1"/>
  <c r="I4" i="9"/>
  <c r="K4" i="9" s="1"/>
  <c r="N4" i="9" s="1"/>
  <c r="I5" i="9"/>
  <c r="K5" i="9" s="1"/>
  <c r="N5" i="9" s="1"/>
  <c r="I6" i="9"/>
  <c r="J6" i="9"/>
  <c r="K6" i="9"/>
  <c r="N6" i="9" s="1"/>
  <c r="L6" i="9"/>
  <c r="I7" i="9"/>
  <c r="K7" i="9"/>
  <c r="N7" i="9" s="1"/>
  <c r="I8" i="9"/>
  <c r="K8" i="9" s="1"/>
  <c r="N8" i="9" s="1"/>
  <c r="I9" i="9"/>
  <c r="K9" i="9" s="1"/>
  <c r="N9" i="9" s="1"/>
  <c r="I10" i="9"/>
  <c r="K10" i="9" s="1"/>
  <c r="N10" i="9" s="1"/>
  <c r="I11" i="9"/>
  <c r="J11" i="9" s="1"/>
  <c r="K11" i="9" s="1"/>
  <c r="N11" i="9" s="1"/>
  <c r="I12" i="9"/>
  <c r="K12" i="9" s="1"/>
  <c r="N12" i="9" s="1"/>
  <c r="I13" i="9"/>
  <c r="K13" i="9" s="1"/>
  <c r="N13" i="9" s="1"/>
  <c r="I14" i="9"/>
  <c r="K14" i="9" s="1"/>
  <c r="N14" i="9" s="1"/>
  <c r="I15" i="9"/>
  <c r="K15" i="9" s="1"/>
  <c r="N15" i="9" s="1"/>
  <c r="I16" i="9"/>
  <c r="K16" i="9" s="1"/>
  <c r="N16" i="9" s="1"/>
  <c r="I17" i="9"/>
  <c r="K17" i="9" s="1"/>
  <c r="N17" i="9" s="1"/>
  <c r="I18" i="9"/>
  <c r="K18" i="9" s="1"/>
  <c r="N18" i="9" s="1"/>
  <c r="I19" i="9"/>
  <c r="K19" i="9" s="1"/>
  <c r="N19" i="9" s="1"/>
  <c r="I20" i="9"/>
  <c r="J20" i="9" s="1"/>
  <c r="K20" i="9" s="1"/>
  <c r="N20" i="9" s="1"/>
  <c r="I21" i="9"/>
  <c r="J21" i="9" s="1"/>
  <c r="K21" i="9" s="1"/>
  <c r="N21" i="9" s="1"/>
  <c r="I22" i="9"/>
  <c r="J22" i="9" s="1"/>
  <c r="K22" i="9" s="1"/>
  <c r="N22" i="9" s="1"/>
  <c r="I23" i="9"/>
  <c r="J23" i="9" s="1"/>
  <c r="K23" i="9" s="1"/>
  <c r="N23" i="9" s="1"/>
  <c r="I24" i="9"/>
  <c r="K24" i="9" s="1"/>
  <c r="N24" i="9" s="1"/>
  <c r="I25" i="9"/>
  <c r="K25" i="9" s="1"/>
  <c r="N25" i="9" s="1"/>
  <c r="I26" i="9"/>
  <c r="K26" i="9" s="1"/>
  <c r="N26" i="9" s="1"/>
  <c r="I27" i="9"/>
  <c r="K27" i="9" s="1"/>
  <c r="N27" i="9" s="1"/>
  <c r="I28" i="9"/>
  <c r="K28" i="9" s="1"/>
  <c r="N28" i="9" s="1"/>
  <c r="I29" i="9"/>
  <c r="K29" i="9" s="1"/>
  <c r="N29" i="9" s="1"/>
  <c r="I30" i="9"/>
  <c r="K30" i="9" s="1"/>
  <c r="N30" i="9" s="1"/>
  <c r="I31" i="9"/>
  <c r="K31" i="9" s="1"/>
  <c r="N31" i="9" s="1"/>
  <c r="I32" i="9"/>
  <c r="K32" i="9" s="1"/>
  <c r="N32" i="9" s="1"/>
  <c r="I33" i="9"/>
  <c r="K33" i="9" s="1"/>
  <c r="N33" i="9" s="1"/>
  <c r="I34" i="9"/>
  <c r="K34" i="9" s="1"/>
  <c r="N34" i="9" s="1"/>
  <c r="I35" i="9"/>
  <c r="K35" i="9" s="1"/>
  <c r="N35" i="9" s="1"/>
  <c r="I36" i="9"/>
  <c r="J36" i="9" s="1"/>
  <c r="K36" i="9" s="1"/>
  <c r="N36" i="9" s="1"/>
  <c r="I37" i="9"/>
  <c r="J37" i="9" s="1"/>
  <c r="K37" i="9" s="1"/>
  <c r="N37" i="9" s="1"/>
  <c r="I38" i="9"/>
  <c r="J38" i="9" s="1"/>
  <c r="K38" i="9" s="1"/>
  <c r="N38" i="9" s="1"/>
  <c r="I39" i="9"/>
  <c r="J39" i="9" s="1"/>
  <c r="K39" i="9" s="1"/>
  <c r="N39" i="9" s="1"/>
  <c r="I40" i="9"/>
  <c r="J40" i="9" s="1"/>
  <c r="K40" i="9" s="1"/>
  <c r="N40" i="9" s="1"/>
  <c r="I41" i="9"/>
  <c r="J41" i="9" s="1"/>
  <c r="K41" i="9" s="1"/>
  <c r="N41" i="9" s="1"/>
  <c r="I42" i="9"/>
  <c r="J42" i="9" s="1"/>
  <c r="K42" i="9" s="1"/>
  <c r="N42" i="9" s="1"/>
  <c r="I43" i="9"/>
  <c r="J43" i="9" s="1"/>
  <c r="K43" i="9" s="1"/>
  <c r="N43" i="9" s="1"/>
  <c r="I44" i="9"/>
  <c r="J44" i="9" s="1"/>
  <c r="K44" i="9" s="1"/>
  <c r="N44" i="9" s="1"/>
  <c r="I45" i="9"/>
  <c r="J45" i="9" s="1"/>
  <c r="K45" i="9" s="1"/>
  <c r="N45" i="9" s="1"/>
  <c r="I46" i="9"/>
  <c r="J46" i="9" s="1"/>
  <c r="K46" i="9" s="1"/>
  <c r="N46" i="9" s="1"/>
  <c r="I47" i="9"/>
  <c r="J47" i="9" s="1"/>
  <c r="K47" i="9" s="1"/>
  <c r="N47" i="9" s="1"/>
  <c r="I48" i="9"/>
  <c r="J48" i="9" s="1"/>
  <c r="K48" i="9" s="1"/>
  <c r="N48" i="9" s="1"/>
  <c r="I49" i="9"/>
  <c r="J49" i="9" s="1"/>
  <c r="K49" i="9" s="1"/>
  <c r="N49" i="9" s="1"/>
  <c r="I50" i="9"/>
  <c r="K50" i="9" s="1"/>
  <c r="N50" i="9" s="1"/>
  <c r="I51" i="9"/>
  <c r="K51" i="9" s="1"/>
  <c r="N51" i="9" s="1"/>
  <c r="I52" i="9"/>
  <c r="K52" i="9" s="1"/>
  <c r="N52" i="9" s="1"/>
  <c r="I53" i="9"/>
  <c r="K53" i="9" s="1"/>
  <c r="N53" i="9" s="1"/>
  <c r="I54" i="9"/>
  <c r="K54" i="9" s="1"/>
  <c r="N54" i="9" s="1"/>
  <c r="I55" i="9"/>
  <c r="K55" i="9" s="1"/>
  <c r="N55" i="9" s="1"/>
  <c r="I56" i="9"/>
  <c r="K56" i="9" s="1"/>
  <c r="N56" i="9" s="1"/>
  <c r="I57" i="9"/>
  <c r="I58" i="9"/>
  <c r="K58" i="9" s="1"/>
  <c r="N58" i="9" s="1"/>
  <c r="I59" i="9"/>
  <c r="K59" i="9" s="1"/>
  <c r="N59" i="9" s="1"/>
  <c r="I60" i="9"/>
  <c r="K60" i="9" s="1"/>
  <c r="N60" i="9" s="1"/>
  <c r="I61" i="9"/>
  <c r="K61" i="9" s="1"/>
  <c r="N61" i="9" s="1"/>
  <c r="I62" i="9"/>
  <c r="K62" i="9" s="1"/>
  <c r="N62" i="9" s="1"/>
  <c r="I63" i="9"/>
  <c r="K63" i="9" s="1"/>
  <c r="N63" i="9" s="1"/>
  <c r="I64" i="9"/>
  <c r="K64" i="9" s="1"/>
  <c r="N64" i="9" s="1"/>
  <c r="I65" i="9"/>
  <c r="K65" i="9" s="1"/>
  <c r="N65" i="9" s="1"/>
  <c r="I66" i="9"/>
  <c r="K66" i="9" s="1"/>
  <c r="N66" i="9" s="1"/>
  <c r="I67" i="9"/>
  <c r="K67" i="9" s="1"/>
  <c r="N67" i="9" s="1"/>
  <c r="I68" i="9"/>
  <c r="K68" i="9" s="1"/>
  <c r="N68" i="9" s="1"/>
  <c r="I69" i="9"/>
  <c r="K69" i="9" s="1"/>
  <c r="N69" i="9" s="1"/>
  <c r="I70" i="9"/>
  <c r="K70" i="9" s="1"/>
  <c r="N70" i="9" s="1"/>
  <c r="I71" i="9"/>
  <c r="K71" i="9" s="1"/>
  <c r="N71" i="9" s="1"/>
  <c r="I72" i="9"/>
  <c r="K72" i="9" s="1"/>
  <c r="N72" i="9" s="1"/>
  <c r="I73" i="9"/>
  <c r="K73" i="9" s="1"/>
  <c r="N73" i="9" s="1"/>
  <c r="I74" i="9"/>
  <c r="I75" i="9"/>
  <c r="I76" i="9"/>
  <c r="I77" i="9"/>
  <c r="I78" i="9"/>
  <c r="I79" i="9"/>
  <c r="I80" i="9"/>
  <c r="I81" i="9"/>
  <c r="I82" i="9"/>
  <c r="I83" i="9"/>
  <c r="K83" i="9" s="1"/>
  <c r="N83" i="9" s="1"/>
  <c r="I84" i="9"/>
  <c r="K84" i="9" s="1"/>
  <c r="N84" i="9" s="1"/>
  <c r="I85" i="9"/>
  <c r="K85" i="9" s="1"/>
  <c r="N85" i="9" s="1"/>
  <c r="I86" i="9"/>
  <c r="K86" i="9" s="1"/>
  <c r="N86" i="9" s="1"/>
  <c r="I87" i="9"/>
  <c r="K87" i="9" s="1"/>
  <c r="N87" i="9" s="1"/>
  <c r="I88" i="9"/>
  <c r="K88" i="9" s="1"/>
  <c r="N88" i="9" s="1"/>
  <c r="I89" i="9"/>
  <c r="K89" i="9" s="1"/>
  <c r="N89" i="9" s="1"/>
  <c r="I90" i="9"/>
  <c r="J90" i="9" s="1"/>
  <c r="K90" i="9" s="1"/>
  <c r="N90" i="9" s="1"/>
  <c r="I91" i="9"/>
  <c r="K91" i="9" s="1"/>
  <c r="N91" i="9" s="1"/>
  <c r="I92" i="9"/>
  <c r="K92" i="9" s="1"/>
  <c r="N92" i="9" s="1"/>
  <c r="I93" i="9"/>
  <c r="K93" i="9" s="1"/>
  <c r="N93" i="9" s="1"/>
  <c r="I94" i="9"/>
  <c r="K94" i="9" s="1"/>
  <c r="N94" i="9" s="1"/>
  <c r="I95" i="9"/>
  <c r="K95" i="9" s="1"/>
  <c r="N95" i="9" s="1"/>
  <c r="I96" i="9"/>
  <c r="K96" i="9" s="1"/>
  <c r="N96" i="9" s="1"/>
  <c r="I97" i="9"/>
  <c r="K97" i="9" s="1"/>
  <c r="N97" i="9" s="1"/>
  <c r="I98" i="9"/>
  <c r="J98" i="9" s="1"/>
  <c r="K98" i="9" s="1"/>
  <c r="N98" i="9" s="1"/>
  <c r="I99" i="9"/>
  <c r="J99" i="9" s="1"/>
  <c r="K99" i="9" s="1"/>
  <c r="N99" i="9" s="1"/>
  <c r="I100" i="9"/>
  <c r="K100" i="9" s="1"/>
  <c r="N100" i="9" s="1"/>
  <c r="I101" i="9"/>
  <c r="K101" i="9" s="1"/>
  <c r="N101" i="9" s="1"/>
  <c r="I102" i="9"/>
  <c r="K102" i="9" s="1"/>
  <c r="L102" i="9"/>
  <c r="I103" i="9"/>
  <c r="K103" i="9" s="1"/>
  <c r="N103" i="9" s="1"/>
  <c r="I104" i="9"/>
  <c r="J104" i="9" s="1"/>
  <c r="K104" i="9" s="1"/>
  <c r="N104" i="9" s="1"/>
  <c r="I105" i="9"/>
  <c r="J105" i="9" s="1"/>
  <c r="I106" i="9"/>
  <c r="J106" i="9" s="1"/>
  <c r="I107" i="9"/>
  <c r="J107" i="9" s="1"/>
  <c r="I108" i="9"/>
  <c r="J108" i="9" s="1"/>
  <c r="K108" i="9" s="1"/>
  <c r="N108" i="9" s="1"/>
  <c r="I109" i="9"/>
  <c r="K109" i="9" s="1"/>
  <c r="N109" i="9" s="1"/>
  <c r="I110" i="9"/>
  <c r="K110" i="9" s="1"/>
  <c r="N110" i="9" s="1"/>
  <c r="I111" i="9"/>
  <c r="K111" i="9" s="1"/>
  <c r="N111" i="9" s="1"/>
  <c r="I112" i="9"/>
  <c r="K112" i="9" s="1"/>
  <c r="N112" i="9" s="1"/>
  <c r="I113" i="9"/>
  <c r="K113" i="9" s="1"/>
  <c r="N113" i="9" s="1"/>
  <c r="I114" i="9"/>
  <c r="K114" i="9" s="1"/>
  <c r="N114" i="9" s="1"/>
  <c r="I115" i="9"/>
  <c r="J115" i="9" s="1"/>
  <c r="I116" i="9"/>
  <c r="J116" i="9" s="1"/>
  <c r="I117" i="9"/>
  <c r="J117" i="9" s="1"/>
  <c r="I118" i="9"/>
  <c r="J118" i="9" s="1"/>
  <c r="I119" i="9"/>
  <c r="J119" i="9" s="1"/>
  <c r="I120" i="9"/>
  <c r="J120" i="9" s="1"/>
  <c r="I121" i="9"/>
  <c r="J121" i="9" s="1"/>
  <c r="I122" i="9"/>
  <c r="J122" i="9" s="1"/>
  <c r="I123" i="9"/>
  <c r="J123" i="9" s="1"/>
  <c r="I124" i="9"/>
  <c r="J124" i="9" s="1"/>
  <c r="I125" i="9"/>
  <c r="J125" i="9" s="1"/>
  <c r="I126" i="9"/>
  <c r="J126" i="9" s="1"/>
  <c r="I127" i="9"/>
  <c r="J127" i="9" s="1"/>
  <c r="I128" i="9"/>
  <c r="I129" i="9"/>
  <c r="J129" i="9" s="1"/>
  <c r="I130" i="9"/>
  <c r="I131" i="9"/>
  <c r="J131" i="9" s="1"/>
  <c r="I132" i="9"/>
  <c r="I133" i="9"/>
  <c r="J133" i="9" s="1"/>
  <c r="I134" i="9"/>
  <c r="I135" i="9"/>
  <c r="K135" i="9" s="1"/>
  <c r="N135" i="9" s="1"/>
  <c r="I136" i="9"/>
  <c r="K136" i="9" s="1"/>
  <c r="N136" i="9" s="1"/>
  <c r="I137" i="9"/>
  <c r="K137" i="9" s="1"/>
  <c r="N137" i="9" s="1"/>
  <c r="I138" i="9"/>
  <c r="K138" i="9" s="1"/>
  <c r="N138" i="9" s="1"/>
  <c r="I139" i="9"/>
  <c r="K139" i="9" s="1"/>
  <c r="L139" i="9"/>
  <c r="I140" i="9"/>
  <c r="K140" i="9" s="1"/>
  <c r="N140" i="9" s="1"/>
  <c r="I141" i="9"/>
  <c r="J141" i="9" s="1"/>
  <c r="I142" i="9"/>
  <c r="J142" i="9" s="1"/>
  <c r="I143" i="9"/>
  <c r="J143" i="9" s="1"/>
  <c r="I144" i="9"/>
  <c r="K144" i="9" s="1"/>
  <c r="N144" i="9" s="1"/>
  <c r="I145" i="9"/>
  <c r="K145" i="9" s="1"/>
  <c r="N145" i="9" s="1"/>
  <c r="I146" i="9"/>
  <c r="J146" i="9" s="1"/>
  <c r="I147" i="9"/>
  <c r="K147" i="9" s="1"/>
  <c r="N147" i="9" s="1"/>
  <c r="I148" i="9"/>
  <c r="K148" i="9" s="1"/>
  <c r="N148" i="9" s="1"/>
  <c r="I149" i="9"/>
  <c r="K149" i="9"/>
  <c r="N149" i="9" s="1"/>
  <c r="I150" i="9"/>
  <c r="K150" i="9" s="1"/>
  <c r="N150" i="9" s="1"/>
  <c r="I151" i="9"/>
  <c r="K151" i="9" s="1"/>
  <c r="N151" i="9" s="1"/>
  <c r="I152" i="9"/>
  <c r="K152" i="9" s="1"/>
  <c r="N152" i="9" s="1"/>
  <c r="I153" i="9"/>
  <c r="K153" i="9" s="1"/>
  <c r="N153" i="9" s="1"/>
  <c r="I154" i="9"/>
  <c r="K154" i="9" s="1"/>
  <c r="N154" i="9" s="1"/>
  <c r="I155" i="9"/>
  <c r="K155" i="9" s="1"/>
  <c r="N155" i="9" s="1"/>
  <c r="I156" i="9"/>
  <c r="K156" i="9" s="1"/>
  <c r="N156" i="9" s="1"/>
  <c r="I157" i="9"/>
  <c r="K157" i="9" s="1"/>
  <c r="N157" i="9" s="1"/>
  <c r="I158" i="9"/>
  <c r="K158" i="9" s="1"/>
  <c r="N158" i="9" s="1"/>
  <c r="I159" i="9"/>
  <c r="K159" i="9" s="1"/>
  <c r="N159" i="9" s="1"/>
  <c r="I160" i="9"/>
  <c r="K160" i="9" s="1"/>
  <c r="N160" i="9" s="1"/>
  <c r="I161" i="9"/>
  <c r="K161" i="9" s="1"/>
  <c r="N161" i="9" s="1"/>
  <c r="I162" i="9"/>
  <c r="K162" i="9" s="1"/>
  <c r="N162" i="9" s="1"/>
  <c r="I163" i="9"/>
  <c r="K163" i="9" s="1"/>
  <c r="N163" i="9" s="1"/>
  <c r="I164" i="9"/>
  <c r="K164" i="9" s="1"/>
  <c r="N164" i="9" s="1"/>
  <c r="I165" i="9"/>
  <c r="K165" i="9" s="1"/>
  <c r="N165" i="9" s="1"/>
  <c r="I166" i="9"/>
  <c r="K166" i="9" s="1"/>
  <c r="N166" i="9" s="1"/>
  <c r="I167" i="9"/>
  <c r="K167" i="9" s="1"/>
  <c r="N167" i="9" s="1"/>
  <c r="I168" i="9"/>
  <c r="K168" i="9" s="1"/>
  <c r="N168" i="9" s="1"/>
  <c r="I169" i="9"/>
  <c r="K169" i="9" s="1"/>
  <c r="N169" i="9" s="1"/>
  <c r="I170" i="9"/>
  <c r="K170" i="9" s="1"/>
  <c r="N170" i="9" s="1"/>
  <c r="I171" i="9"/>
  <c r="K171" i="9" s="1"/>
  <c r="N171" i="9" s="1"/>
  <c r="I172" i="9"/>
  <c r="K172" i="9" s="1"/>
  <c r="N172" i="9" s="1"/>
  <c r="I173" i="9"/>
  <c r="K173" i="9"/>
  <c r="N173" i="9" s="1"/>
  <c r="I174" i="9"/>
  <c r="K174" i="9" s="1"/>
  <c r="N174" i="9" s="1"/>
  <c r="I175" i="9"/>
  <c r="K175" i="9" s="1"/>
  <c r="N175" i="9" s="1"/>
  <c r="I176" i="9"/>
  <c r="K176" i="9" s="1"/>
  <c r="N176" i="9" s="1"/>
  <c r="I177" i="9"/>
  <c r="K177" i="9" s="1"/>
  <c r="N177" i="9" s="1"/>
  <c r="I178" i="9"/>
  <c r="K178" i="9" s="1"/>
  <c r="N178" i="9" s="1"/>
  <c r="I179" i="9"/>
  <c r="K179" i="9" s="1"/>
  <c r="N179" i="9" s="1"/>
  <c r="I180" i="9"/>
  <c r="J180" i="9" s="1"/>
  <c r="I181" i="9"/>
  <c r="J181" i="9" s="1"/>
  <c r="I182" i="9"/>
  <c r="I183" i="9"/>
  <c r="K183" i="9" s="1"/>
  <c r="N183" i="9" s="1"/>
  <c r="I184" i="9"/>
  <c r="K184" i="9" s="1"/>
  <c r="N184" i="9" s="1"/>
  <c r="I185" i="9"/>
  <c r="K185" i="9" s="1"/>
  <c r="N185" i="9" s="1"/>
  <c r="I186" i="9"/>
  <c r="K186" i="9" s="1"/>
  <c r="L186" i="9"/>
  <c r="I187" i="9"/>
  <c r="K187" i="9" s="1"/>
  <c r="N187" i="9" s="1"/>
  <c r="I188" i="9"/>
  <c r="K188" i="9" s="1"/>
  <c r="N188" i="9" s="1"/>
  <c r="I189" i="9"/>
  <c r="K189" i="9" s="1"/>
  <c r="N189" i="9" s="1"/>
  <c r="I190" i="9"/>
  <c r="J190" i="9" s="1"/>
  <c r="I191" i="9"/>
  <c r="K191" i="9" s="1"/>
  <c r="N191" i="9" s="1"/>
  <c r="I192" i="9"/>
  <c r="K192" i="9" s="1"/>
  <c r="N192" i="9" s="1"/>
  <c r="I193" i="9"/>
  <c r="K193" i="9" s="1"/>
  <c r="N193" i="9" s="1"/>
  <c r="I194" i="9"/>
  <c r="K194" i="9" s="1"/>
  <c r="N194" i="9" s="1"/>
  <c r="I195" i="9"/>
  <c r="K195" i="9" s="1"/>
  <c r="N195" i="9" s="1"/>
  <c r="I196" i="9"/>
  <c r="K196" i="9" s="1"/>
  <c r="N196" i="9" s="1"/>
  <c r="I197" i="9"/>
  <c r="K197" i="9" s="1"/>
  <c r="N197" i="9" s="1"/>
  <c r="I198" i="9"/>
  <c r="K198" i="9" s="1"/>
  <c r="N198" i="9" s="1"/>
  <c r="I199" i="9"/>
  <c r="K199" i="9" s="1"/>
  <c r="L199" i="9"/>
  <c r="I200" i="9"/>
  <c r="K200" i="9" s="1"/>
  <c r="L200" i="9"/>
  <c r="I201" i="9"/>
  <c r="K201" i="9" s="1"/>
  <c r="N201" i="9" s="1"/>
  <c r="I202" i="9"/>
  <c r="K202" i="9" s="1"/>
  <c r="L202" i="9"/>
  <c r="I203" i="9"/>
  <c r="K203" i="9" s="1"/>
  <c r="N203" i="9" s="1"/>
  <c r="I204" i="9"/>
  <c r="K204" i="9" s="1"/>
  <c r="N204" i="9" s="1"/>
  <c r="I205" i="9"/>
  <c r="K205" i="9" s="1"/>
  <c r="N205" i="9" s="1"/>
  <c r="I206" i="9"/>
  <c r="K206" i="9" s="1"/>
  <c r="N206" i="9" s="1"/>
  <c r="I207" i="9"/>
  <c r="K207" i="9" s="1"/>
  <c r="N207" i="9" s="1"/>
  <c r="I208" i="9"/>
  <c r="K208" i="9" s="1"/>
  <c r="N208" i="9" s="1"/>
  <c r="I209" i="9"/>
  <c r="K209" i="9" s="1"/>
  <c r="N209" i="9" s="1"/>
  <c r="I210" i="9"/>
  <c r="K210" i="9" s="1"/>
  <c r="N210" i="9" s="1"/>
  <c r="I211" i="9"/>
  <c r="K211" i="9" s="1"/>
  <c r="N211" i="9" s="1"/>
  <c r="I212" i="9"/>
  <c r="K212" i="9" s="1"/>
  <c r="N212" i="9" s="1"/>
  <c r="I213" i="9"/>
  <c r="K213" i="9" s="1"/>
  <c r="N213" i="9" s="1"/>
  <c r="I214" i="9"/>
  <c r="K214" i="9" s="1"/>
  <c r="N214" i="9" s="1"/>
  <c r="I215" i="9"/>
  <c r="K215" i="9" s="1"/>
  <c r="N215" i="9" s="1"/>
  <c r="I216" i="9"/>
  <c r="K216" i="9" s="1"/>
  <c r="N216" i="9" s="1"/>
  <c r="I217" i="9"/>
  <c r="K217" i="9" s="1"/>
  <c r="N217" i="9" s="1"/>
  <c r="I218" i="9"/>
  <c r="K218" i="9" s="1"/>
  <c r="N218" i="9" s="1"/>
  <c r="I219" i="9"/>
  <c r="J219" i="9" s="1"/>
  <c r="I220" i="9"/>
  <c r="J220" i="9" s="1"/>
  <c r="I221" i="9"/>
  <c r="K221" i="9" s="1"/>
  <c r="N221" i="9" s="1"/>
  <c r="I222" i="9"/>
  <c r="K222" i="9" s="1"/>
  <c r="N222" i="9" s="1"/>
  <c r="I223" i="9"/>
  <c r="K223" i="9"/>
  <c r="N223" i="9" s="1"/>
  <c r="I224" i="9"/>
  <c r="K224" i="9" s="1"/>
  <c r="N224" i="9" s="1"/>
  <c r="I225" i="9"/>
  <c r="K225" i="9" s="1"/>
  <c r="N225" i="9" s="1"/>
  <c r="I226" i="9"/>
  <c r="J226" i="9" s="1"/>
  <c r="I227" i="9"/>
  <c r="K227" i="9" s="1"/>
  <c r="N227" i="9" s="1"/>
  <c r="I228" i="9"/>
  <c r="K228" i="9" s="1"/>
  <c r="N228" i="9" s="1"/>
  <c r="I229" i="9"/>
  <c r="K229" i="9" s="1"/>
  <c r="N229" i="9" s="1"/>
  <c r="I230" i="9"/>
  <c r="K230" i="9" s="1"/>
  <c r="N230" i="9" s="1"/>
  <c r="I231" i="9"/>
  <c r="K231" i="9" s="1"/>
  <c r="N231" i="9" s="1"/>
  <c r="I232" i="9"/>
  <c r="K232" i="9" s="1"/>
  <c r="N232" i="9" s="1"/>
  <c r="I233" i="9"/>
  <c r="K233" i="9" s="1"/>
  <c r="N233" i="9" s="1"/>
  <c r="I234" i="9"/>
  <c r="J234" i="9" s="1"/>
  <c r="I235" i="9"/>
  <c r="K235" i="9" s="1"/>
  <c r="L235" i="9"/>
  <c r="I236" i="9"/>
  <c r="J236" i="9" s="1"/>
  <c r="I237" i="9"/>
  <c r="J237" i="9" s="1"/>
  <c r="K237" i="9" s="1"/>
  <c r="N237" i="9" s="1"/>
  <c r="I238" i="9"/>
  <c r="J238" i="9" s="1"/>
  <c r="K238" i="9" s="1"/>
  <c r="N238" i="9" s="1"/>
  <c r="I239" i="9"/>
  <c r="J239" i="9" s="1"/>
  <c r="K239" i="9" s="1"/>
  <c r="N239" i="9" s="1"/>
  <c r="I240" i="9"/>
  <c r="J240" i="9" s="1"/>
  <c r="K240" i="9" s="1"/>
  <c r="N240" i="9" s="1"/>
  <c r="I241" i="9"/>
  <c r="J241" i="9" s="1"/>
  <c r="K241" i="9" s="1"/>
  <c r="N241" i="9" s="1"/>
  <c r="I242" i="9"/>
  <c r="J242" i="9" s="1"/>
  <c r="K242" i="9" s="1"/>
  <c r="N242" i="9" s="1"/>
  <c r="I243" i="9"/>
  <c r="J243" i="9" s="1"/>
  <c r="K243" i="9" s="1"/>
  <c r="N243" i="9" s="1"/>
  <c r="I244" i="9"/>
  <c r="J244" i="9" s="1"/>
  <c r="K244" i="9" s="1"/>
  <c r="N244" i="9" s="1"/>
  <c r="I245" i="9"/>
  <c r="J245" i="9" s="1"/>
  <c r="K245" i="9" s="1"/>
  <c r="N245" i="9" s="1"/>
  <c r="I246" i="9"/>
  <c r="J246" i="9" s="1"/>
  <c r="K246" i="9" s="1"/>
  <c r="N246" i="9" s="1"/>
  <c r="N139" i="9" l="1"/>
  <c r="N200" i="9"/>
  <c r="N186" i="9"/>
  <c r="N102" i="9"/>
  <c r="N235" i="9"/>
  <c r="N202" i="9"/>
  <c r="K124" i="9"/>
  <c r="N124" i="9" s="1"/>
  <c r="K122" i="9"/>
  <c r="N122" i="9" s="1"/>
  <c r="K236" i="9"/>
  <c r="N236" i="9" s="1"/>
  <c r="K234" i="9"/>
  <c r="N234" i="9" s="1"/>
  <c r="N199" i="9"/>
  <c r="K181" i="9"/>
  <c r="N181" i="9" s="1"/>
  <c r="K117" i="9"/>
  <c r="N117" i="9" s="1"/>
  <c r="K219" i="9"/>
  <c r="N219" i="9" s="1"/>
  <c r="K220" i="9"/>
  <c r="N220" i="9" s="1"/>
  <c r="K142" i="9"/>
  <c r="N142" i="9" s="1"/>
  <c r="K190" i="9"/>
  <c r="N190" i="9" s="1"/>
  <c r="K180" i="9"/>
  <c r="N180" i="9" s="1"/>
  <c r="K141" i="9"/>
  <c r="N141" i="9" s="1"/>
  <c r="K125" i="9"/>
  <c r="N125" i="9" s="1"/>
  <c r="K120" i="9"/>
  <c r="N120" i="9" s="1"/>
  <c r="K118" i="9"/>
  <c r="N118" i="9" s="1"/>
  <c r="K116" i="9"/>
  <c r="N116" i="9" s="1"/>
  <c r="K143" i="9"/>
  <c r="N143" i="9" s="1"/>
  <c r="K133" i="9"/>
  <c r="N133" i="9" s="1"/>
  <c r="K131" i="9"/>
  <c r="N131" i="9" s="1"/>
  <c r="K129" i="9"/>
  <c r="N129" i="9" s="1"/>
  <c r="K107" i="9"/>
  <c r="N107" i="9" s="1"/>
  <c r="K106" i="9"/>
  <c r="N106" i="9" s="1"/>
  <c r="J182" i="9"/>
  <c r="K182" i="9" s="1"/>
  <c r="N182" i="9" s="1"/>
  <c r="J134" i="9"/>
  <c r="K134" i="9" s="1"/>
  <c r="N134" i="9" s="1"/>
  <c r="J132" i="9"/>
  <c r="K132" i="9" s="1"/>
  <c r="N132" i="9" s="1"/>
  <c r="J130" i="9"/>
  <c r="K130" i="9" s="1"/>
  <c r="N130" i="9" s="1"/>
  <c r="J128" i="9"/>
  <c r="K128" i="9" s="1"/>
  <c r="N128" i="9" s="1"/>
  <c r="K126" i="9"/>
  <c r="N126" i="9" s="1"/>
  <c r="K121" i="9"/>
  <c r="N121" i="9" s="1"/>
  <c r="N2" i="9"/>
  <c r="J80" i="9"/>
  <c r="K80" i="9" s="1"/>
  <c r="N80" i="9" s="1"/>
  <c r="J79" i="9"/>
  <c r="K79" i="9" s="1"/>
  <c r="N79" i="9" s="1"/>
  <c r="J75" i="9"/>
  <c r="K75" i="9" s="1"/>
  <c r="N75" i="9" s="1"/>
  <c r="K226" i="9"/>
  <c r="N226" i="9" s="1"/>
  <c r="K146" i="9"/>
  <c r="N146" i="9" s="1"/>
  <c r="K105" i="9"/>
  <c r="N105" i="9" s="1"/>
  <c r="J82" i="9"/>
  <c r="K82" i="9" s="1"/>
  <c r="N82" i="9" s="1"/>
  <c r="J78" i="9"/>
  <c r="K78" i="9" s="1"/>
  <c r="N78" i="9" s="1"/>
  <c r="J74" i="9"/>
  <c r="K74" i="9" s="1"/>
  <c r="N74" i="9" s="1"/>
  <c r="J76" i="9"/>
  <c r="K76" i="9" s="1"/>
  <c r="N76" i="9" s="1"/>
  <c r="K127" i="9"/>
  <c r="N127" i="9" s="1"/>
  <c r="K123" i="9"/>
  <c r="N123" i="9" s="1"/>
  <c r="K119" i="9"/>
  <c r="N119" i="9" s="1"/>
  <c r="K115" i="9"/>
  <c r="N115" i="9" s="1"/>
  <c r="J81" i="9"/>
  <c r="K81" i="9" s="1"/>
  <c r="N81" i="9" s="1"/>
  <c r="J77" i="9"/>
  <c r="K77" i="9" s="1"/>
  <c r="N77" i="9" s="1"/>
  <c r="J57" i="9"/>
  <c r="K57" i="9" s="1"/>
  <c r="N57" i="9" s="1"/>
  <c r="K247" i="9" l="1"/>
  <c r="N247" i="9" s="1"/>
  <c r="I107" i="8"/>
  <c r="K107" i="8" s="1"/>
  <c r="N107" i="8" s="1"/>
  <c r="I106" i="8"/>
  <c r="K106" i="8" s="1"/>
  <c r="N106" i="8" s="1"/>
  <c r="I105" i="8"/>
  <c r="K105" i="8" s="1"/>
  <c r="N105" i="8" s="1"/>
  <c r="I104" i="8"/>
  <c r="J104" i="8" s="1"/>
  <c r="K104" i="8" s="1"/>
  <c r="N104" i="8" s="1"/>
  <c r="I103" i="8"/>
  <c r="J103" i="8" s="1"/>
  <c r="K103" i="8" s="1"/>
  <c r="N103" i="8" s="1"/>
  <c r="L102" i="8"/>
  <c r="I102" i="8"/>
  <c r="K102" i="8" s="1"/>
  <c r="I101" i="8"/>
  <c r="K101" i="8" s="1"/>
  <c r="N101" i="8" s="1"/>
  <c r="I100" i="8"/>
  <c r="K100" i="8" s="1"/>
  <c r="N100" i="8" s="1"/>
  <c r="I99" i="8"/>
  <c r="K99" i="8" s="1"/>
  <c r="N99" i="8" s="1"/>
  <c r="I98" i="8"/>
  <c r="K98" i="8" s="1"/>
  <c r="N98" i="8" s="1"/>
  <c r="I97" i="8"/>
  <c r="K97" i="8" s="1"/>
  <c r="N97" i="8" s="1"/>
  <c r="I96" i="8"/>
  <c r="J96" i="8" s="1"/>
  <c r="K96" i="8" s="1"/>
  <c r="N96" i="8" s="1"/>
  <c r="I95" i="8"/>
  <c r="J95" i="8" s="1"/>
  <c r="K95" i="8" s="1"/>
  <c r="N95" i="8" s="1"/>
  <c r="L94" i="8"/>
  <c r="I94" i="8"/>
  <c r="K94" i="8" s="1"/>
  <c r="I93" i="8"/>
  <c r="J93" i="8" s="1"/>
  <c r="K93" i="8" s="1"/>
  <c r="N93" i="8" s="1"/>
  <c r="I92" i="8"/>
  <c r="K92" i="8" s="1"/>
  <c r="N92" i="8" s="1"/>
  <c r="I91" i="8"/>
  <c r="K91" i="8" s="1"/>
  <c r="N91" i="8" s="1"/>
  <c r="I90" i="8"/>
  <c r="K90" i="8" s="1"/>
  <c r="N90" i="8" s="1"/>
  <c r="I89" i="8"/>
  <c r="K89" i="8" s="1"/>
  <c r="N89" i="8" s="1"/>
  <c r="I88" i="8"/>
  <c r="J88" i="8" s="1"/>
  <c r="K88" i="8" s="1"/>
  <c r="N88" i="8" s="1"/>
  <c r="I87" i="8"/>
  <c r="K87" i="8" s="1"/>
  <c r="N87" i="8" s="1"/>
  <c r="I86" i="8"/>
  <c r="K86" i="8" s="1"/>
  <c r="N86" i="8" s="1"/>
  <c r="L85" i="8"/>
  <c r="I85" i="8"/>
  <c r="K85" i="8" s="1"/>
  <c r="I84" i="8"/>
  <c r="K84" i="8" s="1"/>
  <c r="N84" i="8" s="1"/>
  <c r="I83" i="8"/>
  <c r="K83" i="8" s="1"/>
  <c r="N83" i="8" s="1"/>
  <c r="I82" i="8"/>
  <c r="K82" i="8" s="1"/>
  <c r="N82" i="8" s="1"/>
  <c r="I81" i="8"/>
  <c r="K81" i="8" s="1"/>
  <c r="N81" i="8" s="1"/>
  <c r="I80" i="8"/>
  <c r="K80" i="8" s="1"/>
  <c r="N80" i="8" s="1"/>
  <c r="I79" i="8"/>
  <c r="K79" i="8" s="1"/>
  <c r="N79" i="8" s="1"/>
  <c r="I78" i="8"/>
  <c r="K78" i="8" s="1"/>
  <c r="N78" i="8" s="1"/>
  <c r="I77" i="8"/>
  <c r="K77" i="8" s="1"/>
  <c r="N77" i="8" s="1"/>
  <c r="I76" i="8"/>
  <c r="K76" i="8" s="1"/>
  <c r="N76" i="8" s="1"/>
  <c r="I75" i="8"/>
  <c r="K75" i="8" s="1"/>
  <c r="N75" i="8" s="1"/>
  <c r="I74" i="8"/>
  <c r="K74" i="8" s="1"/>
  <c r="N74" i="8" s="1"/>
  <c r="I73" i="8"/>
  <c r="K73" i="8" s="1"/>
  <c r="N73" i="8" s="1"/>
  <c r="I72" i="8"/>
  <c r="K72" i="8" s="1"/>
  <c r="N72" i="8" s="1"/>
  <c r="I71" i="8"/>
  <c r="K71" i="8" s="1"/>
  <c r="N71" i="8" s="1"/>
  <c r="I70" i="8"/>
  <c r="K70" i="8" s="1"/>
  <c r="N70" i="8" s="1"/>
  <c r="I69" i="8"/>
  <c r="K69" i="8" s="1"/>
  <c r="N69" i="8" s="1"/>
  <c r="I68" i="8"/>
  <c r="K68" i="8" s="1"/>
  <c r="N68" i="8" s="1"/>
  <c r="I67" i="8"/>
  <c r="K67" i="8" s="1"/>
  <c r="N67" i="8" s="1"/>
  <c r="I66" i="8"/>
  <c r="K66" i="8" s="1"/>
  <c r="N66" i="8" s="1"/>
  <c r="I65" i="8"/>
  <c r="J65" i="8" s="1"/>
  <c r="I64" i="8"/>
  <c r="K64" i="8" s="1"/>
  <c r="N64" i="8" s="1"/>
  <c r="I63" i="8"/>
  <c r="K63" i="8" s="1"/>
  <c r="N63" i="8" s="1"/>
  <c r="I62" i="8"/>
  <c r="K62" i="8" s="1"/>
  <c r="N62" i="8" s="1"/>
  <c r="I61" i="8"/>
  <c r="K61" i="8" s="1"/>
  <c r="N61" i="8" s="1"/>
  <c r="I60" i="8"/>
  <c r="K60" i="8" s="1"/>
  <c r="N60" i="8" s="1"/>
  <c r="I59" i="8"/>
  <c r="K59" i="8" s="1"/>
  <c r="N59" i="8" s="1"/>
  <c r="N94" i="8" l="1"/>
  <c r="N102" i="8"/>
  <c r="N85" i="8"/>
  <c r="K65" i="8"/>
  <c r="N65" i="8" s="1"/>
  <c r="I58" i="8"/>
  <c r="K58" i="8" s="1"/>
  <c r="N58" i="8" s="1"/>
  <c r="I57" i="8"/>
  <c r="I56" i="8"/>
  <c r="K56" i="8" s="1"/>
  <c r="N56" i="8" s="1"/>
  <c r="I55" i="8"/>
  <c r="J55" i="8" s="1"/>
  <c r="K55" i="8" s="1"/>
  <c r="N55" i="8" s="1"/>
  <c r="K54" i="8"/>
  <c r="N54" i="8" s="1"/>
  <c r="I54" i="8"/>
  <c r="I53" i="8"/>
  <c r="K53" i="8" s="1"/>
  <c r="N53" i="8" s="1"/>
  <c r="I52" i="8"/>
  <c r="K52" i="8" s="1"/>
  <c r="N52" i="8" s="1"/>
  <c r="I51" i="8"/>
  <c r="K51" i="8" s="1"/>
  <c r="N51" i="8" s="1"/>
  <c r="I50" i="8"/>
  <c r="K50" i="8" s="1"/>
  <c r="N50" i="8" s="1"/>
  <c r="I49" i="8"/>
  <c r="J49" i="8" s="1"/>
  <c r="K49" i="8" s="1"/>
  <c r="N49" i="8" s="1"/>
  <c r="I48" i="8"/>
  <c r="K48" i="8" s="1"/>
  <c r="N48" i="8" s="1"/>
  <c r="I47" i="8"/>
  <c r="K47" i="8" s="1"/>
  <c r="N47" i="8" s="1"/>
  <c r="I46" i="8"/>
  <c r="K46" i="8" s="1"/>
  <c r="N46" i="8" s="1"/>
  <c r="I45" i="8"/>
  <c r="K45" i="8" s="1"/>
  <c r="N45" i="8" s="1"/>
  <c r="I44" i="8"/>
  <c r="K44" i="8" s="1"/>
  <c r="N44" i="8" s="1"/>
  <c r="I43" i="8"/>
  <c r="K43" i="8" s="1"/>
  <c r="N43" i="8" s="1"/>
  <c r="M42" i="8"/>
  <c r="I42" i="8"/>
  <c r="K42" i="8" s="1"/>
  <c r="I41" i="8"/>
  <c r="K41" i="8" s="1"/>
  <c r="N41" i="8" s="1"/>
  <c r="K40" i="8"/>
  <c r="N40" i="8" s="1"/>
  <c r="I40" i="8"/>
  <c r="I39" i="8"/>
  <c r="K39" i="8" s="1"/>
  <c r="N39" i="8" s="1"/>
  <c r="L38" i="8"/>
  <c r="I38" i="8"/>
  <c r="K38" i="8" s="1"/>
  <c r="I37" i="8"/>
  <c r="K37" i="8" s="1"/>
  <c r="N37" i="8" s="1"/>
  <c r="I36" i="8"/>
  <c r="K36" i="8" s="1"/>
  <c r="N36" i="8" s="1"/>
  <c r="I35" i="8"/>
  <c r="K35" i="8" s="1"/>
  <c r="N35" i="8" s="1"/>
  <c r="I34" i="8"/>
  <c r="K34" i="8" s="1"/>
  <c r="N34" i="8" s="1"/>
  <c r="I33" i="8"/>
  <c r="I32" i="8"/>
  <c r="K32" i="8" s="1"/>
  <c r="N32" i="8" s="1"/>
  <c r="K31" i="8"/>
  <c r="N31" i="8" s="1"/>
  <c r="I31" i="8"/>
  <c r="I30" i="8"/>
  <c r="K30" i="8" s="1"/>
  <c r="N30" i="8" s="1"/>
  <c r="I29" i="8"/>
  <c r="K29" i="8" s="1"/>
  <c r="N29" i="8" s="1"/>
  <c r="I28" i="8"/>
  <c r="K28" i="8" s="1"/>
  <c r="N28" i="8" s="1"/>
  <c r="I27" i="8"/>
  <c r="K27" i="8" s="1"/>
  <c r="N27" i="8" s="1"/>
  <c r="I26" i="8"/>
  <c r="I25" i="8"/>
  <c r="J25" i="8" s="1"/>
  <c r="K24" i="8"/>
  <c r="N24" i="8" s="1"/>
  <c r="I24" i="8"/>
  <c r="I23" i="8"/>
  <c r="K23" i="8" s="1"/>
  <c r="N23" i="8" s="1"/>
  <c r="I22" i="8"/>
  <c r="K22" i="8" s="1"/>
  <c r="N22" i="8" s="1"/>
  <c r="I21" i="8"/>
  <c r="I20" i="8"/>
  <c r="I19" i="8"/>
  <c r="I18" i="8"/>
  <c r="K18" i="8" s="1"/>
  <c r="N18" i="8" s="1"/>
  <c r="K17" i="8"/>
  <c r="N17" i="8" s="1"/>
  <c r="I17" i="8"/>
  <c r="I16" i="8"/>
  <c r="J16" i="8" s="1"/>
  <c r="K16" i="8" s="1"/>
  <c r="N16" i="8" s="1"/>
  <c r="I15" i="8"/>
  <c r="K15" i="8" s="1"/>
  <c r="N15" i="8" s="1"/>
  <c r="I14" i="8"/>
  <c r="K14" i="8" s="1"/>
  <c r="N14" i="8" s="1"/>
  <c r="I13" i="8"/>
  <c r="K13" i="8" s="1"/>
  <c r="N13" i="8" s="1"/>
  <c r="I12" i="8"/>
  <c r="K12" i="8" s="1"/>
  <c r="N12" i="8" s="1"/>
  <c r="I11" i="8"/>
  <c r="K11" i="8" s="1"/>
  <c r="N11" i="8" s="1"/>
  <c r="I10" i="8"/>
  <c r="K10" i="8" s="1"/>
  <c r="N10" i="8" s="1"/>
  <c r="I9" i="8"/>
  <c r="K9" i="8" s="1"/>
  <c r="N9" i="8" s="1"/>
  <c r="L8" i="8"/>
  <c r="I8" i="8"/>
  <c r="K8" i="8" s="1"/>
  <c r="I7" i="8"/>
  <c r="K7" i="8" s="1"/>
  <c r="N7" i="8" s="1"/>
  <c r="I6" i="8"/>
  <c r="K6" i="8" s="1"/>
  <c r="N6" i="8" s="1"/>
  <c r="I5" i="8"/>
  <c r="K5" i="8" s="1"/>
  <c r="N5" i="8" s="1"/>
  <c r="I4" i="8"/>
  <c r="K4" i="8" s="1"/>
  <c r="N4" i="8" s="1"/>
  <c r="L3" i="8"/>
  <c r="I3" i="8"/>
  <c r="K3" i="8" s="1"/>
  <c r="I2" i="8"/>
  <c r="K2" i="8" s="1"/>
  <c r="N2" i="8" l="1"/>
  <c r="N8" i="8"/>
  <c r="N3" i="8"/>
  <c r="K25" i="8"/>
  <c r="N25" i="8" s="1"/>
  <c r="N38" i="8"/>
  <c r="N42" i="8"/>
  <c r="J26" i="8"/>
  <c r="K26" i="8" s="1"/>
  <c r="N26" i="8" s="1"/>
  <c r="K20" i="8"/>
  <c r="N20" i="8" s="1"/>
  <c r="J33" i="8"/>
  <c r="K33" i="8" s="1"/>
  <c r="N33" i="8" s="1"/>
  <c r="J19" i="8"/>
  <c r="K19" i="8" s="1"/>
  <c r="N19" i="8" s="1"/>
  <c r="J20" i="8"/>
  <c r="J21" i="8"/>
  <c r="K21" i="8" s="1"/>
  <c r="N21" i="8" s="1"/>
  <c r="J57" i="8"/>
  <c r="K57" i="8" s="1"/>
  <c r="N57" i="8" s="1"/>
  <c r="I10" i="7"/>
  <c r="K108" i="8" l="1"/>
  <c r="J10" i="7"/>
  <c r="K10" i="7" s="1"/>
  <c r="K244" i="7"/>
  <c r="N160" i="7" l="1"/>
  <c r="K259" i="7"/>
  <c r="G346" i="6" l="1"/>
  <c r="G419" i="5"/>
  <c r="I332" i="6" l="1"/>
  <c r="I345" i="6" l="1"/>
  <c r="K345" i="6" s="1"/>
  <c r="N345" i="6" s="1"/>
  <c r="I344" i="6"/>
  <c r="K344" i="6" s="1"/>
  <c r="N344" i="6" s="1"/>
  <c r="I343" i="6"/>
  <c r="K343" i="6" s="1"/>
  <c r="N343" i="6" s="1"/>
  <c r="I342" i="6"/>
  <c r="J342" i="6" s="1"/>
  <c r="K342" i="6" s="1"/>
  <c r="N342" i="6" s="1"/>
  <c r="I341" i="6"/>
  <c r="K341" i="6" s="1"/>
  <c r="N341" i="6" s="1"/>
  <c r="I340" i="6"/>
  <c r="K340" i="6" s="1"/>
  <c r="N340" i="6" s="1"/>
  <c r="I339" i="6"/>
  <c r="K339" i="6" s="1"/>
  <c r="N339" i="6" s="1"/>
  <c r="I338" i="6"/>
  <c r="K338" i="6" s="1"/>
  <c r="N338" i="6" s="1"/>
  <c r="I337" i="6"/>
  <c r="K337" i="6" s="1"/>
  <c r="N337" i="6" s="1"/>
  <c r="I336" i="6"/>
  <c r="K336" i="6" s="1"/>
  <c r="N336" i="6" s="1"/>
  <c r="I335" i="6"/>
  <c r="K335" i="6" s="1"/>
  <c r="N335" i="6" s="1"/>
  <c r="I334" i="6"/>
  <c r="K334" i="6" s="1"/>
  <c r="N334" i="6" s="1"/>
  <c r="J333" i="6"/>
  <c r="K333" i="6" s="1"/>
  <c r="N333" i="6" s="1"/>
  <c r="K332" i="6"/>
  <c r="I331" i="6"/>
  <c r="K331" i="6" s="1"/>
  <c r="N331" i="6" s="1"/>
  <c r="I330" i="6"/>
  <c r="K330" i="6" s="1"/>
  <c r="N330" i="6" s="1"/>
  <c r="I329" i="6"/>
  <c r="K329" i="6" s="1"/>
  <c r="N329" i="6" s="1"/>
  <c r="I328" i="6"/>
  <c r="K328" i="6" s="1"/>
  <c r="N328" i="6" s="1"/>
  <c r="I327" i="6"/>
  <c r="K327" i="6" s="1"/>
  <c r="N327" i="6" s="1"/>
  <c r="I326" i="6"/>
  <c r="K326" i="6" s="1"/>
  <c r="N326" i="6" s="1"/>
  <c r="I325" i="6"/>
  <c r="K325" i="6" s="1"/>
  <c r="N325" i="6" s="1"/>
  <c r="I324" i="6"/>
  <c r="K324" i="6" s="1"/>
  <c r="N324" i="6" s="1"/>
  <c r="I323" i="6"/>
  <c r="K323" i="6" s="1"/>
  <c r="N323" i="6" s="1"/>
  <c r="I322" i="6"/>
  <c r="K322" i="6" s="1"/>
  <c r="N322" i="6" s="1"/>
  <c r="I321" i="6"/>
  <c r="K321" i="6" s="1"/>
  <c r="N321" i="6" s="1"/>
  <c r="I320" i="6"/>
  <c r="K320" i="6" s="1"/>
  <c r="N320" i="6" s="1"/>
  <c r="I319" i="6"/>
  <c r="K319" i="6" s="1"/>
  <c r="N319" i="6" s="1"/>
  <c r="I318" i="6"/>
  <c r="K318" i="6" s="1"/>
  <c r="N318" i="6" s="1"/>
  <c r="I317" i="6"/>
  <c r="K317" i="6" s="1"/>
  <c r="N317" i="6" s="1"/>
  <c r="I316" i="6"/>
  <c r="K316" i="6" s="1"/>
  <c r="N316" i="6" s="1"/>
  <c r="N332" i="6" l="1"/>
  <c r="I315" i="6"/>
  <c r="K315" i="6" s="1"/>
  <c r="N315" i="6" s="1"/>
  <c r="I314" i="6"/>
  <c r="K314" i="6" s="1"/>
  <c r="N314" i="6" s="1"/>
  <c r="I313" i="6"/>
  <c r="J313" i="6" s="1"/>
  <c r="I312" i="6"/>
  <c r="K312" i="6" s="1"/>
  <c r="N312" i="6" s="1"/>
  <c r="I311" i="6"/>
  <c r="K311" i="6" s="1"/>
  <c r="N311" i="6" s="1"/>
  <c r="I310" i="6"/>
  <c r="J310" i="6" s="1"/>
  <c r="K310" i="6" s="1"/>
  <c r="N310" i="6" s="1"/>
  <c r="I309" i="6"/>
  <c r="K309" i="6" s="1"/>
  <c r="N309" i="6" s="1"/>
  <c r="I308" i="6"/>
  <c r="K308" i="6" s="1"/>
  <c r="N308" i="6" s="1"/>
  <c r="I307" i="6"/>
  <c r="K307" i="6" s="1"/>
  <c r="N307" i="6" s="1"/>
  <c r="I306" i="6"/>
  <c r="K306" i="6" s="1"/>
  <c r="N306" i="6" s="1"/>
  <c r="I305" i="6"/>
  <c r="K305" i="6" s="1"/>
  <c r="N305" i="6" s="1"/>
  <c r="I304" i="6"/>
  <c r="K304" i="6" s="1"/>
  <c r="N304" i="6" s="1"/>
  <c r="I303" i="6"/>
  <c r="J303" i="6" s="1"/>
  <c r="I302" i="6"/>
  <c r="K302" i="6" s="1"/>
  <c r="N302" i="6" s="1"/>
  <c r="I301" i="6"/>
  <c r="K301" i="6" s="1"/>
  <c r="N301" i="6" s="1"/>
  <c r="I300" i="6"/>
  <c r="K300" i="6" s="1"/>
  <c r="N300" i="6" s="1"/>
  <c r="L299" i="6"/>
  <c r="I299" i="6"/>
  <c r="K299" i="6" s="1"/>
  <c r="I298" i="6"/>
  <c r="K298" i="6" s="1"/>
  <c r="N298" i="6" s="1"/>
  <c r="I297" i="6"/>
  <c r="K297" i="6" s="1"/>
  <c r="N297" i="6" s="1"/>
  <c r="I296" i="6"/>
  <c r="K296" i="6" s="1"/>
  <c r="N296" i="6" s="1"/>
  <c r="I295" i="6"/>
  <c r="J295" i="6" s="1"/>
  <c r="K295" i="6" s="1"/>
  <c r="N295" i="6" s="1"/>
  <c r="I294" i="6"/>
  <c r="J294" i="6" s="1"/>
  <c r="K294" i="6" s="1"/>
  <c r="N294" i="6" s="1"/>
  <c r="L293" i="6"/>
  <c r="I293" i="6"/>
  <c r="K293" i="6" s="1"/>
  <c r="I292" i="6"/>
  <c r="K292" i="6" s="1"/>
  <c r="N292" i="6" s="1"/>
  <c r="I291" i="6"/>
  <c r="K291" i="6" s="1"/>
  <c r="N291" i="6" s="1"/>
  <c r="I290" i="6"/>
  <c r="K290" i="6" s="1"/>
  <c r="N290" i="6" s="1"/>
  <c r="I289" i="6"/>
  <c r="K289" i="6" s="1"/>
  <c r="N289" i="6" s="1"/>
  <c r="I288" i="6"/>
  <c r="K288" i="6" s="1"/>
  <c r="N288" i="6" s="1"/>
  <c r="I287" i="6"/>
  <c r="K287" i="6" s="1"/>
  <c r="N287" i="6" s="1"/>
  <c r="L286" i="6"/>
  <c r="I286" i="6"/>
  <c r="K286" i="6" s="1"/>
  <c r="I285" i="6"/>
  <c r="K285" i="6" s="1"/>
  <c r="N285" i="6" s="1"/>
  <c r="I284" i="6"/>
  <c r="K284" i="6" s="1"/>
  <c r="N284" i="6" s="1"/>
  <c r="I283" i="6"/>
  <c r="K283" i="6" s="1"/>
  <c r="N283" i="6" s="1"/>
  <c r="I282" i="6"/>
  <c r="K282" i="6" s="1"/>
  <c r="N282" i="6" s="1"/>
  <c r="I281" i="6"/>
  <c r="K281" i="6" s="1"/>
  <c r="N281" i="6" s="1"/>
  <c r="I280" i="6"/>
  <c r="K280" i="6" s="1"/>
  <c r="N280" i="6" s="1"/>
  <c r="I279" i="6"/>
  <c r="K279" i="6" s="1"/>
  <c r="N279" i="6" s="1"/>
  <c r="I278" i="6"/>
  <c r="K278" i="6" s="1"/>
  <c r="N278" i="6" s="1"/>
  <c r="I277" i="6"/>
  <c r="K277" i="6" s="1"/>
  <c r="N277" i="6" s="1"/>
  <c r="I276" i="6"/>
  <c r="K276" i="6" s="1"/>
  <c r="N276" i="6" s="1"/>
  <c r="I275" i="6"/>
  <c r="K275" i="6" s="1"/>
  <c r="N275" i="6" s="1"/>
  <c r="I274" i="6"/>
  <c r="K274" i="6" s="1"/>
  <c r="N274" i="6" s="1"/>
  <c r="I273" i="6"/>
  <c r="K273" i="6" s="1"/>
  <c r="N273" i="6" s="1"/>
  <c r="I272" i="6"/>
  <c r="K272" i="6" s="1"/>
  <c r="N272" i="6" s="1"/>
  <c r="I271" i="6"/>
  <c r="K271" i="6" s="1"/>
  <c r="N271" i="6" s="1"/>
  <c r="I270" i="6"/>
  <c r="K270" i="6" s="1"/>
  <c r="N270" i="6" s="1"/>
  <c r="I269" i="6"/>
  <c r="K269" i="6" s="1"/>
  <c r="N269" i="6" s="1"/>
  <c r="I268" i="6"/>
  <c r="K268" i="6" s="1"/>
  <c r="N268" i="6" s="1"/>
  <c r="I267" i="6"/>
  <c r="K267" i="6" s="1"/>
  <c r="N267" i="6" s="1"/>
  <c r="I266" i="6"/>
  <c r="K266" i="6" s="1"/>
  <c r="N266" i="6" s="1"/>
  <c r="I265" i="6"/>
  <c r="K265" i="6" s="1"/>
  <c r="N265" i="6" s="1"/>
  <c r="I264" i="6"/>
  <c r="K264" i="6" s="1"/>
  <c r="N264" i="6" s="1"/>
  <c r="I263" i="6"/>
  <c r="K263" i="6" s="1"/>
  <c r="N263" i="6" s="1"/>
  <c r="I262" i="6"/>
  <c r="K262" i="6" s="1"/>
  <c r="N262" i="6" s="1"/>
  <c r="I261" i="6"/>
  <c r="K261" i="6" s="1"/>
  <c r="N261" i="6" s="1"/>
  <c r="I260" i="6"/>
  <c r="K260" i="6" s="1"/>
  <c r="N260" i="6" s="1"/>
  <c r="I259" i="6"/>
  <c r="K259" i="6" s="1"/>
  <c r="N259" i="6" s="1"/>
  <c r="I258" i="6"/>
  <c r="K258" i="6" s="1"/>
  <c r="N258" i="6" s="1"/>
  <c r="I257" i="6"/>
  <c r="K257" i="6" s="1"/>
  <c r="N257" i="6" s="1"/>
  <c r="I256" i="6"/>
  <c r="K256" i="6" s="1"/>
  <c r="N256" i="6" s="1"/>
  <c r="I255" i="6"/>
  <c r="K255" i="6" s="1"/>
  <c r="N255" i="6" s="1"/>
  <c r="I254" i="6"/>
  <c r="K254" i="6" s="1"/>
  <c r="N254" i="6" s="1"/>
  <c r="I253" i="6"/>
  <c r="K253" i="6" s="1"/>
  <c r="N253" i="6" s="1"/>
  <c r="I252" i="6"/>
  <c r="K252" i="6" s="1"/>
  <c r="N252" i="6" s="1"/>
  <c r="I251" i="6"/>
  <c r="K251" i="6" s="1"/>
  <c r="N251" i="6" s="1"/>
  <c r="I250" i="6"/>
  <c r="K250" i="6" s="1"/>
  <c r="N250" i="6" s="1"/>
  <c r="I249" i="6"/>
  <c r="K249" i="6" s="1"/>
  <c r="N249" i="6" s="1"/>
  <c r="I248" i="6"/>
  <c r="K248" i="6" s="1"/>
  <c r="N248" i="6" s="1"/>
  <c r="I247" i="6"/>
  <c r="K247" i="6" s="1"/>
  <c r="N247" i="6" s="1"/>
  <c r="I246" i="6"/>
  <c r="K246" i="6" s="1"/>
  <c r="N246" i="6" s="1"/>
  <c r="I245" i="6"/>
  <c r="K245" i="6" s="1"/>
  <c r="N245" i="6" s="1"/>
  <c r="I244" i="6"/>
  <c r="K244" i="6" s="1"/>
  <c r="N244" i="6" s="1"/>
  <c r="I243" i="6"/>
  <c r="K243" i="6" s="1"/>
  <c r="N243" i="6" s="1"/>
  <c r="I242" i="6"/>
  <c r="K242" i="6" s="1"/>
  <c r="N242" i="6" s="1"/>
  <c r="N299" i="6" l="1"/>
  <c r="N293" i="6"/>
  <c r="N286" i="6"/>
  <c r="K303" i="6"/>
  <c r="N303" i="6" s="1"/>
  <c r="K313" i="6"/>
  <c r="N313" i="6" s="1"/>
  <c r="I241" i="6"/>
  <c r="K241" i="6" s="1"/>
  <c r="N241" i="6" s="1"/>
  <c r="I240" i="6"/>
  <c r="K240" i="6" s="1"/>
  <c r="N240" i="6" s="1"/>
  <c r="I239" i="6"/>
  <c r="K239" i="6" s="1"/>
  <c r="N239" i="6" s="1"/>
  <c r="I238" i="6"/>
  <c r="K238" i="6" s="1"/>
  <c r="N238" i="6" s="1"/>
  <c r="I237" i="6"/>
  <c r="K237" i="6" s="1"/>
  <c r="N237" i="6" s="1"/>
  <c r="I236" i="6"/>
  <c r="K236" i="6" s="1"/>
  <c r="N236" i="6" s="1"/>
  <c r="I235" i="6"/>
  <c r="K235" i="6" s="1"/>
  <c r="N235" i="6" s="1"/>
  <c r="I234" i="6"/>
  <c r="K234" i="6" s="1"/>
  <c r="N234" i="6" s="1"/>
  <c r="I233" i="6"/>
  <c r="K233" i="6" s="1"/>
  <c r="N233" i="6" s="1"/>
  <c r="I232" i="6"/>
  <c r="K232" i="6" s="1"/>
  <c r="N232" i="6" s="1"/>
  <c r="I231" i="6"/>
  <c r="K231" i="6" s="1"/>
  <c r="N231" i="6" s="1"/>
  <c r="I230" i="6"/>
  <c r="K230" i="6" s="1"/>
  <c r="N230" i="6" s="1"/>
  <c r="I229" i="6"/>
  <c r="K229" i="6" s="1"/>
  <c r="N229" i="6" s="1"/>
  <c r="I228" i="6"/>
  <c r="K228" i="6" s="1"/>
  <c r="N228" i="6" s="1"/>
  <c r="I227" i="6"/>
  <c r="K227" i="6" s="1"/>
  <c r="N227" i="6" s="1"/>
  <c r="I226" i="6"/>
  <c r="J226" i="6" s="1"/>
  <c r="I225" i="6"/>
  <c r="J225" i="6" s="1"/>
  <c r="I224" i="6"/>
  <c r="J224" i="6" s="1"/>
  <c r="I223" i="6"/>
  <c r="J223" i="6" s="1"/>
  <c r="I222" i="6"/>
  <c r="K222" i="6" s="1"/>
  <c r="N222" i="6" s="1"/>
  <c r="I221" i="6"/>
  <c r="K221" i="6" s="1"/>
  <c r="N221" i="6" s="1"/>
  <c r="I220" i="6"/>
  <c r="K220" i="6" s="1"/>
  <c r="N220" i="6" s="1"/>
  <c r="I219" i="6"/>
  <c r="K219" i="6" s="1"/>
  <c r="N219" i="6" s="1"/>
  <c r="I218" i="6"/>
  <c r="K218" i="6" s="1"/>
  <c r="N218" i="6" s="1"/>
  <c r="I217" i="6"/>
  <c r="K217" i="6" s="1"/>
  <c r="N217" i="6" s="1"/>
  <c r="I216" i="6"/>
  <c r="K216" i="6" s="1"/>
  <c r="N216" i="6" s="1"/>
  <c r="I215" i="6"/>
  <c r="K215" i="6" s="1"/>
  <c r="N215" i="6" s="1"/>
  <c r="I214" i="6"/>
  <c r="K214" i="6" s="1"/>
  <c r="N214" i="6" s="1"/>
  <c r="I213" i="6"/>
  <c r="K213" i="6" s="1"/>
  <c r="N213" i="6" s="1"/>
  <c r="I212" i="6"/>
  <c r="K212" i="6" s="1"/>
  <c r="N212" i="6" s="1"/>
  <c r="L211" i="6"/>
  <c r="I211" i="6"/>
  <c r="K211" i="6" s="1"/>
  <c r="I210" i="6"/>
  <c r="K210" i="6" s="1"/>
  <c r="N210" i="6" s="1"/>
  <c r="I209" i="6"/>
  <c r="K209" i="6" s="1"/>
  <c r="N209" i="6" s="1"/>
  <c r="I208" i="6"/>
  <c r="K208" i="6" s="1"/>
  <c r="N208" i="6" s="1"/>
  <c r="I207" i="6"/>
  <c r="K207" i="6" s="1"/>
  <c r="N207" i="6" s="1"/>
  <c r="I206" i="6"/>
  <c r="K206" i="6" s="1"/>
  <c r="N206" i="6" s="1"/>
  <c r="I205" i="6"/>
  <c r="K205" i="6" s="1"/>
  <c r="N205" i="6" s="1"/>
  <c r="I204" i="6"/>
  <c r="K204" i="6" s="1"/>
  <c r="N204" i="6" s="1"/>
  <c r="I203" i="6"/>
  <c r="I202" i="6"/>
  <c r="K202" i="6" s="1"/>
  <c r="N202" i="6" s="1"/>
  <c r="I201" i="6"/>
  <c r="K201" i="6" s="1"/>
  <c r="N201" i="6" s="1"/>
  <c r="I200" i="6"/>
  <c r="K200" i="6" s="1"/>
  <c r="N200" i="6" s="1"/>
  <c r="I199" i="6"/>
  <c r="K199" i="6" s="1"/>
  <c r="N199" i="6" s="1"/>
  <c r="I198" i="6"/>
  <c r="K198" i="6" s="1"/>
  <c r="N198" i="6" s="1"/>
  <c r="I197" i="6"/>
  <c r="K197" i="6" s="1"/>
  <c r="N197" i="6" s="1"/>
  <c r="I196" i="6"/>
  <c r="K196" i="6" s="1"/>
  <c r="N196" i="6" s="1"/>
  <c r="I195" i="6"/>
  <c r="K195" i="6" s="1"/>
  <c r="N195" i="6" s="1"/>
  <c r="I194" i="6"/>
  <c r="K194" i="6" s="1"/>
  <c r="N194" i="6" s="1"/>
  <c r="I193" i="6"/>
  <c r="K193" i="6" s="1"/>
  <c r="N193" i="6" s="1"/>
  <c r="I192" i="6"/>
  <c r="K192" i="6" s="1"/>
  <c r="N192" i="6" s="1"/>
  <c r="I191" i="6"/>
  <c r="K191" i="6" s="1"/>
  <c r="N191" i="6" s="1"/>
  <c r="I190" i="6"/>
  <c r="K190" i="6" s="1"/>
  <c r="N190" i="6" s="1"/>
  <c r="I189" i="6"/>
  <c r="K189" i="6" s="1"/>
  <c r="N189" i="6" s="1"/>
  <c r="I188" i="6"/>
  <c r="K188" i="6" s="1"/>
  <c r="N188" i="6" s="1"/>
  <c r="I187" i="6"/>
  <c r="K187" i="6" s="1"/>
  <c r="N187" i="6" s="1"/>
  <c r="I186" i="6"/>
  <c r="K186" i="6" s="1"/>
  <c r="N186" i="6" s="1"/>
  <c r="I185" i="6"/>
  <c r="K185" i="6" s="1"/>
  <c r="N185" i="6" s="1"/>
  <c r="I184" i="6"/>
  <c r="K184" i="6" s="1"/>
  <c r="N184" i="6" s="1"/>
  <c r="I183" i="6"/>
  <c r="K183" i="6" s="1"/>
  <c r="N183" i="6" s="1"/>
  <c r="I182" i="6"/>
  <c r="K182" i="6" s="1"/>
  <c r="N182" i="6" s="1"/>
  <c r="I181" i="6"/>
  <c r="K181" i="6" s="1"/>
  <c r="N181" i="6" s="1"/>
  <c r="I180" i="6"/>
  <c r="K180" i="6" s="1"/>
  <c r="N180" i="6" s="1"/>
  <c r="I179" i="6"/>
  <c r="K179" i="6" s="1"/>
  <c r="N179" i="6" s="1"/>
  <c r="I178" i="6"/>
  <c r="K178" i="6" s="1"/>
  <c r="N178" i="6" s="1"/>
  <c r="I177" i="6"/>
  <c r="K177" i="6" s="1"/>
  <c r="N177" i="6" s="1"/>
  <c r="I176" i="6"/>
  <c r="K176" i="6" s="1"/>
  <c r="N176" i="6" s="1"/>
  <c r="I175" i="6"/>
  <c r="K175" i="6" s="1"/>
  <c r="N175" i="6" s="1"/>
  <c r="I174" i="6"/>
  <c r="K174" i="6" s="1"/>
  <c r="N174" i="6" s="1"/>
  <c r="I173" i="6"/>
  <c r="K173" i="6" s="1"/>
  <c r="N173" i="6" s="1"/>
  <c r="I172" i="6"/>
  <c r="J172" i="6" s="1"/>
  <c r="I171" i="6"/>
  <c r="K171" i="6" s="1"/>
  <c r="N171" i="6" s="1"/>
  <c r="I170" i="6"/>
  <c r="K170" i="6" s="1"/>
  <c r="N170" i="6" s="1"/>
  <c r="I169" i="6"/>
  <c r="K169" i="6" s="1"/>
  <c r="N169" i="6" s="1"/>
  <c r="I168" i="6"/>
  <c r="K168" i="6" s="1"/>
  <c r="N168" i="6" s="1"/>
  <c r="I167" i="6"/>
  <c r="K167" i="6" s="1"/>
  <c r="N167" i="6" s="1"/>
  <c r="I166" i="6"/>
  <c r="I165" i="6"/>
  <c r="K165" i="6" s="1"/>
  <c r="N165" i="6" s="1"/>
  <c r="I164" i="6"/>
  <c r="K164" i="6" s="1"/>
  <c r="N164" i="6" s="1"/>
  <c r="I163" i="6"/>
  <c r="K163" i="6" s="1"/>
  <c r="N163" i="6" s="1"/>
  <c r="I162" i="6"/>
  <c r="K162" i="6" s="1"/>
  <c r="N162" i="6" s="1"/>
  <c r="I161" i="6"/>
  <c r="K161" i="6" s="1"/>
  <c r="N161" i="6" s="1"/>
  <c r="I160" i="6"/>
  <c r="K160" i="6" s="1"/>
  <c r="N160" i="6" s="1"/>
  <c r="I159" i="6"/>
  <c r="K159" i="6" s="1"/>
  <c r="N159" i="6" s="1"/>
  <c r="I158" i="6"/>
  <c r="K158" i="6" s="1"/>
  <c r="N158" i="6" s="1"/>
  <c r="I157" i="6"/>
  <c r="I156" i="6"/>
  <c r="K156" i="6" s="1"/>
  <c r="N156" i="6" s="1"/>
  <c r="I155" i="6"/>
  <c r="K155" i="6" s="1"/>
  <c r="N155" i="6" s="1"/>
  <c r="I154" i="6"/>
  <c r="K154" i="6" s="1"/>
  <c r="N154" i="6" s="1"/>
  <c r="I153" i="6"/>
  <c r="K153" i="6" s="1"/>
  <c r="N153" i="6" s="1"/>
  <c r="I152" i="6"/>
  <c r="I151" i="6"/>
  <c r="K151" i="6" s="1"/>
  <c r="N151" i="6" s="1"/>
  <c r="I150" i="6"/>
  <c r="K150" i="6" s="1"/>
  <c r="N150" i="6" s="1"/>
  <c r="I149" i="6"/>
  <c r="K149" i="6" s="1"/>
  <c r="N149" i="6" s="1"/>
  <c r="I148" i="6"/>
  <c r="J148" i="6" s="1"/>
  <c r="I147" i="6"/>
  <c r="K147" i="6" s="1"/>
  <c r="N147" i="6" s="1"/>
  <c r="I146" i="6"/>
  <c r="K146" i="6" s="1"/>
  <c r="N146" i="6" s="1"/>
  <c r="I145" i="6"/>
  <c r="K145" i="6" s="1"/>
  <c r="N145" i="6" s="1"/>
  <c r="I144" i="6"/>
  <c r="K144" i="6" s="1"/>
  <c r="N144" i="6" s="1"/>
  <c r="I143" i="6"/>
  <c r="I142" i="6"/>
  <c r="K142" i="6" s="1"/>
  <c r="N142" i="6" s="1"/>
  <c r="I141" i="6"/>
  <c r="K141" i="6" s="1"/>
  <c r="N141" i="6" s="1"/>
  <c r="I140" i="6"/>
  <c r="K140" i="6" s="1"/>
  <c r="N140" i="6" s="1"/>
  <c r="I139" i="6"/>
  <c r="K139" i="6" s="1"/>
  <c r="N139" i="6" s="1"/>
  <c r="I138" i="6"/>
  <c r="I137" i="6"/>
  <c r="K137" i="6" s="1"/>
  <c r="N137" i="6" s="1"/>
  <c r="I136" i="6"/>
  <c r="K136" i="6" s="1"/>
  <c r="N136" i="6" s="1"/>
  <c r="I135" i="6"/>
  <c r="K135" i="6" s="1"/>
  <c r="N135" i="6" s="1"/>
  <c r="I134" i="6"/>
  <c r="K134" i="6" s="1"/>
  <c r="N134" i="6" s="1"/>
  <c r="I133" i="6"/>
  <c r="K133" i="6" s="1"/>
  <c r="N133" i="6" s="1"/>
  <c r="I132" i="6"/>
  <c r="K132" i="6" s="1"/>
  <c r="N132" i="6" s="1"/>
  <c r="I131" i="6"/>
  <c r="K131" i="6" s="1"/>
  <c r="N131" i="6" s="1"/>
  <c r="I130" i="6"/>
  <c r="K130" i="6" s="1"/>
  <c r="N130" i="6" s="1"/>
  <c r="I129" i="6"/>
  <c r="K129" i="6" s="1"/>
  <c r="N129" i="6" s="1"/>
  <c r="I128" i="6"/>
  <c r="K128" i="6" s="1"/>
  <c r="N128" i="6" s="1"/>
  <c r="I127" i="6"/>
  <c r="K127" i="6" s="1"/>
  <c r="N127" i="6" s="1"/>
  <c r="I126" i="6"/>
  <c r="K126" i="6" s="1"/>
  <c r="N126" i="6" s="1"/>
  <c r="I125" i="6"/>
  <c r="K125" i="6" s="1"/>
  <c r="N125" i="6" s="1"/>
  <c r="I124" i="6"/>
  <c r="K124" i="6" s="1"/>
  <c r="N124" i="6" s="1"/>
  <c r="I123" i="6"/>
  <c r="K123" i="6" s="1"/>
  <c r="N123" i="6" s="1"/>
  <c r="I122" i="6"/>
  <c r="K122" i="6" s="1"/>
  <c r="N122" i="6" s="1"/>
  <c r="I121" i="6"/>
  <c r="K121" i="6" s="1"/>
  <c r="N121" i="6" s="1"/>
  <c r="I120" i="6"/>
  <c r="K120" i="6" s="1"/>
  <c r="N120" i="6" s="1"/>
  <c r="I119" i="6"/>
  <c r="K119" i="6" s="1"/>
  <c r="N119" i="6" s="1"/>
  <c r="J138" i="6" l="1"/>
  <c r="K138" i="6" s="1"/>
  <c r="N138" i="6" s="1"/>
  <c r="J143" i="6"/>
  <c r="K143" i="6" s="1"/>
  <c r="N143" i="6" s="1"/>
  <c r="J233" i="6"/>
  <c r="J203" i="6"/>
  <c r="K203" i="6" s="1"/>
  <c r="N203" i="6" s="1"/>
  <c r="J231" i="6"/>
  <c r="K224" i="6"/>
  <c r="N224" i="6" s="1"/>
  <c r="K226" i="6"/>
  <c r="N226" i="6" s="1"/>
  <c r="J237" i="6"/>
  <c r="K148" i="6"/>
  <c r="N148" i="6" s="1"/>
  <c r="J235" i="6"/>
  <c r="J152" i="6"/>
  <c r="K152" i="6" s="1"/>
  <c r="N152" i="6" s="1"/>
  <c r="J157" i="6"/>
  <c r="K157" i="6" s="1"/>
  <c r="N157" i="6" s="1"/>
  <c r="J166" i="6"/>
  <c r="K166" i="6" s="1"/>
  <c r="N166" i="6" s="1"/>
  <c r="K172" i="6"/>
  <c r="N172" i="6" s="1"/>
  <c r="N211" i="6"/>
  <c r="J214" i="6"/>
  <c r="J215" i="6"/>
  <c r="J216" i="6"/>
  <c r="J217" i="6"/>
  <c r="J218" i="6"/>
  <c r="J219" i="6"/>
  <c r="J220" i="6"/>
  <c r="J221" i="6"/>
  <c r="K223" i="6"/>
  <c r="N223" i="6" s="1"/>
  <c r="K225" i="6"/>
  <c r="N225" i="6" s="1"/>
  <c r="J232" i="6"/>
  <c r="J234" i="6"/>
  <c r="J236" i="6"/>
  <c r="J238" i="6"/>
  <c r="I118" i="6"/>
  <c r="K118" i="6" s="1"/>
  <c r="N118" i="6" s="1"/>
  <c r="I117" i="6"/>
  <c r="K117" i="6" s="1"/>
  <c r="N117" i="6" s="1"/>
  <c r="I116" i="6"/>
  <c r="K116" i="6" s="1"/>
  <c r="N116" i="6" s="1"/>
  <c r="I115" i="6"/>
  <c r="K115" i="6" s="1"/>
  <c r="N115" i="6" s="1"/>
  <c r="I114" i="6"/>
  <c r="K114" i="6" s="1"/>
  <c r="N114" i="6" s="1"/>
  <c r="I113" i="6"/>
  <c r="K113" i="6" s="1"/>
  <c r="N113" i="6" s="1"/>
  <c r="I112" i="6"/>
  <c r="K112" i="6" s="1"/>
  <c r="N112" i="6" s="1"/>
  <c r="I111" i="6"/>
  <c r="K111" i="6" s="1"/>
  <c r="N111" i="6" s="1"/>
  <c r="I110" i="6"/>
  <c r="K110" i="6" s="1"/>
  <c r="N110" i="6" s="1"/>
  <c r="I109" i="6"/>
  <c r="K109" i="6" s="1"/>
  <c r="N109" i="6" s="1"/>
  <c r="I108" i="6"/>
  <c r="K108" i="6" s="1"/>
  <c r="N108" i="6" s="1"/>
  <c r="I107" i="6"/>
  <c r="K107" i="6" s="1"/>
  <c r="N107" i="6" s="1"/>
  <c r="I106" i="6"/>
  <c r="K106" i="6" s="1"/>
  <c r="N106" i="6" s="1"/>
  <c r="I105" i="6"/>
  <c r="K105" i="6" s="1"/>
  <c r="N105" i="6" s="1"/>
  <c r="I104" i="6"/>
  <c r="K104" i="6" s="1"/>
  <c r="N104" i="6" s="1"/>
  <c r="I103" i="6"/>
  <c r="K103" i="6" s="1"/>
  <c r="N103" i="6" s="1"/>
  <c r="I102" i="6"/>
  <c r="K102" i="6" s="1"/>
  <c r="N102" i="6" s="1"/>
  <c r="I101" i="6"/>
  <c r="K101" i="6" s="1"/>
  <c r="N101" i="6" s="1"/>
  <c r="I100" i="6"/>
  <c r="K100" i="6" s="1"/>
  <c r="N100" i="6" s="1"/>
  <c r="I99" i="6"/>
  <c r="K99" i="6" s="1"/>
  <c r="N99" i="6" s="1"/>
  <c r="I98" i="6"/>
  <c r="K98" i="6" s="1"/>
  <c r="N98" i="6" s="1"/>
  <c r="I97" i="6"/>
  <c r="K97" i="6" s="1"/>
  <c r="N97" i="6" s="1"/>
  <c r="I96" i="6"/>
  <c r="K96" i="6" s="1"/>
  <c r="N96" i="6" s="1"/>
  <c r="I95" i="6"/>
  <c r="K95" i="6" s="1"/>
  <c r="N95" i="6" s="1"/>
  <c r="I94" i="6"/>
  <c r="K94" i="6" s="1"/>
  <c r="N94" i="6" s="1"/>
  <c r="I93" i="6"/>
  <c r="K93" i="6" s="1"/>
  <c r="N93" i="6" s="1"/>
  <c r="I92" i="6"/>
  <c r="K92" i="6" s="1"/>
  <c r="N92" i="6" s="1"/>
  <c r="I91" i="6"/>
  <c r="K91" i="6" s="1"/>
  <c r="N91" i="6" s="1"/>
  <c r="I90" i="6"/>
  <c r="J90" i="6" s="1"/>
  <c r="I89" i="6"/>
  <c r="I88" i="6"/>
  <c r="J88" i="6" s="1"/>
  <c r="I87" i="6"/>
  <c r="I86" i="6"/>
  <c r="J86" i="6" s="1"/>
  <c r="I85" i="6"/>
  <c r="I84" i="6"/>
  <c r="J84" i="6" s="1"/>
  <c r="I83" i="6"/>
  <c r="K83" i="6" s="1"/>
  <c r="N83" i="6" s="1"/>
  <c r="I82" i="6"/>
  <c r="K82" i="6" s="1"/>
  <c r="N82" i="6" s="1"/>
  <c r="I81" i="6"/>
  <c r="K81" i="6" s="1"/>
  <c r="N81" i="6" s="1"/>
  <c r="I80" i="6"/>
  <c r="K80" i="6" s="1"/>
  <c r="N80" i="6" s="1"/>
  <c r="I79" i="6"/>
  <c r="K79" i="6" s="1"/>
  <c r="N79" i="6" s="1"/>
  <c r="I78" i="6"/>
  <c r="K78" i="6" s="1"/>
  <c r="N78" i="6" s="1"/>
  <c r="I77" i="6"/>
  <c r="K77" i="6" s="1"/>
  <c r="N77" i="6" s="1"/>
  <c r="I76" i="6"/>
  <c r="J76" i="6" s="1"/>
  <c r="I75" i="6"/>
  <c r="K75" i="6" s="1"/>
  <c r="N75" i="6" s="1"/>
  <c r="I74" i="6"/>
  <c r="K74" i="6" s="1"/>
  <c r="N74" i="6" s="1"/>
  <c r="I73" i="6"/>
  <c r="K73" i="6" s="1"/>
  <c r="N73" i="6" s="1"/>
  <c r="I72" i="6"/>
  <c r="K72" i="6" s="1"/>
  <c r="N72" i="6" s="1"/>
  <c r="I71" i="6"/>
  <c r="K71" i="6" s="1"/>
  <c r="N71" i="6" s="1"/>
  <c r="I70" i="6"/>
  <c r="K70" i="6" s="1"/>
  <c r="N70" i="6" s="1"/>
  <c r="I69" i="6"/>
  <c r="K69" i="6" s="1"/>
  <c r="N69" i="6" s="1"/>
  <c r="I68" i="6"/>
  <c r="K68" i="6" s="1"/>
  <c r="N68" i="6" s="1"/>
  <c r="I67" i="6"/>
  <c r="K67" i="6" s="1"/>
  <c r="N67" i="6" s="1"/>
  <c r="I66" i="6"/>
  <c r="K66" i="6" s="1"/>
  <c r="N66" i="6" s="1"/>
  <c r="I65" i="6"/>
  <c r="K65" i="6" s="1"/>
  <c r="N65" i="6" s="1"/>
  <c r="I64" i="6"/>
  <c r="K64" i="6" s="1"/>
  <c r="N64" i="6" s="1"/>
  <c r="I63" i="6"/>
  <c r="K63" i="6" s="1"/>
  <c r="N63" i="6" s="1"/>
  <c r="I62" i="6"/>
  <c r="K62" i="6" s="1"/>
  <c r="N62" i="6" s="1"/>
  <c r="I61" i="6"/>
  <c r="K61" i="6" s="1"/>
  <c r="N61" i="6" s="1"/>
  <c r="I60" i="6"/>
  <c r="K60" i="6" s="1"/>
  <c r="N60" i="6" s="1"/>
  <c r="I59" i="6"/>
  <c r="K59" i="6" s="1"/>
  <c r="N59" i="6" s="1"/>
  <c r="I58" i="6"/>
  <c r="K58" i="6" s="1"/>
  <c r="N58" i="6" s="1"/>
  <c r="I57" i="6"/>
  <c r="K57" i="6" s="1"/>
  <c r="N57" i="6" s="1"/>
  <c r="I56" i="6"/>
  <c r="J56" i="6" s="1"/>
  <c r="L55" i="6"/>
  <c r="I55" i="6"/>
  <c r="K55" i="6" s="1"/>
  <c r="N55" i="6" s="1"/>
  <c r="I54" i="6"/>
  <c r="K54" i="6" s="1"/>
  <c r="N54" i="6" s="1"/>
  <c r="I53" i="6"/>
  <c r="K53" i="6" s="1"/>
  <c r="N53" i="6" s="1"/>
  <c r="I52" i="6"/>
  <c r="K52" i="6" s="1"/>
  <c r="N52" i="6" s="1"/>
  <c r="I51" i="6"/>
  <c r="K51" i="6" s="1"/>
  <c r="N51" i="6" s="1"/>
  <c r="I50" i="6"/>
  <c r="K50" i="6" s="1"/>
  <c r="N50" i="6" s="1"/>
  <c r="I49" i="6"/>
  <c r="K49" i="6" s="1"/>
  <c r="N49" i="6" s="1"/>
  <c r="I48" i="6"/>
  <c r="K48" i="6" s="1"/>
  <c r="N48" i="6" s="1"/>
  <c r="I47" i="6"/>
  <c r="K47" i="6" s="1"/>
  <c r="N47" i="6" s="1"/>
  <c r="I46" i="6"/>
  <c r="K46" i="6" s="1"/>
  <c r="N46" i="6" s="1"/>
  <c r="I45" i="6"/>
  <c r="J45" i="6" s="1"/>
  <c r="I44" i="6"/>
  <c r="J44" i="6" s="1"/>
  <c r="I43" i="6"/>
  <c r="J43" i="6" s="1"/>
  <c r="L42" i="6"/>
  <c r="I42" i="6"/>
  <c r="K42" i="6" s="1"/>
  <c r="I41" i="6"/>
  <c r="K41" i="6" s="1"/>
  <c r="N41" i="6" s="1"/>
  <c r="I40" i="6"/>
  <c r="K40" i="6" s="1"/>
  <c r="N40" i="6" s="1"/>
  <c r="I39" i="6"/>
  <c r="K39" i="6" s="1"/>
  <c r="N39" i="6" s="1"/>
  <c r="I38" i="6"/>
  <c r="K38" i="6" s="1"/>
  <c r="N38" i="6" s="1"/>
  <c r="I37" i="6"/>
  <c r="K37" i="6" s="1"/>
  <c r="N37" i="6" s="1"/>
  <c r="K76" i="6" l="1"/>
  <c r="N76" i="6" s="1"/>
  <c r="K56" i="6"/>
  <c r="N56" i="6" s="1"/>
  <c r="N42" i="6"/>
  <c r="J85" i="6"/>
  <c r="K85" i="6" s="1"/>
  <c r="N85" i="6" s="1"/>
  <c r="J87" i="6"/>
  <c r="K87" i="6" s="1"/>
  <c r="N87" i="6" s="1"/>
  <c r="J89" i="6"/>
  <c r="K89" i="6" s="1"/>
  <c r="N89" i="6" s="1"/>
  <c r="K43" i="6"/>
  <c r="N43" i="6" s="1"/>
  <c r="K44" i="6"/>
  <c r="N44" i="6" s="1"/>
  <c r="K45" i="6"/>
  <c r="N45" i="6" s="1"/>
  <c r="K84" i="6"/>
  <c r="N84" i="6" s="1"/>
  <c r="K86" i="6"/>
  <c r="N86" i="6" s="1"/>
  <c r="K88" i="6"/>
  <c r="N88" i="6" s="1"/>
  <c r="K90" i="6"/>
  <c r="N90" i="6" s="1"/>
  <c r="I36" i="6"/>
  <c r="K36" i="6" s="1"/>
  <c r="N36" i="6" s="1"/>
  <c r="I35" i="6"/>
  <c r="K35" i="6" s="1"/>
  <c r="N35" i="6" s="1"/>
  <c r="I34" i="6"/>
  <c r="J34" i="6" s="1"/>
  <c r="I33" i="6"/>
  <c r="I32" i="6"/>
  <c r="J32" i="6" s="1"/>
  <c r="I31" i="6"/>
  <c r="K31" i="6" s="1"/>
  <c r="N31" i="6" s="1"/>
  <c r="I30" i="6"/>
  <c r="K30" i="6" s="1"/>
  <c r="N30" i="6" s="1"/>
  <c r="I29" i="6"/>
  <c r="K29" i="6" s="1"/>
  <c r="N29" i="6" s="1"/>
  <c r="I28" i="6"/>
  <c r="K28" i="6" s="1"/>
  <c r="N28" i="6" s="1"/>
  <c r="I27" i="6"/>
  <c r="K27" i="6" s="1"/>
  <c r="N27" i="6" s="1"/>
  <c r="I26" i="6"/>
  <c r="K26" i="6" s="1"/>
  <c r="N26" i="6" s="1"/>
  <c r="I25" i="6"/>
  <c r="K25" i="6" s="1"/>
  <c r="N25" i="6" s="1"/>
  <c r="I24" i="6"/>
  <c r="I23" i="6"/>
  <c r="K23" i="6" s="1"/>
  <c r="N23" i="6" s="1"/>
  <c r="I22" i="6"/>
  <c r="K22" i="6" s="1"/>
  <c r="N22" i="6" s="1"/>
  <c r="I21" i="6"/>
  <c r="K21" i="6" s="1"/>
  <c r="N21" i="6" s="1"/>
  <c r="I20" i="6"/>
  <c r="K20" i="6" s="1"/>
  <c r="N20" i="6" s="1"/>
  <c r="I19" i="6"/>
  <c r="K19" i="6" s="1"/>
  <c r="N19" i="6" s="1"/>
  <c r="I18" i="6"/>
  <c r="K18" i="6" s="1"/>
  <c r="N18" i="6" s="1"/>
  <c r="I17" i="6"/>
  <c r="I16" i="6"/>
  <c r="K16" i="6" s="1"/>
  <c r="N16" i="6" s="1"/>
  <c r="I15" i="6"/>
  <c r="K15" i="6" s="1"/>
  <c r="N15" i="6" s="1"/>
  <c r="I14" i="6"/>
  <c r="I13" i="6"/>
  <c r="L12" i="6"/>
  <c r="I12" i="6"/>
  <c r="K12" i="6" s="1"/>
  <c r="L11" i="6"/>
  <c r="I11" i="6"/>
  <c r="K11" i="6" s="1"/>
  <c r="L10" i="6"/>
  <c r="I10" i="6"/>
  <c r="K10" i="6" s="1"/>
  <c r="I9" i="6"/>
  <c r="K9" i="6" s="1"/>
  <c r="N9" i="6" s="1"/>
  <c r="I8" i="6"/>
  <c r="K8" i="6" s="1"/>
  <c r="N8" i="6" s="1"/>
  <c r="I7" i="6"/>
  <c r="K7" i="6" s="1"/>
  <c r="N7" i="6" s="1"/>
  <c r="I6" i="6"/>
  <c r="K6" i="6" s="1"/>
  <c r="N6" i="6" s="1"/>
  <c r="I5" i="6"/>
  <c r="K5" i="6" s="1"/>
  <c r="N5" i="6" s="1"/>
  <c r="I4" i="6"/>
  <c r="K4" i="6" s="1"/>
  <c r="N4" i="6" s="1"/>
  <c r="I3" i="6"/>
  <c r="K3" i="6" s="1"/>
  <c r="N3" i="6" s="1"/>
  <c r="I2" i="6"/>
  <c r="K2" i="6" s="1"/>
  <c r="N11" i="6" l="1"/>
  <c r="N2" i="6"/>
  <c r="N10" i="6"/>
  <c r="N12" i="6"/>
  <c r="K32" i="6"/>
  <c r="N32" i="6" s="1"/>
  <c r="K34" i="6"/>
  <c r="N34" i="6" s="1"/>
  <c r="J33" i="6"/>
  <c r="K33" i="6" s="1"/>
  <c r="N33" i="6" s="1"/>
  <c r="J13" i="6"/>
  <c r="K13" i="6" s="1"/>
  <c r="N13" i="6" s="1"/>
  <c r="J14" i="6"/>
  <c r="K14" i="6" s="1"/>
  <c r="N14" i="6" s="1"/>
  <c r="J17" i="6"/>
  <c r="K17" i="6" s="1"/>
  <c r="N17" i="6" s="1"/>
  <c r="J24" i="6"/>
  <c r="K24" i="6" s="1"/>
  <c r="N24" i="6" s="1"/>
  <c r="I418" i="5"/>
  <c r="K418" i="5" s="1"/>
  <c r="N418" i="5" s="1"/>
  <c r="I417" i="5"/>
  <c r="K417" i="5" s="1"/>
  <c r="N417" i="5" s="1"/>
  <c r="I416" i="5"/>
  <c r="K416" i="5" s="1"/>
  <c r="N416" i="5" s="1"/>
  <c r="I415" i="5"/>
  <c r="K415" i="5" s="1"/>
  <c r="N415" i="5" s="1"/>
  <c r="L414" i="5"/>
  <c r="I414" i="5"/>
  <c r="K414" i="5" s="1"/>
  <c r="L413" i="5"/>
  <c r="I413" i="5"/>
  <c r="K413" i="5" s="1"/>
  <c r="N413" i="5" s="1"/>
  <c r="I412" i="5"/>
  <c r="J412" i="5" s="1"/>
  <c r="I411" i="5"/>
  <c r="K411" i="5" s="1"/>
  <c r="N411" i="5" s="1"/>
  <c r="I410" i="5"/>
  <c r="L409" i="5"/>
  <c r="I409" i="5"/>
  <c r="K409" i="5" s="1"/>
  <c r="I408" i="5"/>
  <c r="K408" i="5" s="1"/>
  <c r="N408" i="5" s="1"/>
  <c r="I407" i="5"/>
  <c r="K407" i="5" s="1"/>
  <c r="N407" i="5" s="1"/>
  <c r="L406" i="5"/>
  <c r="I406" i="5"/>
  <c r="K406" i="5" s="1"/>
  <c r="N406" i="5" s="1"/>
  <c r="I405" i="5"/>
  <c r="K405" i="5" s="1"/>
  <c r="N405" i="5" s="1"/>
  <c r="I404" i="5"/>
  <c r="K404" i="5" s="1"/>
  <c r="N404" i="5" s="1"/>
  <c r="I403" i="5"/>
  <c r="K403" i="5" s="1"/>
  <c r="N403" i="5" s="1"/>
  <c r="I402" i="5"/>
  <c r="J402" i="5" s="1"/>
  <c r="I401" i="5"/>
  <c r="L400" i="5"/>
  <c r="I400" i="5"/>
  <c r="K400" i="5" s="1"/>
  <c r="I399" i="5"/>
  <c r="K399" i="5" s="1"/>
  <c r="N399" i="5" s="1"/>
  <c r="I398" i="5"/>
  <c r="I397" i="5"/>
  <c r="K397" i="5" s="1"/>
  <c r="N397" i="5" s="1"/>
  <c r="L396" i="5"/>
  <c r="I396" i="5"/>
  <c r="K396" i="5" s="1"/>
  <c r="N396" i="5" s="1"/>
  <c r="L395" i="5"/>
  <c r="I395" i="5"/>
  <c r="K395" i="5" s="1"/>
  <c r="I394" i="5"/>
  <c r="K394" i="5" s="1"/>
  <c r="N394" i="5" s="1"/>
  <c r="I393" i="5"/>
  <c r="K393" i="5" s="1"/>
  <c r="N393" i="5" s="1"/>
  <c r="I392" i="5"/>
  <c r="J392" i="5" s="1"/>
  <c r="I391" i="5"/>
  <c r="I390" i="5"/>
  <c r="J390" i="5" s="1"/>
  <c r="I389" i="5"/>
  <c r="K389" i="5" s="1"/>
  <c r="N389" i="5" s="1"/>
  <c r="I388" i="5"/>
  <c r="K388" i="5" s="1"/>
  <c r="N388" i="5" s="1"/>
  <c r="I387" i="5"/>
  <c r="J387" i="5" s="1"/>
  <c r="I386" i="5"/>
  <c r="K386" i="5" s="1"/>
  <c r="N386" i="5" s="1"/>
  <c r="I385" i="5"/>
  <c r="K385" i="5" s="1"/>
  <c r="I384" i="5"/>
  <c r="K384" i="5" s="1"/>
  <c r="I383" i="5"/>
  <c r="K383" i="5" s="1"/>
  <c r="I382" i="5"/>
  <c r="K382" i="5" s="1"/>
  <c r="N382" i="5" s="1"/>
  <c r="I381" i="5"/>
  <c r="K381" i="5" s="1"/>
  <c r="N381" i="5" s="1"/>
  <c r="I380" i="5"/>
  <c r="K380" i="5" s="1"/>
  <c r="N380" i="5" s="1"/>
  <c r="I379" i="5"/>
  <c r="K379" i="5" s="1"/>
  <c r="N379" i="5" s="1"/>
  <c r="I378" i="5"/>
  <c r="K378" i="5" s="1"/>
  <c r="N378" i="5" s="1"/>
  <c r="I377" i="5"/>
  <c r="K377" i="5" s="1"/>
  <c r="N377" i="5" s="1"/>
  <c r="I376" i="5"/>
  <c r="K376" i="5" s="1"/>
  <c r="N376" i="5" s="1"/>
  <c r="I375" i="5"/>
  <c r="K375" i="5" s="1"/>
  <c r="N375" i="5" s="1"/>
  <c r="I374" i="5"/>
  <c r="K374" i="5" s="1"/>
  <c r="N374" i="5" s="1"/>
  <c r="I373" i="5"/>
  <c r="K373" i="5" s="1"/>
  <c r="N373" i="5" s="1"/>
  <c r="L372" i="5"/>
  <c r="I372" i="5"/>
  <c r="K372" i="5" s="1"/>
  <c r="I371" i="5"/>
  <c r="K371" i="5" s="1"/>
  <c r="N371" i="5" s="1"/>
  <c r="I370" i="5"/>
  <c r="K370" i="5" s="1"/>
  <c r="N370" i="5" s="1"/>
  <c r="I369" i="5"/>
  <c r="K369" i="5" s="1"/>
  <c r="N369" i="5" s="1"/>
  <c r="I368" i="5"/>
  <c r="K368" i="5" s="1"/>
  <c r="N368" i="5" s="1"/>
  <c r="I367" i="5"/>
  <c r="I366" i="5"/>
  <c r="K366" i="5" s="1"/>
  <c r="N366" i="5" s="1"/>
  <c r="I365" i="5"/>
  <c r="K365" i="5" s="1"/>
  <c r="N365" i="5" s="1"/>
  <c r="I364" i="5"/>
  <c r="K364" i="5" s="1"/>
  <c r="N364" i="5" s="1"/>
  <c r="I363" i="5"/>
  <c r="K363" i="5" s="1"/>
  <c r="N363" i="5" s="1"/>
  <c r="I362" i="5"/>
  <c r="K362" i="5" s="1"/>
  <c r="N362" i="5" s="1"/>
  <c r="I361" i="5"/>
  <c r="K361" i="5" s="1"/>
  <c r="N361" i="5" s="1"/>
  <c r="I360" i="5"/>
  <c r="K360" i="5" s="1"/>
  <c r="N360" i="5" s="1"/>
  <c r="I359" i="5"/>
  <c r="I358" i="5"/>
  <c r="K358" i="5" s="1"/>
  <c r="N358" i="5" s="1"/>
  <c r="I357" i="5"/>
  <c r="K357" i="5" s="1"/>
  <c r="N357" i="5" s="1"/>
  <c r="I356" i="5"/>
  <c r="K356" i="5" s="1"/>
  <c r="N356" i="5" s="1"/>
  <c r="I355" i="5"/>
  <c r="K355" i="5" s="1"/>
  <c r="N355" i="5" s="1"/>
  <c r="I354" i="5"/>
  <c r="K354" i="5" s="1"/>
  <c r="N354" i="5" s="1"/>
  <c r="I353" i="5"/>
  <c r="I352" i="5"/>
  <c r="I351" i="5"/>
  <c r="K351" i="5" s="1"/>
  <c r="N351" i="5" s="1"/>
  <c r="I350" i="5"/>
  <c r="K350" i="5" s="1"/>
  <c r="N350" i="5" s="1"/>
  <c r="I349" i="5"/>
  <c r="K349" i="5" s="1"/>
  <c r="N349" i="5" s="1"/>
  <c r="I348" i="5"/>
  <c r="K348" i="5" s="1"/>
  <c r="N348" i="5" s="1"/>
  <c r="I347" i="5"/>
  <c r="K347" i="5" s="1"/>
  <c r="N347" i="5" s="1"/>
  <c r="I346" i="5"/>
  <c r="K346" i="5" s="1"/>
  <c r="N346" i="5" s="1"/>
  <c r="I345" i="5"/>
  <c r="K345" i="5" s="1"/>
  <c r="N345" i="5" s="1"/>
  <c r="I344" i="5"/>
  <c r="J344" i="5" s="1"/>
  <c r="I343" i="5"/>
  <c r="K343" i="5" s="1"/>
  <c r="N343" i="5" s="1"/>
  <c r="N395" i="5" l="1"/>
  <c r="N414" i="5"/>
  <c r="K346" i="6"/>
  <c r="N372" i="5"/>
  <c r="K390" i="5"/>
  <c r="N390" i="5" s="1"/>
  <c r="K392" i="5"/>
  <c r="N392" i="5" s="1"/>
  <c r="N400" i="5"/>
  <c r="K402" i="5"/>
  <c r="N402" i="5" s="1"/>
  <c r="N409" i="5"/>
  <c r="K412" i="5"/>
  <c r="N412" i="5" s="1"/>
  <c r="J359" i="5"/>
  <c r="K359" i="5" s="1"/>
  <c r="N359" i="5" s="1"/>
  <c r="K387" i="5"/>
  <c r="N387" i="5" s="1"/>
  <c r="J391" i="5"/>
  <c r="K391" i="5" s="1"/>
  <c r="N391" i="5" s="1"/>
  <c r="J401" i="5"/>
  <c r="K401" i="5" s="1"/>
  <c r="N401" i="5" s="1"/>
  <c r="K344" i="5"/>
  <c r="N344" i="5" s="1"/>
  <c r="J352" i="5"/>
  <c r="K352" i="5" s="1"/>
  <c r="N352" i="5" s="1"/>
  <c r="J353" i="5"/>
  <c r="K353" i="5" s="1"/>
  <c r="N353" i="5" s="1"/>
  <c r="J367" i="5"/>
  <c r="K367" i="5" s="1"/>
  <c r="N367" i="5" s="1"/>
  <c r="J398" i="5"/>
  <c r="K398" i="5" s="1"/>
  <c r="N398" i="5" s="1"/>
  <c r="J410" i="5"/>
  <c r="K410" i="5" s="1"/>
  <c r="N410" i="5" s="1"/>
  <c r="I342" i="5"/>
  <c r="J342" i="5" s="1"/>
  <c r="I341" i="5"/>
  <c r="I340" i="5"/>
  <c r="J340" i="5" s="1"/>
  <c r="I339" i="5"/>
  <c r="K339" i="5" s="1"/>
  <c r="N339" i="5" s="1"/>
  <c r="I338" i="5"/>
  <c r="K338" i="5" s="1"/>
  <c r="N338" i="5" s="1"/>
  <c r="I337" i="5"/>
  <c r="K337" i="5" s="1"/>
  <c r="N337" i="5" s="1"/>
  <c r="I336" i="5"/>
  <c r="K336" i="5" s="1"/>
  <c r="N336" i="5" s="1"/>
  <c r="I335" i="5"/>
  <c r="K335" i="5" s="1"/>
  <c r="N335" i="5" s="1"/>
  <c r="I334" i="5"/>
  <c r="K334" i="5" s="1"/>
  <c r="N334" i="5" s="1"/>
  <c r="I333" i="5"/>
  <c r="K333" i="5" s="1"/>
  <c r="N333" i="5" s="1"/>
  <c r="I332" i="5"/>
  <c r="K332" i="5" s="1"/>
  <c r="N332" i="5" s="1"/>
  <c r="I331" i="5"/>
  <c r="K331" i="5" s="1"/>
  <c r="N331" i="5" s="1"/>
  <c r="I330" i="5"/>
  <c r="K330" i="5" s="1"/>
  <c r="N330" i="5" s="1"/>
  <c r="I329" i="5"/>
  <c r="K329" i="5" s="1"/>
  <c r="N329" i="5" s="1"/>
  <c r="I328" i="5"/>
  <c r="K328" i="5" s="1"/>
  <c r="N328" i="5" s="1"/>
  <c r="L327" i="5"/>
  <c r="I327" i="5"/>
  <c r="K327" i="5" s="1"/>
  <c r="I326" i="5"/>
  <c r="K326" i="5" s="1"/>
  <c r="N326" i="5" s="1"/>
  <c r="I325" i="5"/>
  <c r="K325" i="5" s="1"/>
  <c r="N325" i="5" s="1"/>
  <c r="I324" i="5"/>
  <c r="K324" i="5" s="1"/>
  <c r="N324" i="5" s="1"/>
  <c r="I323" i="5"/>
  <c r="K323" i="5" s="1"/>
  <c r="N323" i="5" s="1"/>
  <c r="I322" i="5"/>
  <c r="K322" i="5" s="1"/>
  <c r="N322" i="5" s="1"/>
  <c r="I321" i="5"/>
  <c r="K321" i="5" s="1"/>
  <c r="N321" i="5" s="1"/>
  <c r="I320" i="5"/>
  <c r="K320" i="5" s="1"/>
  <c r="N320" i="5" s="1"/>
  <c r="I319" i="5"/>
  <c r="K319" i="5" s="1"/>
  <c r="N319" i="5" s="1"/>
  <c r="I318" i="5"/>
  <c r="K318" i="5" s="1"/>
  <c r="N318" i="5" s="1"/>
  <c r="I317" i="5"/>
  <c r="K317" i="5" s="1"/>
  <c r="N317" i="5" s="1"/>
  <c r="I316" i="5"/>
  <c r="K316" i="5" s="1"/>
  <c r="N316" i="5" s="1"/>
  <c r="I315" i="5"/>
  <c r="K315" i="5" s="1"/>
  <c r="N315" i="5" s="1"/>
  <c r="I314" i="5"/>
  <c r="I313" i="5"/>
  <c r="K313" i="5" s="1"/>
  <c r="N313" i="5" s="1"/>
  <c r="I312" i="5"/>
  <c r="J312" i="5" s="1"/>
  <c r="I311" i="5"/>
  <c r="K311" i="5" s="1"/>
  <c r="N311" i="5" s="1"/>
  <c r="I310" i="5"/>
  <c r="K310" i="5" s="1"/>
  <c r="N310" i="5" s="1"/>
  <c r="I309" i="5"/>
  <c r="K309" i="5" s="1"/>
  <c r="N309" i="5" s="1"/>
  <c r="I308" i="5"/>
  <c r="J308" i="5" s="1"/>
  <c r="I307" i="5"/>
  <c r="J307" i="5" s="1"/>
  <c r="L306" i="5"/>
  <c r="I306" i="5"/>
  <c r="K306" i="5" s="1"/>
  <c r="I305" i="5"/>
  <c r="J305" i="5" s="1"/>
  <c r="I304" i="5"/>
  <c r="K304" i="5" s="1"/>
  <c r="N304" i="5" s="1"/>
  <c r="I303" i="5"/>
  <c r="K303" i="5" s="1"/>
  <c r="N303" i="5" s="1"/>
  <c r="I302" i="5"/>
  <c r="K302" i="5" s="1"/>
  <c r="N302" i="5" s="1"/>
  <c r="I301" i="5"/>
  <c r="K301" i="5" s="1"/>
  <c r="N301" i="5" s="1"/>
  <c r="I300" i="5"/>
  <c r="K300" i="5" s="1"/>
  <c r="N300" i="5" s="1"/>
  <c r="I299" i="5"/>
  <c r="K299" i="5" s="1"/>
  <c r="N299" i="5" s="1"/>
  <c r="I298" i="5"/>
  <c r="K298" i="5" s="1"/>
  <c r="N298" i="5" s="1"/>
  <c r="I297" i="5"/>
  <c r="K297" i="5" s="1"/>
  <c r="N297" i="5" s="1"/>
  <c r="I296" i="5"/>
  <c r="K296" i="5" s="1"/>
  <c r="N296" i="5" s="1"/>
  <c r="I295" i="5"/>
  <c r="K295" i="5" s="1"/>
  <c r="N295" i="5" s="1"/>
  <c r="I294" i="5"/>
  <c r="J294" i="5" s="1"/>
  <c r="I293" i="5"/>
  <c r="K293" i="5" s="1"/>
  <c r="N293" i="5" s="1"/>
  <c r="I292" i="5"/>
  <c r="J292" i="5" s="1"/>
  <c r="I291" i="5"/>
  <c r="K291" i="5" s="1"/>
  <c r="N291" i="5" s="1"/>
  <c r="I290" i="5"/>
  <c r="K290" i="5" s="1"/>
  <c r="N290" i="5" s="1"/>
  <c r="I289" i="5"/>
  <c r="K289" i="5" s="1"/>
  <c r="N289" i="5" s="1"/>
  <c r="I288" i="5"/>
  <c r="J288" i="5" s="1"/>
  <c r="I287" i="5"/>
  <c r="J287" i="5" s="1"/>
  <c r="L286" i="5"/>
  <c r="I286" i="5"/>
  <c r="K286" i="5" s="1"/>
  <c r="L285" i="5"/>
  <c r="I285" i="5"/>
  <c r="K285" i="5" s="1"/>
  <c r="I284" i="5"/>
  <c r="K284" i="5" s="1"/>
  <c r="N284" i="5" s="1"/>
  <c r="I283" i="5"/>
  <c r="K283" i="5" s="1"/>
  <c r="N283" i="5" s="1"/>
  <c r="I282" i="5"/>
  <c r="K282" i="5" s="1"/>
  <c r="N282" i="5" s="1"/>
  <c r="I281" i="5"/>
  <c r="J281" i="5" s="1"/>
  <c r="I280" i="5"/>
  <c r="J280" i="5" s="1"/>
  <c r="I279" i="5"/>
  <c r="J279" i="5" s="1"/>
  <c r="I278" i="5"/>
  <c r="J278" i="5" s="1"/>
  <c r="I277" i="5"/>
  <c r="J277" i="5" s="1"/>
  <c r="I276" i="5"/>
  <c r="J276" i="5" s="1"/>
  <c r="I275" i="5"/>
  <c r="K275" i="5" s="1"/>
  <c r="N275" i="5" s="1"/>
  <c r="I274" i="5"/>
  <c r="K274" i="5" s="1"/>
  <c r="N274" i="5" s="1"/>
  <c r="I273" i="5"/>
  <c r="K273" i="5" s="1"/>
  <c r="N273" i="5" s="1"/>
  <c r="I272" i="5"/>
  <c r="K272" i="5" s="1"/>
  <c r="N272" i="5" s="1"/>
  <c r="I271" i="5"/>
  <c r="J271" i="5" s="1"/>
  <c r="I270" i="5"/>
  <c r="K270" i="5" s="1"/>
  <c r="N270" i="5" s="1"/>
  <c r="I269" i="5"/>
  <c r="K269" i="5" s="1"/>
  <c r="N269" i="5" s="1"/>
  <c r="I268" i="5"/>
  <c r="K268" i="5" s="1"/>
  <c r="N268" i="5" s="1"/>
  <c r="I267" i="5"/>
  <c r="J267" i="5" s="1"/>
  <c r="I266" i="5"/>
  <c r="K266" i="5" s="1"/>
  <c r="N266" i="5" s="1"/>
  <c r="I265" i="5"/>
  <c r="J265" i="5" s="1"/>
  <c r="I264" i="5"/>
  <c r="J264" i="5" s="1"/>
  <c r="I263" i="5"/>
  <c r="J263" i="5" s="1"/>
  <c r="L262" i="5"/>
  <c r="I262" i="5"/>
  <c r="K262" i="5" s="1"/>
  <c r="N262" i="5" s="1"/>
  <c r="I261" i="5"/>
  <c r="K261" i="5" s="1"/>
  <c r="N261" i="5" s="1"/>
  <c r="I260" i="5"/>
  <c r="K260" i="5" s="1"/>
  <c r="N260" i="5" s="1"/>
  <c r="I259" i="5"/>
  <c r="K259" i="5" s="1"/>
  <c r="N259" i="5" s="1"/>
  <c r="I258" i="5"/>
  <c r="K258" i="5" s="1"/>
  <c r="N258" i="5" s="1"/>
  <c r="I257" i="5"/>
  <c r="K257" i="5" s="1"/>
  <c r="N257" i="5" s="1"/>
  <c r="I256" i="5"/>
  <c r="K256" i="5" s="1"/>
  <c r="N256" i="5" s="1"/>
  <c r="I255" i="5"/>
  <c r="K255" i="5" s="1"/>
  <c r="N255" i="5" s="1"/>
  <c r="I254" i="5"/>
  <c r="K254" i="5" s="1"/>
  <c r="N254" i="5" s="1"/>
  <c r="I253" i="5"/>
  <c r="K253" i="5" s="1"/>
  <c r="N253" i="5" s="1"/>
  <c r="I252" i="5"/>
  <c r="K252" i="5" s="1"/>
  <c r="N252" i="5" s="1"/>
  <c r="I251" i="5"/>
  <c r="K251" i="5" s="1"/>
  <c r="N251" i="5" s="1"/>
  <c r="I250" i="5"/>
  <c r="K250" i="5" s="1"/>
  <c r="N250" i="5" s="1"/>
  <c r="I249" i="5"/>
  <c r="K249" i="5" s="1"/>
  <c r="N249" i="5" s="1"/>
  <c r="I248" i="5"/>
  <c r="K248" i="5" s="1"/>
  <c r="N248" i="5" s="1"/>
  <c r="I247" i="5"/>
  <c r="K247" i="5" s="1"/>
  <c r="N247" i="5" s="1"/>
  <c r="I246" i="5"/>
  <c r="K246" i="5" s="1"/>
  <c r="N246" i="5" s="1"/>
  <c r="I245" i="5"/>
  <c r="K245" i="5" s="1"/>
  <c r="N245" i="5" s="1"/>
  <c r="I244" i="5"/>
  <c r="K244" i="5" s="1"/>
  <c r="N244" i="5" s="1"/>
  <c r="I243" i="5"/>
  <c r="K243" i="5" s="1"/>
  <c r="N243" i="5" s="1"/>
  <c r="I242" i="5"/>
  <c r="K242" i="5" s="1"/>
  <c r="N242" i="5" s="1"/>
  <c r="N286" i="5" l="1"/>
  <c r="N327" i="5"/>
  <c r="N285" i="5"/>
  <c r="N306" i="5"/>
  <c r="J341" i="5"/>
  <c r="K341" i="5" s="1"/>
  <c r="N341" i="5" s="1"/>
  <c r="K287" i="5"/>
  <c r="N287" i="5" s="1"/>
  <c r="K294" i="5"/>
  <c r="N294" i="5" s="1"/>
  <c r="K265" i="5"/>
  <c r="N265" i="5" s="1"/>
  <c r="K307" i="5"/>
  <c r="N307" i="5" s="1"/>
  <c r="J314" i="5"/>
  <c r="K314" i="5" s="1"/>
  <c r="N314" i="5" s="1"/>
  <c r="K263" i="5"/>
  <c r="N263" i="5" s="1"/>
  <c r="K264" i="5"/>
  <c r="N264" i="5" s="1"/>
  <c r="K267" i="5"/>
  <c r="N267" i="5" s="1"/>
  <c r="K271" i="5"/>
  <c r="N271" i="5" s="1"/>
  <c r="K276" i="5"/>
  <c r="N276" i="5" s="1"/>
  <c r="K277" i="5"/>
  <c r="N277" i="5" s="1"/>
  <c r="K278" i="5"/>
  <c r="N278" i="5" s="1"/>
  <c r="K279" i="5"/>
  <c r="N279" i="5" s="1"/>
  <c r="K280" i="5"/>
  <c r="N280" i="5" s="1"/>
  <c r="K281" i="5"/>
  <c r="N281" i="5" s="1"/>
  <c r="K288" i="5"/>
  <c r="N288" i="5" s="1"/>
  <c r="K292" i="5"/>
  <c r="N292" i="5" s="1"/>
  <c r="K305" i="5"/>
  <c r="N305" i="5" s="1"/>
  <c r="K308" i="5"/>
  <c r="N308" i="5" s="1"/>
  <c r="K312" i="5"/>
  <c r="N312" i="5" s="1"/>
  <c r="K340" i="5"/>
  <c r="N340" i="5" s="1"/>
  <c r="K342" i="5"/>
  <c r="N342" i="5" s="1"/>
  <c r="I241" i="5"/>
  <c r="K241" i="5" s="1"/>
  <c r="N241" i="5" s="1"/>
  <c r="I240" i="5"/>
  <c r="K240" i="5" s="1"/>
  <c r="N240" i="5" s="1"/>
  <c r="I239" i="5"/>
  <c r="K239" i="5" s="1"/>
  <c r="N239" i="5" s="1"/>
  <c r="I238" i="5"/>
  <c r="J238" i="5" s="1"/>
  <c r="I237" i="5"/>
  <c r="K237" i="5" s="1"/>
  <c r="N237" i="5" s="1"/>
  <c r="I236" i="5"/>
  <c r="K236" i="5" s="1"/>
  <c r="N236" i="5" s="1"/>
  <c r="I235" i="5"/>
  <c r="I234" i="5"/>
  <c r="K234" i="5" s="1"/>
  <c r="N234" i="5" s="1"/>
  <c r="I233" i="5"/>
  <c r="K233" i="5" s="1"/>
  <c r="N233" i="5" s="1"/>
  <c r="I232" i="5"/>
  <c r="K232" i="5" s="1"/>
  <c r="N232" i="5" s="1"/>
  <c r="I231" i="5"/>
  <c r="K231" i="5" s="1"/>
  <c r="N231" i="5" s="1"/>
  <c r="I230" i="5"/>
  <c r="K230" i="5" s="1"/>
  <c r="N230" i="5" s="1"/>
  <c r="I229" i="5"/>
  <c r="K229" i="5" s="1"/>
  <c r="N229" i="5" s="1"/>
  <c r="I228" i="5"/>
  <c r="K228" i="5" s="1"/>
  <c r="N228" i="5" s="1"/>
  <c r="I227" i="5"/>
  <c r="K227" i="5" s="1"/>
  <c r="N227" i="5" s="1"/>
  <c r="I226" i="5"/>
  <c r="K226" i="5" s="1"/>
  <c r="N226" i="5" s="1"/>
  <c r="L225" i="5"/>
  <c r="I225" i="5"/>
  <c r="K225" i="5" s="1"/>
  <c r="I224" i="5"/>
  <c r="K224" i="5" s="1"/>
  <c r="N224" i="5" s="1"/>
  <c r="I223" i="5"/>
  <c r="K223" i="5" s="1"/>
  <c r="N223" i="5" s="1"/>
  <c r="I222" i="5"/>
  <c r="K222" i="5" s="1"/>
  <c r="N222" i="5" s="1"/>
  <c r="I221" i="5"/>
  <c r="K221" i="5" s="1"/>
  <c r="N221" i="5" s="1"/>
  <c r="I220" i="5"/>
  <c r="K220" i="5" s="1"/>
  <c r="N220" i="5" s="1"/>
  <c r="I219" i="5"/>
  <c r="K219" i="5" s="1"/>
  <c r="N219" i="5" s="1"/>
  <c r="I218" i="5"/>
  <c r="K218" i="5" s="1"/>
  <c r="N218" i="5" s="1"/>
  <c r="I217" i="5"/>
  <c r="K217" i="5" s="1"/>
  <c r="N217" i="5" s="1"/>
  <c r="I216" i="5"/>
  <c r="K216" i="5" s="1"/>
  <c r="N216" i="5" s="1"/>
  <c r="I215" i="5"/>
  <c r="K215" i="5" s="1"/>
  <c r="N215" i="5" s="1"/>
  <c r="I214" i="5"/>
  <c r="J214" i="5" s="1"/>
  <c r="I213" i="5"/>
  <c r="K213" i="5" s="1"/>
  <c r="N213" i="5" s="1"/>
  <c r="I212" i="5"/>
  <c r="K212" i="5" s="1"/>
  <c r="N212" i="5" s="1"/>
  <c r="I211" i="5"/>
  <c r="K211" i="5" s="1"/>
  <c r="N211" i="5" s="1"/>
  <c r="I210" i="5"/>
  <c r="K210" i="5" s="1"/>
  <c r="N210" i="5" s="1"/>
  <c r="L209" i="5"/>
  <c r="I209" i="5"/>
  <c r="K209" i="5" s="1"/>
  <c r="I208" i="5"/>
  <c r="K208" i="5" s="1"/>
  <c r="N208" i="5" s="1"/>
  <c r="I207" i="5"/>
  <c r="K207" i="5" s="1"/>
  <c r="N207" i="5" s="1"/>
  <c r="I206" i="5"/>
  <c r="K206" i="5" s="1"/>
  <c r="N206" i="5" s="1"/>
  <c r="I205" i="5"/>
  <c r="K205" i="5" s="1"/>
  <c r="N205" i="5" s="1"/>
  <c r="I204" i="5"/>
  <c r="K204" i="5" s="1"/>
  <c r="N204" i="5" s="1"/>
  <c r="I203" i="5"/>
  <c r="K203" i="5" s="1"/>
  <c r="N203" i="5" s="1"/>
  <c r="I202" i="5"/>
  <c r="K202" i="5" s="1"/>
  <c r="N202" i="5" s="1"/>
  <c r="I201" i="5"/>
  <c r="J201" i="5" s="1"/>
  <c r="I200" i="5"/>
  <c r="K200" i="5" s="1"/>
  <c r="N200" i="5" s="1"/>
  <c r="I199" i="5"/>
  <c r="J199" i="5" s="1"/>
  <c r="L198" i="5"/>
  <c r="I198" i="5"/>
  <c r="K198" i="5" s="1"/>
  <c r="I197" i="5"/>
  <c r="J197" i="5" s="1"/>
  <c r="I196" i="5"/>
  <c r="K196" i="5" s="1"/>
  <c r="N196" i="5" s="1"/>
  <c r="I195" i="5"/>
  <c r="K195" i="5" s="1"/>
  <c r="N195" i="5" s="1"/>
  <c r="I194" i="5"/>
  <c r="K194" i="5" s="1"/>
  <c r="N194" i="5" s="1"/>
  <c r="I193" i="5"/>
  <c r="I192" i="5"/>
  <c r="J192" i="5" s="1"/>
  <c r="I191" i="5"/>
  <c r="I190" i="5"/>
  <c r="J190" i="5" s="1"/>
  <c r="I189" i="5"/>
  <c r="I188" i="5"/>
  <c r="J188" i="5" s="1"/>
  <c r="I187" i="5"/>
  <c r="I186" i="5"/>
  <c r="J186" i="5" s="1"/>
  <c r="I185" i="5"/>
  <c r="I184" i="5"/>
  <c r="J184" i="5" s="1"/>
  <c r="I183" i="5"/>
  <c r="I182" i="5"/>
  <c r="J182" i="5" s="1"/>
  <c r="I181" i="5"/>
  <c r="I180" i="5"/>
  <c r="J180" i="5" s="1"/>
  <c r="I179" i="5"/>
  <c r="I178" i="5"/>
  <c r="J178" i="5" s="1"/>
  <c r="I177" i="5"/>
  <c r="I176" i="5"/>
  <c r="J176" i="5" s="1"/>
  <c r="I175" i="5"/>
  <c r="I174" i="5"/>
  <c r="J174" i="5" s="1"/>
  <c r="I173" i="5"/>
  <c r="I172" i="5"/>
  <c r="J172" i="5" s="1"/>
  <c r="I171" i="5"/>
  <c r="I170" i="5"/>
  <c r="J170" i="5" s="1"/>
  <c r="I169" i="5"/>
  <c r="I168" i="5"/>
  <c r="J168" i="5" s="1"/>
  <c r="I167" i="5"/>
  <c r="I166" i="5"/>
  <c r="J166" i="5" s="1"/>
  <c r="I165" i="5"/>
  <c r="I164" i="5"/>
  <c r="J164" i="5" s="1"/>
  <c r="I163" i="5"/>
  <c r="I162" i="5"/>
  <c r="J162" i="5" s="1"/>
  <c r="I161" i="5"/>
  <c r="J161" i="5" s="1"/>
  <c r="I160" i="5"/>
  <c r="J160" i="5" s="1"/>
  <c r="I159" i="5"/>
  <c r="J159" i="5" s="1"/>
  <c r="I158" i="5"/>
  <c r="J158" i="5" s="1"/>
  <c r="I157" i="5"/>
  <c r="J157" i="5" s="1"/>
  <c r="I156" i="5"/>
  <c r="J156" i="5" s="1"/>
  <c r="I155" i="5"/>
  <c r="J155" i="5" s="1"/>
  <c r="I154" i="5"/>
  <c r="J154" i="5" s="1"/>
  <c r="I153" i="5"/>
  <c r="J153" i="5" s="1"/>
  <c r="I152" i="5"/>
  <c r="J152" i="5" s="1"/>
  <c r="I151" i="5"/>
  <c r="J151" i="5" s="1"/>
  <c r="I150" i="5"/>
  <c r="J150" i="5" s="1"/>
  <c r="I149" i="5"/>
  <c r="J149" i="5" s="1"/>
  <c r="I148" i="5"/>
  <c r="J148" i="5" s="1"/>
  <c r="I147" i="5"/>
  <c r="I146" i="5"/>
  <c r="J146" i="5" s="1"/>
  <c r="I145" i="5"/>
  <c r="J145" i="5" s="1"/>
  <c r="I144" i="5"/>
  <c r="J144" i="5" s="1"/>
  <c r="I143" i="5"/>
  <c r="J143" i="5" s="1"/>
  <c r="I142" i="5"/>
  <c r="J142" i="5" s="1"/>
  <c r="I141" i="5"/>
  <c r="J141" i="5" s="1"/>
  <c r="I140" i="5"/>
  <c r="J140" i="5" s="1"/>
  <c r="I139" i="5"/>
  <c r="J139" i="5" s="1"/>
  <c r="I138" i="5"/>
  <c r="J138" i="5" s="1"/>
  <c r="I137" i="5"/>
  <c r="J137" i="5" s="1"/>
  <c r="I136" i="5"/>
  <c r="J136" i="5" s="1"/>
  <c r="I135" i="5"/>
  <c r="J135" i="5" s="1"/>
  <c r="I134" i="5"/>
  <c r="J134" i="5" s="1"/>
  <c r="I133" i="5"/>
  <c r="J133" i="5" s="1"/>
  <c r="I132" i="5"/>
  <c r="J132" i="5" s="1"/>
  <c r="I131" i="5"/>
  <c r="J131" i="5" s="1"/>
  <c r="I130" i="5"/>
  <c r="J130" i="5" s="1"/>
  <c r="I129" i="5"/>
  <c r="J129" i="5" s="1"/>
  <c r="I128" i="5"/>
  <c r="J128" i="5" s="1"/>
  <c r="I127" i="5"/>
  <c r="J127" i="5" s="1"/>
  <c r="I126" i="5"/>
  <c r="J126" i="5" s="1"/>
  <c r="I125" i="5"/>
  <c r="K125" i="5" s="1"/>
  <c r="N125" i="5" s="1"/>
  <c r="I124" i="5"/>
  <c r="K124" i="5" s="1"/>
  <c r="N124" i="5" s="1"/>
  <c r="I123" i="5"/>
  <c r="K123" i="5" s="1"/>
  <c r="N123" i="5" s="1"/>
  <c r="I122" i="5"/>
  <c r="K122" i="5" s="1"/>
  <c r="N122" i="5" s="1"/>
  <c r="I121" i="5"/>
  <c r="K121" i="5" s="1"/>
  <c r="N121" i="5" s="1"/>
  <c r="I120" i="5"/>
  <c r="K120" i="5" s="1"/>
  <c r="N120" i="5" s="1"/>
  <c r="I119" i="5"/>
  <c r="K119" i="5" s="1"/>
  <c r="N119" i="5" s="1"/>
  <c r="I118" i="5"/>
  <c r="K118" i="5" s="1"/>
  <c r="N118" i="5" s="1"/>
  <c r="I117" i="5"/>
  <c r="K117" i="5" s="1"/>
  <c r="N117" i="5" s="1"/>
  <c r="K135" i="5" l="1"/>
  <c r="N135" i="5" s="1"/>
  <c r="K143" i="5"/>
  <c r="N143" i="5" s="1"/>
  <c r="K127" i="5"/>
  <c r="N127" i="5" s="1"/>
  <c r="K131" i="5"/>
  <c r="N131" i="5" s="1"/>
  <c r="K139" i="5"/>
  <c r="N139" i="5" s="1"/>
  <c r="K133" i="5"/>
  <c r="N133" i="5" s="1"/>
  <c r="K141" i="5"/>
  <c r="N141" i="5" s="1"/>
  <c r="K129" i="5"/>
  <c r="N129" i="5" s="1"/>
  <c r="K137" i="5"/>
  <c r="N137" i="5" s="1"/>
  <c r="K145" i="5"/>
  <c r="N145" i="5" s="1"/>
  <c r="K126" i="5"/>
  <c r="N126" i="5" s="1"/>
  <c r="K128" i="5"/>
  <c r="N128" i="5" s="1"/>
  <c r="K130" i="5"/>
  <c r="N130" i="5" s="1"/>
  <c r="K132" i="5"/>
  <c r="N132" i="5" s="1"/>
  <c r="K134" i="5"/>
  <c r="N134" i="5" s="1"/>
  <c r="K136" i="5"/>
  <c r="N136" i="5" s="1"/>
  <c r="K138" i="5"/>
  <c r="N138" i="5" s="1"/>
  <c r="K140" i="5"/>
  <c r="N140" i="5" s="1"/>
  <c r="K142" i="5"/>
  <c r="N142" i="5" s="1"/>
  <c r="K144" i="5"/>
  <c r="N144" i="5" s="1"/>
  <c r="K146" i="5"/>
  <c r="N146" i="5" s="1"/>
  <c r="J165" i="5"/>
  <c r="K165" i="5" s="1"/>
  <c r="N165" i="5" s="1"/>
  <c r="J167" i="5"/>
  <c r="K167" i="5" s="1"/>
  <c r="N167" i="5" s="1"/>
  <c r="J169" i="5"/>
  <c r="K169" i="5" s="1"/>
  <c r="N169" i="5" s="1"/>
  <c r="J171" i="5"/>
  <c r="K171" i="5" s="1"/>
  <c r="N171" i="5" s="1"/>
  <c r="J173" i="5"/>
  <c r="K173" i="5" s="1"/>
  <c r="N173" i="5" s="1"/>
  <c r="J175" i="5"/>
  <c r="K175" i="5" s="1"/>
  <c r="N175" i="5" s="1"/>
  <c r="J177" i="5"/>
  <c r="K177" i="5" s="1"/>
  <c r="N177" i="5" s="1"/>
  <c r="J179" i="5"/>
  <c r="K179" i="5" s="1"/>
  <c r="N179" i="5" s="1"/>
  <c r="J181" i="5"/>
  <c r="K181" i="5" s="1"/>
  <c r="N181" i="5" s="1"/>
  <c r="J183" i="5"/>
  <c r="K183" i="5" s="1"/>
  <c r="N183" i="5" s="1"/>
  <c r="J185" i="5"/>
  <c r="K185" i="5" s="1"/>
  <c r="N185" i="5" s="1"/>
  <c r="J187" i="5"/>
  <c r="K187" i="5" s="1"/>
  <c r="N187" i="5" s="1"/>
  <c r="J189" i="5"/>
  <c r="K189" i="5" s="1"/>
  <c r="N189" i="5" s="1"/>
  <c r="J191" i="5"/>
  <c r="K191" i="5" s="1"/>
  <c r="N191" i="5" s="1"/>
  <c r="J193" i="5"/>
  <c r="K193" i="5" s="1"/>
  <c r="N193" i="5" s="1"/>
  <c r="K197" i="5"/>
  <c r="N197" i="5" s="1"/>
  <c r="K199" i="5"/>
  <c r="N199" i="5" s="1"/>
  <c r="N209" i="5"/>
  <c r="N225" i="5"/>
  <c r="J235" i="5"/>
  <c r="K235" i="5" s="1"/>
  <c r="N235" i="5" s="1"/>
  <c r="J147" i="5"/>
  <c r="K147" i="5" s="1"/>
  <c r="N147" i="5" s="1"/>
  <c r="K148" i="5"/>
  <c r="N148" i="5" s="1"/>
  <c r="K149" i="5"/>
  <c r="N149" i="5" s="1"/>
  <c r="K150" i="5"/>
  <c r="N150" i="5" s="1"/>
  <c r="K151" i="5"/>
  <c r="N151" i="5" s="1"/>
  <c r="K152" i="5"/>
  <c r="N152" i="5" s="1"/>
  <c r="K153" i="5"/>
  <c r="N153" i="5" s="1"/>
  <c r="K154" i="5"/>
  <c r="N154" i="5" s="1"/>
  <c r="K155" i="5"/>
  <c r="N155" i="5" s="1"/>
  <c r="K156" i="5"/>
  <c r="N156" i="5" s="1"/>
  <c r="K157" i="5"/>
  <c r="N157" i="5" s="1"/>
  <c r="K158" i="5"/>
  <c r="N158" i="5" s="1"/>
  <c r="K159" i="5"/>
  <c r="N159" i="5" s="1"/>
  <c r="K160" i="5"/>
  <c r="N160" i="5" s="1"/>
  <c r="K161" i="5"/>
  <c r="N161" i="5" s="1"/>
  <c r="K162" i="5"/>
  <c r="N162" i="5" s="1"/>
  <c r="J163" i="5"/>
  <c r="K163" i="5" s="1"/>
  <c r="N163" i="5" s="1"/>
  <c r="K164" i="5"/>
  <c r="N164" i="5" s="1"/>
  <c r="K166" i="5"/>
  <c r="N166" i="5" s="1"/>
  <c r="K168" i="5"/>
  <c r="N168" i="5" s="1"/>
  <c r="K170" i="5"/>
  <c r="N170" i="5" s="1"/>
  <c r="K172" i="5"/>
  <c r="N172" i="5" s="1"/>
  <c r="K174" i="5"/>
  <c r="N174" i="5" s="1"/>
  <c r="K176" i="5"/>
  <c r="N176" i="5" s="1"/>
  <c r="K178" i="5"/>
  <c r="N178" i="5" s="1"/>
  <c r="K180" i="5"/>
  <c r="N180" i="5" s="1"/>
  <c r="K182" i="5"/>
  <c r="N182" i="5" s="1"/>
  <c r="K184" i="5"/>
  <c r="N184" i="5" s="1"/>
  <c r="K186" i="5"/>
  <c r="N186" i="5" s="1"/>
  <c r="K188" i="5"/>
  <c r="N188" i="5" s="1"/>
  <c r="K190" i="5"/>
  <c r="N190" i="5" s="1"/>
  <c r="K192" i="5"/>
  <c r="N192" i="5" s="1"/>
  <c r="N198" i="5"/>
  <c r="K201" i="5"/>
  <c r="N201" i="5" s="1"/>
  <c r="K214" i="5"/>
  <c r="N214" i="5" s="1"/>
  <c r="K238" i="5"/>
  <c r="N238" i="5" s="1"/>
  <c r="I116" i="5" l="1"/>
  <c r="K116" i="5" s="1"/>
  <c r="N116" i="5" s="1"/>
  <c r="I115" i="5"/>
  <c r="K115" i="5" s="1"/>
  <c r="N115" i="5" s="1"/>
  <c r="I114" i="5"/>
  <c r="K114" i="5" s="1"/>
  <c r="N114" i="5" s="1"/>
  <c r="I113" i="5"/>
  <c r="I112" i="5"/>
  <c r="K112" i="5" s="1"/>
  <c r="N112" i="5" s="1"/>
  <c r="I111" i="5"/>
  <c r="K111" i="5" s="1"/>
  <c r="N111" i="5" s="1"/>
  <c r="I110" i="5"/>
  <c r="K110" i="5" s="1"/>
  <c r="N110" i="5" s="1"/>
  <c r="I109" i="5"/>
  <c r="K109" i="5" s="1"/>
  <c r="N109" i="5" s="1"/>
  <c r="I108" i="5"/>
  <c r="K108" i="5" s="1"/>
  <c r="N108" i="5" s="1"/>
  <c r="I107" i="5"/>
  <c r="K107" i="5" s="1"/>
  <c r="N107" i="5" s="1"/>
  <c r="I106" i="5"/>
  <c r="K106" i="5" s="1"/>
  <c r="N106" i="5" s="1"/>
  <c r="I105" i="5"/>
  <c r="K105" i="5" s="1"/>
  <c r="N105" i="5" s="1"/>
  <c r="I104" i="5"/>
  <c r="K104" i="5" s="1"/>
  <c r="N104" i="5" s="1"/>
  <c r="I103" i="5"/>
  <c r="K103" i="5" s="1"/>
  <c r="N103" i="5" s="1"/>
  <c r="I102" i="5"/>
  <c r="K102" i="5" s="1"/>
  <c r="N102" i="5" s="1"/>
  <c r="I101" i="5"/>
  <c r="K101" i="5" s="1"/>
  <c r="N101" i="5" s="1"/>
  <c r="I100" i="5"/>
  <c r="K100" i="5" s="1"/>
  <c r="N100" i="5" s="1"/>
  <c r="I99" i="5"/>
  <c r="J99" i="5" s="1"/>
  <c r="I98" i="5"/>
  <c r="K98" i="5" s="1"/>
  <c r="N98" i="5" s="1"/>
  <c r="I97" i="5"/>
  <c r="K97" i="5" s="1"/>
  <c r="N97" i="5" s="1"/>
  <c r="I96" i="5"/>
  <c r="K96" i="5" s="1"/>
  <c r="N96" i="5" s="1"/>
  <c r="I95" i="5"/>
  <c r="J95" i="5" s="1"/>
  <c r="I94" i="5"/>
  <c r="I93" i="5"/>
  <c r="J93" i="5" s="1"/>
  <c r="I92" i="5"/>
  <c r="I91" i="5"/>
  <c r="J91" i="5" s="1"/>
  <c r="I90" i="5"/>
  <c r="K90" i="5" s="1"/>
  <c r="N90" i="5" s="1"/>
  <c r="I89" i="5"/>
  <c r="K89" i="5" s="1"/>
  <c r="N89" i="5" s="1"/>
  <c r="I88" i="5"/>
  <c r="K88" i="5" s="1"/>
  <c r="N88" i="5" s="1"/>
  <c r="I87" i="5"/>
  <c r="K87" i="5" s="1"/>
  <c r="N87" i="5" s="1"/>
  <c r="L86" i="5"/>
  <c r="I86" i="5"/>
  <c r="K86" i="5" s="1"/>
  <c r="I85" i="5"/>
  <c r="K85" i="5" s="1"/>
  <c r="N85" i="5" s="1"/>
  <c r="I84" i="5"/>
  <c r="K84" i="5" s="1"/>
  <c r="N84" i="5" s="1"/>
  <c r="I83" i="5"/>
  <c r="K83" i="5" s="1"/>
  <c r="N83" i="5" s="1"/>
  <c r="I82" i="5"/>
  <c r="K82" i="5" s="1"/>
  <c r="N82" i="5" s="1"/>
  <c r="I81" i="5"/>
  <c r="K81" i="5" s="1"/>
  <c r="N81" i="5" s="1"/>
  <c r="I80" i="5"/>
  <c r="J80" i="5" s="1"/>
  <c r="I79" i="5"/>
  <c r="J79" i="5" s="1"/>
  <c r="I78" i="5"/>
  <c r="J78" i="5" s="1"/>
  <c r="I77" i="5"/>
  <c r="K77" i="5" s="1"/>
  <c r="N77" i="5" s="1"/>
  <c r="I76" i="5"/>
  <c r="J76" i="5" s="1"/>
  <c r="L75" i="5"/>
  <c r="I75" i="5"/>
  <c r="K75" i="5" s="1"/>
  <c r="I74" i="5"/>
  <c r="K74" i="5" s="1"/>
  <c r="N74" i="5" s="1"/>
  <c r="I73" i="5"/>
  <c r="K73" i="5" s="1"/>
  <c r="N73" i="5" s="1"/>
  <c r="I72" i="5"/>
  <c r="K72" i="5" s="1"/>
  <c r="N72" i="5" s="1"/>
  <c r="I71" i="5"/>
  <c r="J71" i="5" s="1"/>
  <c r="I70" i="5"/>
  <c r="J70" i="5" s="1"/>
  <c r="I69" i="5"/>
  <c r="J69" i="5" s="1"/>
  <c r="I68" i="5"/>
  <c r="J68" i="5" s="1"/>
  <c r="I67" i="5"/>
  <c r="J67" i="5" s="1"/>
  <c r="I66" i="5"/>
  <c r="J66" i="5" s="1"/>
  <c r="I65" i="5"/>
  <c r="J65" i="5" s="1"/>
  <c r="I64" i="5"/>
  <c r="J64" i="5" s="1"/>
  <c r="I63" i="5"/>
  <c r="J63" i="5" s="1"/>
  <c r="I62" i="5"/>
  <c r="J62" i="5" s="1"/>
  <c r="I61" i="5"/>
  <c r="J61" i="5" s="1"/>
  <c r="I60" i="5"/>
  <c r="J60" i="5" s="1"/>
  <c r="I59" i="5"/>
  <c r="K59" i="5" s="1"/>
  <c r="N59" i="5" s="1"/>
  <c r="I58" i="5"/>
  <c r="K58" i="5" s="1"/>
  <c r="N58" i="5" s="1"/>
  <c r="I57" i="5"/>
  <c r="K57" i="5" s="1"/>
  <c r="N57" i="5" s="1"/>
  <c r="I56" i="5"/>
  <c r="I55" i="5"/>
  <c r="K55" i="5" s="1"/>
  <c r="N55" i="5" s="1"/>
  <c r="I54" i="5"/>
  <c r="K54" i="5" s="1"/>
  <c r="N54" i="5" s="1"/>
  <c r="L53" i="5"/>
  <c r="I53" i="5"/>
  <c r="K53" i="5" s="1"/>
  <c r="L52" i="5"/>
  <c r="I52" i="5"/>
  <c r="K52" i="5" s="1"/>
  <c r="I51" i="5"/>
  <c r="K51" i="5" s="1"/>
  <c r="N51" i="5" s="1"/>
  <c r="I50" i="5"/>
  <c r="K50" i="5" s="1"/>
  <c r="N50" i="5" s="1"/>
  <c r="I49" i="5"/>
  <c r="K49" i="5" s="1"/>
  <c r="N49" i="5" s="1"/>
  <c r="I48" i="5"/>
  <c r="K48" i="5" s="1"/>
  <c r="N48" i="5" s="1"/>
  <c r="N53" i="5" l="1"/>
  <c r="N86" i="5"/>
  <c r="N52" i="5"/>
  <c r="N75" i="5"/>
  <c r="K76" i="5"/>
  <c r="N76" i="5" s="1"/>
  <c r="J92" i="5"/>
  <c r="K92" i="5" s="1"/>
  <c r="N92" i="5" s="1"/>
  <c r="J94" i="5"/>
  <c r="K94" i="5" s="1"/>
  <c r="N94" i="5" s="1"/>
  <c r="J56" i="5"/>
  <c r="K56" i="5" s="1"/>
  <c r="N56" i="5" s="1"/>
  <c r="K91" i="5"/>
  <c r="N91" i="5" s="1"/>
  <c r="K93" i="5"/>
  <c r="N93" i="5" s="1"/>
  <c r="K95" i="5"/>
  <c r="N95" i="5" s="1"/>
  <c r="J113" i="5"/>
  <c r="K113" i="5" s="1"/>
  <c r="N113" i="5" s="1"/>
  <c r="K60" i="5"/>
  <c r="N60" i="5" s="1"/>
  <c r="K61" i="5"/>
  <c r="N61" i="5" s="1"/>
  <c r="K62" i="5"/>
  <c r="N62" i="5" s="1"/>
  <c r="K63" i="5"/>
  <c r="N63" i="5" s="1"/>
  <c r="K64" i="5"/>
  <c r="N64" i="5" s="1"/>
  <c r="K65" i="5"/>
  <c r="N65" i="5" s="1"/>
  <c r="K66" i="5"/>
  <c r="N66" i="5" s="1"/>
  <c r="K67" i="5"/>
  <c r="N67" i="5" s="1"/>
  <c r="K68" i="5"/>
  <c r="N68" i="5" s="1"/>
  <c r="K69" i="5"/>
  <c r="N69" i="5" s="1"/>
  <c r="K70" i="5"/>
  <c r="N70" i="5" s="1"/>
  <c r="K71" i="5"/>
  <c r="N71" i="5" s="1"/>
  <c r="K78" i="5"/>
  <c r="N78" i="5" s="1"/>
  <c r="K79" i="5"/>
  <c r="N79" i="5" s="1"/>
  <c r="K80" i="5"/>
  <c r="N80" i="5" s="1"/>
  <c r="K99" i="5"/>
  <c r="N99" i="5" s="1"/>
  <c r="I47" i="5"/>
  <c r="K47" i="5" s="1"/>
  <c r="N47" i="5" s="1"/>
  <c r="I46" i="5"/>
  <c r="K46" i="5" s="1"/>
  <c r="N46" i="5" s="1"/>
  <c r="L45" i="5"/>
  <c r="I45" i="5"/>
  <c r="K45" i="5" s="1"/>
  <c r="N45" i="5" s="1"/>
  <c r="I44" i="5"/>
  <c r="K44" i="5" s="1"/>
  <c r="N44" i="5" s="1"/>
  <c r="I43" i="5"/>
  <c r="K43" i="5" s="1"/>
  <c r="N43" i="5" s="1"/>
  <c r="I42" i="5"/>
  <c r="K42" i="5" s="1"/>
  <c r="N42" i="5" s="1"/>
  <c r="I41" i="5"/>
  <c r="K41" i="5" s="1"/>
  <c r="N41" i="5" s="1"/>
  <c r="I40" i="5"/>
  <c r="K40" i="5" s="1"/>
  <c r="N40" i="5" s="1"/>
  <c r="I39" i="5"/>
  <c r="K39" i="5" s="1"/>
  <c r="N39" i="5" s="1"/>
  <c r="I38" i="5"/>
  <c r="K38" i="5" s="1"/>
  <c r="N38" i="5" s="1"/>
  <c r="I37" i="5"/>
  <c r="K37" i="5" s="1"/>
  <c r="N37" i="5" s="1"/>
  <c r="I36" i="5"/>
  <c r="K36" i="5" s="1"/>
  <c r="N36" i="5" s="1"/>
  <c r="K35" i="5"/>
  <c r="N35" i="5" s="1"/>
  <c r="I35" i="5"/>
  <c r="H35" i="5"/>
  <c r="K34" i="5"/>
  <c r="N34" i="5" s="1"/>
  <c r="I34" i="5"/>
  <c r="H34" i="5"/>
  <c r="K33" i="5"/>
  <c r="N33" i="5" s="1"/>
  <c r="I33" i="5"/>
  <c r="H33" i="5"/>
  <c r="N32" i="5"/>
  <c r="I31" i="5"/>
  <c r="K31" i="5" s="1"/>
  <c r="N31" i="5" s="1"/>
  <c r="I30" i="5"/>
  <c r="K30" i="5" s="1"/>
  <c r="N30" i="5" s="1"/>
  <c r="I29" i="5"/>
  <c r="K29" i="5" s="1"/>
  <c r="N29" i="5" s="1"/>
  <c r="I28" i="5"/>
  <c r="K28" i="5" s="1"/>
  <c r="N28" i="5" s="1"/>
  <c r="I27" i="5"/>
  <c r="K27" i="5" s="1"/>
  <c r="N27" i="5" s="1"/>
  <c r="I26" i="5"/>
  <c r="K26" i="5" s="1"/>
  <c r="N26" i="5" s="1"/>
  <c r="I25" i="5"/>
  <c r="I24" i="5"/>
  <c r="K24" i="5" s="1"/>
  <c r="N24" i="5" s="1"/>
  <c r="I23" i="5"/>
  <c r="K23" i="5" s="1"/>
  <c r="N23" i="5" s="1"/>
  <c r="I22" i="5"/>
  <c r="K22" i="5" s="1"/>
  <c r="N22" i="5" s="1"/>
  <c r="I21" i="5"/>
  <c r="K21" i="5" s="1"/>
  <c r="N21" i="5" s="1"/>
  <c r="I20" i="5"/>
  <c r="K20" i="5" s="1"/>
  <c r="N20" i="5" s="1"/>
  <c r="I19" i="5"/>
  <c r="K19" i="5" s="1"/>
  <c r="N19" i="5" s="1"/>
  <c r="I18" i="5"/>
  <c r="K18" i="5" s="1"/>
  <c r="N18" i="5" s="1"/>
  <c r="I17" i="5"/>
  <c r="K17" i="5" s="1"/>
  <c r="N17" i="5" s="1"/>
  <c r="I16" i="5"/>
  <c r="K16" i="5" s="1"/>
  <c r="N16" i="5" s="1"/>
  <c r="I15" i="5"/>
  <c r="K15" i="5" s="1"/>
  <c r="N15" i="5" s="1"/>
  <c r="L14" i="5"/>
  <c r="I14" i="5"/>
  <c r="K14" i="5" s="1"/>
  <c r="L13" i="5"/>
  <c r="I13" i="5"/>
  <c r="K13" i="5" s="1"/>
  <c r="N13" i="5" s="1"/>
  <c r="I12" i="5"/>
  <c r="K12" i="5" s="1"/>
  <c r="N12" i="5" s="1"/>
  <c r="I11" i="5"/>
  <c r="K11" i="5" s="1"/>
  <c r="N11" i="5" s="1"/>
  <c r="I10" i="5"/>
  <c r="K10" i="5" s="1"/>
  <c r="N10" i="5" s="1"/>
  <c r="I9" i="5"/>
  <c r="K9" i="5" s="1"/>
  <c r="N9" i="5" s="1"/>
  <c r="I8" i="5"/>
  <c r="K8" i="5" s="1"/>
  <c r="N8" i="5" s="1"/>
  <c r="I7" i="5"/>
  <c r="K7" i="5" s="1"/>
  <c r="N7" i="5" s="1"/>
  <c r="I6" i="5"/>
  <c r="K6" i="5" s="1"/>
  <c r="N6" i="5" s="1"/>
  <c r="L5" i="5"/>
  <c r="I5" i="5"/>
  <c r="K5" i="5" s="1"/>
  <c r="I4" i="5"/>
  <c r="K4" i="5" s="1"/>
  <c r="N4" i="5" s="1"/>
  <c r="I3" i="5"/>
  <c r="K3" i="5" s="1"/>
  <c r="N3" i="5" s="1"/>
  <c r="I2" i="5"/>
  <c r="K2" i="5" s="1"/>
  <c r="I2" i="1"/>
  <c r="K2" i="1" s="1"/>
  <c r="I3" i="1"/>
  <c r="K3" i="1" s="1"/>
  <c r="N3" i="1" s="1"/>
  <c r="I4" i="1"/>
  <c r="K4" i="1" s="1"/>
  <c r="L4" i="1"/>
  <c r="I5" i="1"/>
  <c r="K5" i="1" s="1"/>
  <c r="N5" i="1" s="1"/>
  <c r="I6" i="1"/>
  <c r="K6" i="1" s="1"/>
  <c r="N6" i="1" s="1"/>
  <c r="I7" i="1"/>
  <c r="K7" i="1" s="1"/>
  <c r="L7" i="1"/>
  <c r="I8" i="1"/>
  <c r="K8" i="1" s="1"/>
  <c r="N8" i="1" s="1"/>
  <c r="I9" i="1"/>
  <c r="K9" i="1" s="1"/>
  <c r="N9" i="1" s="1"/>
  <c r="I10" i="1"/>
  <c r="K10" i="1" s="1"/>
  <c r="N10" i="1" s="1"/>
  <c r="I11" i="1"/>
  <c r="K11" i="1" s="1"/>
  <c r="N11" i="1" s="1"/>
  <c r="I12" i="1"/>
  <c r="K12" i="1" s="1"/>
  <c r="L12" i="1"/>
  <c r="I13" i="1"/>
  <c r="K13" i="1" s="1"/>
  <c r="N13" i="1" s="1"/>
  <c r="I14" i="1"/>
  <c r="K14" i="1" s="1"/>
  <c r="L14" i="1"/>
  <c r="I15" i="1"/>
  <c r="K15" i="1" s="1"/>
  <c r="L15" i="1"/>
  <c r="I16" i="1"/>
  <c r="K16" i="1" s="1"/>
  <c r="N16" i="1" s="1"/>
  <c r="I17" i="1"/>
  <c r="K17" i="1" s="1"/>
  <c r="L17" i="1"/>
  <c r="I18" i="1"/>
  <c r="K18" i="1" s="1"/>
  <c r="L18" i="1"/>
  <c r="I19" i="1"/>
  <c r="K19" i="1" s="1"/>
  <c r="N19" i="1" s="1"/>
  <c r="I20" i="1"/>
  <c r="K20" i="1" s="1"/>
  <c r="N20" i="1" s="1"/>
  <c r="I21" i="1"/>
  <c r="K21" i="1" s="1"/>
  <c r="L21" i="1"/>
  <c r="I22" i="1"/>
  <c r="K22" i="1" s="1"/>
  <c r="N22" i="1" s="1"/>
  <c r="I23" i="1"/>
  <c r="K23" i="1" s="1"/>
  <c r="N23" i="1" s="1"/>
  <c r="I24" i="1"/>
  <c r="J24" i="1" s="1"/>
  <c r="K24" i="1" s="1"/>
  <c r="N24" i="1" s="1"/>
  <c r="I25" i="1"/>
  <c r="K25" i="1" s="1"/>
  <c r="N25" i="1" s="1"/>
  <c r="I26" i="1"/>
  <c r="K26" i="1" s="1"/>
  <c r="N26" i="1" s="1"/>
  <c r="I27" i="1"/>
  <c r="K27" i="1" s="1"/>
  <c r="N27" i="1" s="1"/>
  <c r="I28" i="1"/>
  <c r="K28" i="1" s="1"/>
  <c r="N28" i="1" s="1"/>
  <c r="I29" i="1"/>
  <c r="K29" i="1" s="1"/>
  <c r="L29" i="1"/>
  <c r="I30" i="1"/>
  <c r="K30" i="1" s="1"/>
  <c r="N30" i="1" s="1"/>
  <c r="I31" i="1"/>
  <c r="K31" i="1" s="1"/>
  <c r="L31" i="1"/>
  <c r="I32" i="1"/>
  <c r="K32" i="1" s="1"/>
  <c r="N32" i="1" s="1"/>
  <c r="I33" i="1"/>
  <c r="K33" i="1" s="1"/>
  <c r="L33" i="1"/>
  <c r="I34" i="1"/>
  <c r="K34" i="1" s="1"/>
  <c r="L34" i="1"/>
  <c r="I35" i="1"/>
  <c r="K35" i="1" s="1"/>
  <c r="N35" i="1" s="1"/>
  <c r="I36" i="1"/>
  <c r="K36" i="1" s="1"/>
  <c r="N36" i="1" s="1"/>
  <c r="I37" i="1"/>
  <c r="K37" i="1" s="1"/>
  <c r="N37" i="1" s="1"/>
  <c r="I38" i="1"/>
  <c r="K38" i="1" s="1"/>
  <c r="L38" i="1"/>
  <c r="I39" i="1"/>
  <c r="K39" i="1" s="1"/>
  <c r="N39" i="1" s="1"/>
  <c r="I40" i="1"/>
  <c r="K40" i="1" s="1"/>
  <c r="N40" i="1" s="1"/>
  <c r="I41" i="1"/>
  <c r="K41" i="1" s="1"/>
  <c r="N41" i="1" s="1"/>
  <c r="I42" i="1"/>
  <c r="K42" i="1" s="1"/>
  <c r="N42" i="1" s="1"/>
  <c r="I43" i="1"/>
  <c r="J43" i="1" s="1"/>
  <c r="K43" i="1" s="1"/>
  <c r="N43" i="1" s="1"/>
  <c r="I44" i="1"/>
  <c r="J44" i="1" s="1"/>
  <c r="K44" i="1" s="1"/>
  <c r="N44" i="1" s="1"/>
  <c r="I45" i="1"/>
  <c r="J45" i="1" s="1"/>
  <c r="K45" i="1" s="1"/>
  <c r="N45" i="1" s="1"/>
  <c r="I46" i="1"/>
  <c r="K46" i="1" s="1"/>
  <c r="N46" i="1" s="1"/>
  <c r="I47" i="1"/>
  <c r="K47" i="1" s="1"/>
  <c r="N47" i="1" s="1"/>
  <c r="I48" i="1"/>
  <c r="K48" i="1" s="1"/>
  <c r="N48" i="1" s="1"/>
  <c r="I49" i="1"/>
  <c r="K49" i="1" s="1"/>
  <c r="N49" i="1" s="1"/>
  <c r="I50" i="1"/>
  <c r="K50" i="1" s="1"/>
  <c r="N50" i="1" s="1"/>
  <c r="I51" i="1"/>
  <c r="K51" i="1" s="1"/>
  <c r="N51" i="1" s="1"/>
  <c r="I52" i="1"/>
  <c r="K52" i="1" s="1"/>
  <c r="N52" i="1" s="1"/>
  <c r="I53" i="1"/>
  <c r="K53" i="1" s="1"/>
  <c r="N53" i="1" s="1"/>
  <c r="I54" i="1"/>
  <c r="K54" i="1" s="1"/>
  <c r="N54" i="1" s="1"/>
  <c r="I55" i="1"/>
  <c r="K55" i="1" s="1"/>
  <c r="L55" i="1"/>
  <c r="I56" i="1"/>
  <c r="K56" i="1" s="1"/>
  <c r="N56" i="1" s="1"/>
  <c r="I57" i="1"/>
  <c r="K57" i="1" s="1"/>
  <c r="L57" i="1"/>
  <c r="I58" i="1"/>
  <c r="K58" i="1" s="1"/>
  <c r="L58" i="1"/>
  <c r="I59" i="1"/>
  <c r="J59" i="1" s="1"/>
  <c r="I60" i="1"/>
  <c r="J60" i="1" s="1"/>
  <c r="I61" i="1"/>
  <c r="J61" i="1" s="1"/>
  <c r="I62" i="1"/>
  <c r="J62" i="1" s="1"/>
  <c r="I63" i="1"/>
  <c r="J63" i="1" s="1"/>
  <c r="I64" i="1"/>
  <c r="J64" i="1" s="1"/>
  <c r="I65" i="1"/>
  <c r="J65" i="1" s="1"/>
  <c r="I66" i="1"/>
  <c r="K66" i="1" s="1"/>
  <c r="L66" i="1"/>
  <c r="I67" i="1"/>
  <c r="K67" i="1" s="1"/>
  <c r="N67" i="1" s="1"/>
  <c r="I68" i="1"/>
  <c r="K68" i="1" s="1"/>
  <c r="N68" i="1" s="1"/>
  <c r="I69" i="1"/>
  <c r="K69" i="1" s="1"/>
  <c r="N69" i="1" s="1"/>
  <c r="I70" i="1"/>
  <c r="J70" i="1"/>
  <c r="K70" i="1" s="1"/>
  <c r="N70" i="1" s="1"/>
  <c r="I71" i="1"/>
  <c r="J71" i="1" s="1"/>
  <c r="K71" i="1" s="1"/>
  <c r="N71" i="1" s="1"/>
  <c r="I72" i="1"/>
  <c r="K72" i="1" s="1"/>
  <c r="N72" i="1" s="1"/>
  <c r="I73" i="1"/>
  <c r="K73" i="1" s="1"/>
  <c r="N73" i="1" s="1"/>
  <c r="I74" i="1"/>
  <c r="J74" i="1" s="1"/>
  <c r="K74" i="1" s="1"/>
  <c r="N74" i="1" s="1"/>
  <c r="I75" i="1"/>
  <c r="K75" i="1" s="1"/>
  <c r="N75" i="1" s="1"/>
  <c r="I76" i="1"/>
  <c r="K76" i="1" s="1"/>
  <c r="N76" i="1" s="1"/>
  <c r="I77" i="1"/>
  <c r="K77" i="1" s="1"/>
  <c r="L77" i="1"/>
  <c r="I78" i="1"/>
  <c r="K78" i="1" s="1"/>
  <c r="N78" i="1" s="1"/>
  <c r="I79" i="1"/>
  <c r="K79" i="1" s="1"/>
  <c r="N79" i="1" s="1"/>
  <c r="I80" i="1"/>
  <c r="J80" i="1" s="1"/>
  <c r="K80" i="1" s="1"/>
  <c r="N80" i="1" s="1"/>
  <c r="I81" i="1"/>
  <c r="J81" i="1" s="1"/>
  <c r="K81" i="1" s="1"/>
  <c r="N81" i="1" s="1"/>
  <c r="I82" i="1"/>
  <c r="J82" i="1" s="1"/>
  <c r="K82" i="1" s="1"/>
  <c r="N82" i="1" s="1"/>
  <c r="I83" i="1"/>
  <c r="K83" i="1" s="1"/>
  <c r="N83" i="1" s="1"/>
  <c r="I84" i="1"/>
  <c r="J84" i="1" s="1"/>
  <c r="K84" i="1" s="1"/>
  <c r="N84" i="1" s="1"/>
  <c r="I85" i="1"/>
  <c r="J85" i="1" s="1"/>
  <c r="K85" i="1" s="1"/>
  <c r="N85" i="1" s="1"/>
  <c r="I86" i="1"/>
  <c r="J86" i="1" s="1"/>
  <c r="K86" i="1" s="1"/>
  <c r="N86" i="1" s="1"/>
  <c r="I87" i="1"/>
  <c r="K87" i="1" s="1"/>
  <c r="N87" i="1" s="1"/>
  <c r="I88" i="1"/>
  <c r="K88" i="1" s="1"/>
  <c r="N88" i="1" s="1"/>
  <c r="I89" i="1"/>
  <c r="K89" i="1" s="1"/>
  <c r="N89" i="1" s="1"/>
  <c r="I90" i="1"/>
  <c r="K90" i="1" s="1"/>
  <c r="N90" i="1" s="1"/>
  <c r="I91" i="1"/>
  <c r="J91" i="1" s="1"/>
  <c r="K91" i="1" s="1"/>
  <c r="N91" i="1" s="1"/>
  <c r="I92" i="1"/>
  <c r="K92" i="1" s="1"/>
  <c r="L92" i="1"/>
  <c r="I93" i="1"/>
  <c r="K93" i="1" s="1"/>
  <c r="N93" i="1" s="1"/>
  <c r="I94" i="1"/>
  <c r="J94" i="1" s="1"/>
  <c r="K94" i="1" s="1"/>
  <c r="N94" i="1" s="1"/>
  <c r="I95" i="1"/>
  <c r="K95" i="1" s="1"/>
  <c r="N95" i="1" s="1"/>
  <c r="I96" i="1"/>
  <c r="K96" i="1" s="1"/>
  <c r="N96" i="1" s="1"/>
  <c r="I97" i="1"/>
  <c r="J97" i="1" s="1"/>
  <c r="K97" i="1" s="1"/>
  <c r="N97" i="1" s="1"/>
  <c r="I98" i="1"/>
  <c r="J98" i="1" s="1"/>
  <c r="K98" i="1" s="1"/>
  <c r="N98" i="1" s="1"/>
  <c r="I99" i="1"/>
  <c r="K99" i="1" s="1"/>
  <c r="N99" i="1" s="1"/>
  <c r="I100" i="1"/>
  <c r="K100" i="1" s="1"/>
  <c r="N100" i="1" s="1"/>
  <c r="I101" i="1"/>
  <c r="J101" i="1" s="1"/>
  <c r="K101" i="1" s="1"/>
  <c r="N101" i="1" s="1"/>
  <c r="I102" i="1"/>
  <c r="J102" i="1" s="1"/>
  <c r="K102" i="1" s="1"/>
  <c r="N102" i="1" s="1"/>
  <c r="I103" i="1"/>
  <c r="J103" i="1" s="1"/>
  <c r="K103" i="1" s="1"/>
  <c r="N103" i="1" s="1"/>
  <c r="I104" i="1"/>
  <c r="J104" i="1" s="1"/>
  <c r="K104" i="1" s="1"/>
  <c r="N104" i="1" s="1"/>
  <c r="I105" i="1"/>
  <c r="J105" i="1" s="1"/>
  <c r="K105" i="1" s="1"/>
  <c r="N105" i="1" s="1"/>
  <c r="I106" i="1"/>
  <c r="J106" i="1" s="1"/>
  <c r="K106" i="1" s="1"/>
  <c r="N106" i="1" s="1"/>
  <c r="I107" i="1"/>
  <c r="J107" i="1" s="1"/>
  <c r="K107" i="1" s="1"/>
  <c r="N107" i="1" s="1"/>
  <c r="I108" i="1"/>
  <c r="J108" i="1" s="1"/>
  <c r="K108" i="1" s="1"/>
  <c r="N108" i="1" s="1"/>
  <c r="I109" i="1"/>
  <c r="J109" i="1" s="1"/>
  <c r="K109" i="1" s="1"/>
  <c r="N109" i="1" s="1"/>
  <c r="I110" i="1"/>
  <c r="J110" i="1" s="1"/>
  <c r="K110" i="1" s="1"/>
  <c r="N110" i="1" s="1"/>
  <c r="I111" i="1"/>
  <c r="J111" i="1" s="1"/>
  <c r="K111" i="1" s="1"/>
  <c r="N111" i="1" s="1"/>
  <c r="I112" i="1"/>
  <c r="J112" i="1" s="1"/>
  <c r="K112" i="1" s="1"/>
  <c r="N112" i="1" s="1"/>
  <c r="I113" i="1"/>
  <c r="K113" i="1" s="1"/>
  <c r="N113" i="1" s="1"/>
  <c r="I114" i="1"/>
  <c r="K114" i="1" s="1"/>
  <c r="N114" i="1" s="1"/>
  <c r="I115" i="1"/>
  <c r="K115" i="1" s="1"/>
  <c r="L115" i="1"/>
  <c r="I116" i="1"/>
  <c r="J116" i="1" s="1"/>
  <c r="K116" i="1" s="1"/>
  <c r="N116" i="1" s="1"/>
  <c r="I117" i="1"/>
  <c r="K117" i="1" s="1"/>
  <c r="N117" i="1" s="1"/>
  <c r="I118" i="1"/>
  <c r="J118" i="1" s="1"/>
  <c r="K118" i="1" s="1"/>
  <c r="N118" i="1" s="1"/>
  <c r="I119" i="1"/>
  <c r="K119" i="1" s="1"/>
  <c r="N119" i="1" s="1"/>
  <c r="I120" i="1"/>
  <c r="J120" i="1" s="1"/>
  <c r="K120" i="1" s="1"/>
  <c r="N120" i="1" s="1"/>
  <c r="I121" i="1"/>
  <c r="J121" i="1" s="1"/>
  <c r="K121" i="1" s="1"/>
  <c r="N121" i="1" s="1"/>
  <c r="I122" i="1"/>
  <c r="J122" i="1" s="1"/>
  <c r="K122" i="1" s="1"/>
  <c r="N122" i="1" s="1"/>
  <c r="I123" i="1"/>
  <c r="K123" i="1" s="1"/>
  <c r="N123" i="1" s="1"/>
  <c r="I124" i="1"/>
  <c r="K124" i="1" s="1"/>
  <c r="N124" i="1" s="1"/>
  <c r="I125" i="1"/>
  <c r="J125" i="1" s="1"/>
  <c r="K125" i="1" s="1"/>
  <c r="N125" i="1" s="1"/>
  <c r="I126" i="1"/>
  <c r="K126" i="1" s="1"/>
  <c r="N126" i="1" s="1"/>
  <c r="I127" i="1"/>
  <c r="J127" i="1" s="1"/>
  <c r="K127" i="1" s="1"/>
  <c r="N127" i="1" s="1"/>
  <c r="I128" i="1"/>
  <c r="J128" i="1" s="1"/>
  <c r="K128" i="1" s="1"/>
  <c r="N128" i="1" s="1"/>
  <c r="I129" i="1"/>
  <c r="J129" i="1" s="1"/>
  <c r="K129" i="1" s="1"/>
  <c r="N129" i="1" s="1"/>
  <c r="I130" i="1"/>
  <c r="J130" i="1" s="1"/>
  <c r="K130" i="1" s="1"/>
  <c r="N130" i="1" s="1"/>
  <c r="I131" i="1"/>
  <c r="J131" i="1" s="1"/>
  <c r="K131" i="1" s="1"/>
  <c r="N131" i="1" s="1"/>
  <c r="I132" i="1"/>
  <c r="J132" i="1" s="1"/>
  <c r="K132" i="1" s="1"/>
  <c r="N132" i="1" s="1"/>
  <c r="I133" i="1"/>
  <c r="J133" i="1" s="1"/>
  <c r="K133" i="1" s="1"/>
  <c r="N133" i="1" s="1"/>
  <c r="I134" i="1"/>
  <c r="J134" i="1" s="1"/>
  <c r="K134" i="1" s="1"/>
  <c r="N134" i="1" s="1"/>
  <c r="I135" i="1"/>
  <c r="J135" i="1" s="1"/>
  <c r="K135" i="1" s="1"/>
  <c r="N135" i="1" s="1"/>
  <c r="I136" i="1"/>
  <c r="J136" i="1" s="1"/>
  <c r="K136" i="1" s="1"/>
  <c r="N136" i="1" s="1"/>
  <c r="I137" i="1"/>
  <c r="J137" i="1" s="1"/>
  <c r="K137" i="1" s="1"/>
  <c r="N137" i="1" s="1"/>
  <c r="I138" i="1"/>
  <c r="J138" i="1" s="1"/>
  <c r="K138" i="1" s="1"/>
  <c r="N138" i="1" s="1"/>
  <c r="I139" i="1"/>
  <c r="K139" i="1" s="1"/>
  <c r="N139" i="1" s="1"/>
  <c r="I140" i="1"/>
  <c r="J140" i="1" s="1"/>
  <c r="K140" i="1" s="1"/>
  <c r="L140" i="1"/>
  <c r="I141" i="1"/>
  <c r="K141" i="1" s="1"/>
  <c r="N141" i="1" s="1"/>
  <c r="I142" i="1"/>
  <c r="K142" i="1" s="1"/>
  <c r="N142" i="1" s="1"/>
  <c r="I143" i="1"/>
  <c r="K143" i="1" s="1"/>
  <c r="N143" i="1" s="1"/>
  <c r="I144" i="1"/>
  <c r="K144" i="1" s="1"/>
  <c r="N144" i="1" s="1"/>
  <c r="I145" i="1"/>
  <c r="J145" i="1" s="1"/>
  <c r="K145" i="1" s="1"/>
  <c r="N145" i="1" s="1"/>
  <c r="I146" i="1"/>
  <c r="K146" i="1" s="1"/>
  <c r="N146" i="1" s="1"/>
  <c r="I147" i="1"/>
  <c r="K147" i="1" s="1"/>
  <c r="N147" i="1" s="1"/>
  <c r="I148" i="1"/>
  <c r="K148" i="1" s="1"/>
  <c r="N148" i="1" s="1"/>
  <c r="I149" i="1"/>
  <c r="K149" i="1" s="1"/>
  <c r="N149" i="1" s="1"/>
  <c r="I150" i="1"/>
  <c r="K150" i="1" s="1"/>
  <c r="L150" i="1"/>
  <c r="I151" i="1"/>
  <c r="K151" i="1" s="1"/>
  <c r="N151" i="1" s="1"/>
  <c r="I152" i="1"/>
  <c r="K152" i="1" s="1"/>
  <c r="L152" i="1"/>
  <c r="I153" i="1"/>
  <c r="K153" i="1" s="1"/>
  <c r="N153" i="1" s="1"/>
  <c r="I154" i="1"/>
  <c r="K154" i="1" s="1"/>
  <c r="L154" i="1"/>
  <c r="I155" i="1"/>
  <c r="K155" i="1" s="1"/>
  <c r="N155" i="1" s="1"/>
  <c r="I156" i="1"/>
  <c r="K156" i="1" s="1"/>
  <c r="L156" i="1"/>
  <c r="I157" i="1"/>
  <c r="K157" i="1" s="1"/>
  <c r="L157" i="1"/>
  <c r="I158" i="1"/>
  <c r="K158" i="1" s="1"/>
  <c r="N158" i="1" s="1"/>
  <c r="I159" i="1"/>
  <c r="K159" i="1" s="1"/>
  <c r="N159" i="1" s="1"/>
  <c r="I160" i="1"/>
  <c r="K160" i="1" s="1"/>
  <c r="N160" i="1" s="1"/>
  <c r="I161" i="1"/>
  <c r="K161" i="1" s="1"/>
  <c r="N161" i="1" s="1"/>
  <c r="I162" i="1"/>
  <c r="K162" i="1" s="1"/>
  <c r="N162" i="1" s="1"/>
  <c r="I163" i="1"/>
  <c r="K163" i="1" s="1"/>
  <c r="N163" i="1" s="1"/>
  <c r="I164" i="1"/>
  <c r="K164" i="1" s="1"/>
  <c r="N164" i="1" s="1"/>
  <c r="I165" i="1"/>
  <c r="K165" i="1" s="1"/>
  <c r="N165" i="1" s="1"/>
  <c r="I166" i="1"/>
  <c r="K166" i="1" s="1"/>
  <c r="N166" i="1" s="1"/>
  <c r="I167" i="1"/>
  <c r="K167" i="1" s="1"/>
  <c r="N167" i="1" s="1"/>
  <c r="I168" i="1"/>
  <c r="K168" i="1" s="1"/>
  <c r="L168" i="1"/>
  <c r="I169" i="1"/>
  <c r="K169" i="1" s="1"/>
  <c r="N169" i="1" s="1"/>
  <c r="I170" i="1"/>
  <c r="K170" i="1" s="1"/>
  <c r="N170" i="1" s="1"/>
  <c r="I171" i="1"/>
  <c r="K171" i="1" s="1"/>
  <c r="N171" i="1" s="1"/>
  <c r="I172" i="1"/>
  <c r="K172" i="1" s="1"/>
  <c r="N172" i="1" s="1"/>
  <c r="I173" i="1"/>
  <c r="K173" i="1" s="1"/>
  <c r="N173" i="1" s="1"/>
  <c r="I174" i="1"/>
  <c r="K174" i="1" s="1"/>
  <c r="N174" i="1" s="1"/>
  <c r="I175" i="1"/>
  <c r="K175" i="1" s="1"/>
  <c r="N175" i="1" s="1"/>
  <c r="I176" i="1"/>
  <c r="K176" i="1" s="1"/>
  <c r="N176" i="1" s="1"/>
  <c r="I177" i="1"/>
  <c r="K177" i="1" s="1"/>
  <c r="N177" i="1" s="1"/>
  <c r="I178" i="1"/>
  <c r="K178" i="1" s="1"/>
  <c r="N178" i="1" s="1"/>
  <c r="I179" i="1"/>
  <c r="K179" i="1" s="1"/>
  <c r="L179" i="1"/>
  <c r="I180" i="1"/>
  <c r="K180" i="1" s="1"/>
  <c r="N180" i="1" s="1"/>
  <c r="I181" i="1"/>
  <c r="K181" i="1" s="1"/>
  <c r="N181" i="1" s="1"/>
  <c r="I182" i="1"/>
  <c r="K182" i="1" s="1"/>
  <c r="N182" i="1" s="1"/>
  <c r="I183" i="1"/>
  <c r="K183" i="1" s="1"/>
  <c r="N183" i="1" s="1"/>
  <c r="I184" i="1"/>
  <c r="K184" i="1" s="1"/>
  <c r="N184" i="1" s="1"/>
  <c r="I185" i="1"/>
  <c r="K185" i="1" s="1"/>
  <c r="N185" i="1" s="1"/>
  <c r="I186" i="1"/>
  <c r="K186" i="1" s="1"/>
  <c r="N186" i="1" s="1"/>
  <c r="I187" i="1"/>
  <c r="K187" i="1" s="1"/>
  <c r="N187" i="1" s="1"/>
  <c r="I188" i="1"/>
  <c r="K188" i="1" s="1"/>
  <c r="N188" i="1" s="1"/>
  <c r="I189" i="1"/>
  <c r="K189" i="1" s="1"/>
  <c r="N189" i="1" s="1"/>
  <c r="I190" i="1"/>
  <c r="K190" i="1" s="1"/>
  <c r="N190" i="1" s="1"/>
  <c r="I191" i="1"/>
  <c r="K191" i="1" s="1"/>
  <c r="N191" i="1" s="1"/>
  <c r="I192" i="1"/>
  <c r="K192" i="1" s="1"/>
  <c r="N192" i="1" s="1"/>
  <c r="I193" i="1"/>
  <c r="K193" i="1" s="1"/>
  <c r="N193" i="1" s="1"/>
  <c r="I194" i="1"/>
  <c r="K194" i="1" s="1"/>
  <c r="N194" i="1" s="1"/>
  <c r="I195" i="1"/>
  <c r="K195" i="1" s="1"/>
  <c r="N195" i="1" s="1"/>
  <c r="I196" i="1"/>
  <c r="K196" i="1" s="1"/>
  <c r="N196" i="1" s="1"/>
  <c r="I197" i="1"/>
  <c r="K197" i="1" s="1"/>
  <c r="N197" i="1" s="1"/>
  <c r="I198" i="1"/>
  <c r="K198" i="1" s="1"/>
  <c r="N198" i="1" s="1"/>
  <c r="I199" i="1"/>
  <c r="K199" i="1" s="1"/>
  <c r="N199" i="1" s="1"/>
  <c r="I200" i="1"/>
  <c r="J200" i="1" s="1"/>
  <c r="K200" i="1" s="1"/>
  <c r="N200" i="1" s="1"/>
  <c r="I201" i="1"/>
  <c r="K201" i="1" s="1"/>
  <c r="N201" i="1" s="1"/>
  <c r="I202" i="1"/>
  <c r="K202" i="1" s="1"/>
  <c r="N202" i="1" s="1"/>
  <c r="I203" i="1"/>
  <c r="K203" i="1" s="1"/>
  <c r="N203" i="1" s="1"/>
  <c r="I204" i="1"/>
  <c r="K204" i="1" s="1"/>
  <c r="N204" i="1" s="1"/>
  <c r="I205" i="1"/>
  <c r="K205" i="1" s="1"/>
  <c r="N205" i="1" s="1"/>
  <c r="I206" i="1"/>
  <c r="K206" i="1" s="1"/>
  <c r="N206" i="1" s="1"/>
  <c r="I207" i="1"/>
  <c r="K207" i="1" s="1"/>
  <c r="N207" i="1" s="1"/>
  <c r="I208" i="1"/>
  <c r="K208" i="1" s="1"/>
  <c r="N208" i="1" s="1"/>
  <c r="I209" i="1"/>
  <c r="K209" i="1" s="1"/>
  <c r="N209" i="1" s="1"/>
  <c r="I210" i="1"/>
  <c r="K210" i="1" s="1"/>
  <c r="N210" i="1" s="1"/>
  <c r="I211" i="1"/>
  <c r="K211" i="1" s="1"/>
  <c r="N211" i="1" s="1"/>
  <c r="L211" i="1"/>
  <c r="I212" i="1"/>
  <c r="J212" i="1" s="1"/>
  <c r="K212" i="1" s="1"/>
  <c r="N212" i="1" s="1"/>
  <c r="I213" i="1"/>
  <c r="K213" i="1" s="1"/>
  <c r="N213" i="1" s="1"/>
  <c r="I214" i="1"/>
  <c r="K214" i="1" s="1"/>
  <c r="N214" i="1" s="1"/>
  <c r="I215" i="1"/>
  <c r="K215" i="1" s="1"/>
  <c r="N215" i="1" s="1"/>
  <c r="I216" i="1"/>
  <c r="K216" i="1" s="1"/>
  <c r="N216" i="1" s="1"/>
  <c r="I217" i="1"/>
  <c r="K217" i="1" s="1"/>
  <c r="N217" i="1" s="1"/>
  <c r="H218" i="1"/>
  <c r="I218" i="1"/>
  <c r="K218" i="1"/>
  <c r="N218" i="1"/>
  <c r="I219" i="1"/>
  <c r="J219" i="1" s="1"/>
  <c r="I220" i="1"/>
  <c r="K220" i="1" s="1"/>
  <c r="N220" i="1" s="1"/>
  <c r="I221" i="1"/>
  <c r="K221" i="1" s="1"/>
  <c r="L221" i="1"/>
  <c r="I222" i="1"/>
  <c r="K222" i="1" s="1"/>
  <c r="N222" i="1" s="1"/>
  <c r="N21" i="1" l="1"/>
  <c r="N154" i="1"/>
  <c r="N33" i="1"/>
  <c r="N156" i="1"/>
  <c r="N140" i="1"/>
  <c r="N38" i="1"/>
  <c r="N7" i="1"/>
  <c r="N4" i="1"/>
  <c r="N179" i="1"/>
  <c r="N168" i="1"/>
  <c r="N157" i="1"/>
  <c r="N34" i="1"/>
  <c r="N29" i="1"/>
  <c r="N17" i="1"/>
  <c r="N12" i="1"/>
  <c r="N221" i="1"/>
  <c r="N115" i="1"/>
  <c r="N77" i="1"/>
  <c r="N55" i="1"/>
  <c r="K62" i="1"/>
  <c r="N62" i="1" s="1"/>
  <c r="K60" i="1"/>
  <c r="N60" i="1" s="1"/>
  <c r="K64" i="1"/>
  <c r="N64" i="1" s="1"/>
  <c r="N2" i="1"/>
  <c r="N31" i="1"/>
  <c r="N18" i="1"/>
  <c r="K65" i="1"/>
  <c r="N65" i="1" s="1"/>
  <c r="K63" i="1"/>
  <c r="N63" i="1" s="1"/>
  <c r="K61" i="1"/>
  <c r="N61" i="1" s="1"/>
  <c r="K59" i="1"/>
  <c r="N59" i="1" s="1"/>
  <c r="N2" i="5"/>
  <c r="N152" i="1"/>
  <c r="N14" i="5"/>
  <c r="N92" i="1"/>
  <c r="N15" i="1"/>
  <c r="J25" i="5"/>
  <c r="K25" i="5" s="1"/>
  <c r="N25" i="5" s="1"/>
  <c r="K219" i="1"/>
  <c r="N219" i="1" s="1"/>
  <c r="N150" i="1"/>
  <c r="N14" i="1"/>
  <c r="N5" i="5"/>
  <c r="N66" i="1"/>
  <c r="N58" i="1"/>
  <c r="N57" i="1"/>
  <c r="K223" i="1" l="1"/>
  <c r="K419" i="5"/>
</calcChain>
</file>

<file path=xl/sharedStrings.xml><?xml version="1.0" encoding="utf-8"?>
<sst xmlns="http://schemas.openxmlformats.org/spreadsheetml/2006/main" count="31530" uniqueCount="9459">
  <si>
    <t>Tgl Order</t>
  </si>
  <si>
    <t>Pemesanan</t>
  </si>
  <si>
    <t>Nama</t>
  </si>
  <si>
    <t xml:space="preserve">Alamat </t>
  </si>
  <si>
    <t xml:space="preserve">judul buku </t>
  </si>
  <si>
    <t>Pengarang</t>
  </si>
  <si>
    <t xml:space="preserve">harga satuan </t>
  </si>
  <si>
    <t>harga</t>
  </si>
  <si>
    <t>jumlah penjualan</t>
  </si>
  <si>
    <t>discount</t>
  </si>
  <si>
    <t>harga setelah diskon</t>
  </si>
  <si>
    <t>ongkos kirim</t>
  </si>
  <si>
    <t>Service fee</t>
  </si>
  <si>
    <t>total</t>
  </si>
  <si>
    <t>order via</t>
  </si>
  <si>
    <t>nomor transaksi (invoice dll)</t>
  </si>
  <si>
    <t>KET</t>
  </si>
  <si>
    <t xml:space="preserve">tgl kirim </t>
  </si>
  <si>
    <t xml:space="preserve">resi </t>
  </si>
  <si>
    <t>Total per judul</t>
  </si>
  <si>
    <t>Royalti</t>
  </si>
  <si>
    <t>Total Real</t>
  </si>
  <si>
    <t>Diskon</t>
  </si>
  <si>
    <t>wa</t>
  </si>
  <si>
    <t>Milka Atika Sari</t>
  </si>
  <si>
    <t>Jl. Yudistira II, Kalikuning rt. 03 rw. 09, Jomboran,
Kecamatan: Klaten Tengah
Kabupaten/Kota: Klaten
Provinsi: Jawa Tengah</t>
  </si>
  <si>
    <t>Upaya Mengoptimalkan Desa Sawarna, Banten sebagai Pariwisata Berbasis Ekowisata</t>
  </si>
  <si>
    <t>Harris Lumban Gaol</t>
  </si>
  <si>
    <t>wahana</t>
  </si>
  <si>
    <t>langsung</t>
  </si>
  <si>
    <t>nur hidayat</t>
  </si>
  <si>
    <t>yogyakarta</t>
  </si>
  <si>
    <t>-</t>
  </si>
  <si>
    <t>Analisis Data Menggunakan Stata SE 14 (Panduan Analisis, Langkah Lebih Cepat, Lebih Mudah dan Paling Praktis)</t>
  </si>
  <si>
    <t>Kurniawan</t>
  </si>
  <si>
    <t>di ambil</t>
  </si>
  <si>
    <t>gani wiharso</t>
  </si>
  <si>
    <t>Perum Aneka Elok Blok D 3 No.40 Rt.005 Rw 09 Kel. Penggilingan 
  Kecamatan: Cakung
  Kabupaten/Kota: Jakarta Timur
  Provinsi: DKI Jakarta</t>
  </si>
  <si>
    <t>Dasar-dasar Akuntansi untuk Pemula</t>
  </si>
  <si>
    <t>Arif Widyatama</t>
  </si>
  <si>
    <t>jne</t>
  </si>
  <si>
    <t>Ekonomi Mikro, Analisis dan Pendekatan Praktis Edisi Revisi 2019</t>
  </si>
  <si>
    <t>R. Misriah Ariyani S. &amp;
Totok Harjanto</t>
  </si>
  <si>
    <t>shopee</t>
  </si>
  <si>
    <t>Nabiladiahirianti</t>
  </si>
  <si>
    <t>Depan uptd sukonatar ada gang masuk. Lurus 100 meter. Sebelah pos kampling, KAB. BANYUWANGI, SRONO, JAWA TIMUR, ID, 68471</t>
  </si>
  <si>
    <t>Linguistik Mikro (Kajian Internal Bahasa dan Penerapannya)</t>
  </si>
  <si>
    <t>Yusri dan Mantasiah R.</t>
  </si>
  <si>
    <t>201223C14MH1DH</t>
  </si>
  <si>
    <t>ABIGAIL SEFACA BAWOTONG</t>
  </si>
  <si>
    <t>JL Daan mogot tikala baru, paal 4 malvinas 1, paal IV, Kec.Tikala, Kota Manado , KOTA MANADO, TIKALA, SULAWESI UTARA, ID, 95126</t>
  </si>
  <si>
    <t>Pencegahan Kematian Ibu Saat Hamil Dan Melahirkan Berbasis Komunitas</t>
  </si>
  <si>
    <t>Dr. Rininta Andriani, M.Kes.</t>
  </si>
  <si>
    <t>201223CHFW795K</t>
  </si>
  <si>
    <t>j&amp;t</t>
  </si>
  <si>
    <t>JP5967831969</t>
  </si>
  <si>
    <t>Mutmainna</t>
  </si>
  <si>
    <t xml:space="preserve">Kos abu2 semi btn. Lorong kuburan, KOTA PALU, PALU TIMUR, SULAWESI TENGAH, ID, 94111
</t>
  </si>
  <si>
    <t>Model Pembelajaran Berbasis Metakognisi untuk Peningkatan Kompetensi
Siswa pada Mata Pelajaran IPS</t>
  </si>
  <si>
    <t>Iswan Riyadi</t>
  </si>
  <si>
    <t>201224DQQ4X1G1</t>
  </si>
  <si>
    <t>JP8411142663</t>
  </si>
  <si>
    <t>Metakognisi Siswa dalam Pemecahan Masalah Matematika</t>
  </si>
  <si>
    <t>Zahra Chairani</t>
  </si>
  <si>
    <t>201224DQQ4X1G2</t>
  </si>
  <si>
    <t>Silvia Rodearni Mahulae</t>
  </si>
  <si>
    <t>UD Gabe Pasar Pusuk 1
  Kecamatan: Parlilitann
  Kabupaten/Kota: Humbang Hasundutan
  Provinsi: Sumatera Utara</t>
  </si>
  <si>
    <t>Mahir Menguasai SPSS (Mudah Mengolah Data dengan IBM SPSS Statistic 25)</t>
  </si>
  <si>
    <t>Ce Gunawan</t>
  </si>
  <si>
    <t>Algoritma Data Mining dan Pengujian</t>
  </si>
  <si>
    <t>Dicky Nofriansyah, S.Kom., M.Kom. &amp; DR. Ir.Gunadi Widi Nurcahyo, M.Sc.</t>
  </si>
  <si>
    <t>Multi Criteria Decision Making (MCDM) pada Sistem Pendukung Keputusan</t>
  </si>
  <si>
    <t>Johnie Rogers Swanda Pasaribu</t>
  </si>
  <si>
    <t>Kriptografi untuk Keamanan Data</t>
  </si>
  <si>
    <t>Harun Mukhtar</t>
  </si>
  <si>
    <t>Data Mining Untuk Perguruan Tinggi</t>
  </si>
  <si>
    <t>Efori Buulolo</t>
  </si>
  <si>
    <t>Tiket Penerbangan Domestik</t>
  </si>
  <si>
    <t>I Putu Hardani Hesti Duari</t>
  </si>
  <si>
    <t>Dr. Muharto, S.Pd.I., M.Si.</t>
  </si>
  <si>
    <t>Ekonomi Wilayah Untuk Perencanaan Tata Ruang</t>
  </si>
  <si>
    <t>Perencanaan Suksesi: Urgensi, Model, dan Implementasi</t>
  </si>
  <si>
    <t>Buku Ajar Diploma Iii Farmasi Swamedikasi</t>
  </si>
  <si>
    <t>Buku Ajar: Ekstraksi dan Real Kromatografi</t>
  </si>
  <si>
    <t>Karakterisasi Sediaan Cair Farmasi</t>
  </si>
  <si>
    <t>Dasar Dasar Persiapan Sampel Untuk Kromatografi</t>
  </si>
  <si>
    <t>Imunologi Dasar</t>
  </si>
  <si>
    <t>Karakterisasi Sediaan Padat Farmasi</t>
  </si>
  <si>
    <t>Metode Praktis Analisis Kimia Tumbuhan Berkayu</t>
  </si>
  <si>
    <t>Potensial Farmakologis Tanaman "Gynura" Analisis Fitokimia &amp;Bioaktivitasnya</t>
  </si>
  <si>
    <t>Dasar-Dasar Analisis Fisikokimia di Bidang Farmasi</t>
  </si>
  <si>
    <t>Dasar –Dasar Farmasetika dan Sediaan Semi Solid</t>
  </si>
  <si>
    <t>Analisis Kuantitatif Volumetri Dan Aplikasinya</t>
  </si>
  <si>
    <t>Bahasa Indonesia untuk Perguruan Tinggi</t>
  </si>
  <si>
    <t>Bioaktivitas Dan Konstituen Kimia Tanaman Obat Indonesia</t>
  </si>
  <si>
    <t>Ekstraksi Senyawa Bahan Alam</t>
  </si>
  <si>
    <t>Etika Profesi Kesehatan</t>
  </si>
  <si>
    <t>Etnofarmasi</t>
  </si>
  <si>
    <t>Farmasi Bahari</t>
  </si>
  <si>
    <t>Farmasi Klinik</t>
  </si>
  <si>
    <t>Farmasi Rumah Sakit</t>
  </si>
  <si>
    <t>Filsafat Ketuhanan Studi Relasi Tuhan Dan Manusia</t>
  </si>
  <si>
    <t>Islam &amp; Sains; Paradigma Integrasi</t>
  </si>
  <si>
    <t>Pendidikan Agama Islam Interdisipliner Untuk Perguruan Tinggi</t>
  </si>
  <si>
    <t>Sistem Penghantaran Obat</t>
  </si>
  <si>
    <t>Teknik Dasar Kromatografi</t>
  </si>
  <si>
    <t>Nurul Qiyaam dan Baiq Leny Nopitasari</t>
  </si>
  <si>
    <t>Nasrul Wathoni, dkk.</t>
  </si>
  <si>
    <t>Aliya Nur Hasanah &amp; Febrina Amelia Saputri</t>
  </si>
  <si>
    <t>Arlita L. Antari</t>
  </si>
  <si>
    <t>Iyan Sopyan dkk.</t>
  </si>
  <si>
    <t>Enih Rosamah</t>
  </si>
  <si>
    <t>Aliya Nur Hasanah, Ida Musfiroh dan Muchtaridi</t>
  </si>
  <si>
    <t>Elmitra</t>
  </si>
  <si>
    <t>Riyanto</t>
  </si>
  <si>
    <t>Siti Ansoriyah</t>
  </si>
  <si>
    <t>Sri Fatmawati, dkk</t>
  </si>
  <si>
    <t>Ahmad Najib</t>
  </si>
  <si>
    <t>Eryati Darwin, dkk</t>
  </si>
  <si>
    <t>Moelyono</t>
  </si>
  <si>
    <t>Setya Enti Rikomah</t>
  </si>
  <si>
    <t>Gazali</t>
  </si>
  <si>
    <t>M. Anugrah Arifin</t>
  </si>
  <si>
    <t>Dwiarso Rubiyanto</t>
  </si>
  <si>
    <t>Prof. Riyanto, Ph.D.</t>
  </si>
  <si>
    <t>Nino Indrianto</t>
  </si>
  <si>
    <t>Supriyatna dkk</t>
  </si>
  <si>
    <t>Framesti Frisma Sriarumtias</t>
  </si>
  <si>
    <t>Muhammad Arif</t>
  </si>
  <si>
    <t>Literasi 100 Buku Bahasa Arab Kontemporer Di Indonesia</t>
  </si>
  <si>
    <t>Antologi Puisi Percik Api Di Sore Hari</t>
  </si>
  <si>
    <t>Taufikurrahman</t>
  </si>
  <si>
    <t>Sri Purwanti</t>
  </si>
  <si>
    <t>Lulut Alfaris</t>
  </si>
  <si>
    <t xml:space="preserve">Politeknik Kelautan dan Perikanan Pangandaran. Jl. Raya Babakan Km 2, Pangandaran, Jabar, KAB. PANGANDARAN, PANGANDARAN, JAWA BARAT, ID, 46396
</t>
  </si>
  <si>
    <t>Pembuatan Kapal Tanpa Awak Untuk Pemetaan Dasar Laut</t>
  </si>
  <si>
    <t>Voni Azali Putra</t>
  </si>
  <si>
    <t>201225H1TF4FQ2</t>
  </si>
  <si>
    <t>cashless</t>
  </si>
  <si>
    <t>Supriyono</t>
  </si>
  <si>
    <t xml:space="preserve">Jln.Pangeran Jayakarta 117 A1,Jakarta Pusat, KOTA JAKARTA PUSAT, SAWAH BESAR, DKI JAKARTA, ID, 10730
</t>
  </si>
  <si>
    <t>Pedoman Umum Organisasi dan Administrasi Rukun Warga Rukun Tetangga</t>
  </si>
  <si>
    <t>Wahono Sumadiono</t>
  </si>
  <si>
    <t>201225H2Y8J9FR</t>
  </si>
  <si>
    <t> JP6740544441</t>
  </si>
  <si>
    <t>Fadhila Rizki Anindita</t>
  </si>
  <si>
    <t>Jalan trulek 6 hg 18 no 11 Permata Bintaro Sektor 9, KOTA TANGERANG SELATAN, PONDOK AREN, BANTEN, ID, 15229</t>
  </si>
  <si>
    <t>Otomatisasi Pengujian Perangkat Lunak: Software Test Automation</t>
  </si>
  <si>
    <t>Lamhot JM Siagian</t>
  </si>
  <si>
    <t>201226K58QWNE0</t>
  </si>
  <si>
    <t>Muhammad Yunus</t>
  </si>
  <si>
    <t>Jl. Hujan Gerimis No 648 Rt 07Kelurahan Bandung Kiri Kota Lubuklinggau, KOTA LUBUK LINGGAU, LUBUK LINGGAU BARAT SATU (I), SUMATERA SELATAN, ID, 31612</t>
  </si>
  <si>
    <t>Filsafat Kebahagiaan (Plato, Aristoteles, Al-Ghazali, Al-Farabi)</t>
  </si>
  <si>
    <t>Rusfian Effendi</t>
  </si>
  <si>
    <t>201226K6PFWE54</t>
  </si>
  <si>
    <t>JP9156947377</t>
  </si>
  <si>
    <t>Muhammad Bahrul Akli</t>
  </si>
  <si>
    <t xml:space="preserve">Jl. Kelayan B Timur Gang Serasi Ujung No. 65 RT 25 RW 002, KOTA BANJARMASIN, BANJARMASIN SELATAN, KALIMANTAN SELATAN, ID, 70247
</t>
  </si>
  <si>
    <t>Media Pembelajaran Matematika</t>
  </si>
  <si>
    <t>Sufri Mashuri</t>
  </si>
  <si>
    <t>201226KYW3V85P</t>
  </si>
  <si>
    <t> JP5637255433</t>
  </si>
  <si>
    <t>Psikologi Pembelajaran Matematika (Melaksanakan Pembelajaran Matematika Berdasarkan Tinjauan Psikologi)</t>
  </si>
  <si>
    <t>Uba Umbara</t>
  </si>
  <si>
    <t>Sherly</t>
  </si>
  <si>
    <t>Jalan Latumenten IV No.36c, RT.13/RW.5, Jelambar, Grogol Petamburan, KOTA JAKARTA BARAT, GROGOL PETAMBURAN, DKI JAKARTA, ID, 11460</t>
  </si>
  <si>
    <t>Riset UMKM: Pendekatan Multiperspektif</t>
  </si>
  <si>
    <t>Eliada Herwiyanti, dkk</t>
  </si>
  <si>
    <t>201227PBQ7ST6E</t>
  </si>
  <si>
    <t>JP2071993819</t>
  </si>
  <si>
    <t>bukalapak</t>
  </si>
  <si>
    <t>Sulthon</t>
  </si>
  <si>
    <t>Desa Balenrejo RT 02 RW 01, Kec. Balen, Kab. Bojonegoro, Balen, Bojonegoro, Jawa Timur, 62182</t>
  </si>
  <si>
    <t>Konsep Pengembangan Sistem Informasi Kesehatan</t>
  </si>
  <si>
    <t>Fendi Hidayat</t>
  </si>
  <si>
    <t>000863878794</t>
  </si>
  <si>
    <t>si cepat</t>
  </si>
  <si>
    <t>lazada</t>
  </si>
  <si>
    <t>Novena Relis</t>
  </si>
  <si>
    <t>Jl.Anditinro IV Selatan-Mentok simpang lima belok kanan kedua KOS ADI-Lantai II · Jongaya Sulawesi Selatan Kota Makassar Tamalate Kota Makassar Indonesia</t>
  </si>
  <si>
    <t>Manajemen Operasional</t>
  </si>
  <si>
    <t>Mohammad Zainul</t>
  </si>
  <si>
    <t> 517319500573939</t>
  </si>
  <si>
    <t>JZ1000228797</t>
  </si>
  <si>
    <t>Novi Puji Lestari</t>
  </si>
  <si>
    <t>RR Frozen Food Perum Junrejo Indah B18 Jalan Hasanudin RT 003 Rw 007 Junrejo Batu
  Kecamatan:Junrejo
  Kabupaten/Kota:Batu
  Provinsi:Jawa Timur</t>
  </si>
  <si>
    <t>Agrowisata Sebagai Pariwisata Alternatif Indonesia: Solusi Masif Pengentasan Kemiskinan</t>
  </si>
  <si>
    <t>I Gusti Bagus Rai Utama dan I Wayan Ruspendi Junaedi</t>
  </si>
  <si>
    <t>Puji Harto</t>
  </si>
  <si>
    <t>Desa Klampok Lor Rt.02/Rw.01
  Kecamatan: Kebonagung
  Kabupaten/Kota: Demak
  Provinsi: Jawa Tengah</t>
  </si>
  <si>
    <t>Penghitungan Unit Cost (UC) Dan Penyusunan Tarif Rumah Sakit Dengan Metode Double Distribution (DD)</t>
  </si>
  <si>
    <t>Tri Muhammad Hani</t>
  </si>
  <si>
    <t>heru ermintati</t>
  </si>
  <si>
    <t>jl kartini 116 bawen</t>
  </si>
  <si>
    <t>Buku Ajar Seputar Food And Beverages Service</t>
  </si>
  <si>
    <t>Lina Mufidah, M.Pd. dan Eka Rachmawati, M.Pd.</t>
  </si>
  <si>
    <t>syamsiah</t>
  </si>
  <si>
    <t>Technopreneurship Membentuk Karakter Entrepreneur Muda yang Sukses</t>
  </si>
  <si>
    <t>Nasrul Faqih Syarif H</t>
  </si>
  <si>
    <t>albhy</t>
  </si>
  <si>
    <t>Jalan raya pemogan gang bougenville no 5a, KOTA DENPASAR, DENPASAR SELATAN, BALI, ID, 80221</t>
  </si>
  <si>
    <t>Handbook For Beginner Analisa Dan Desain Struktur Baja Berdasarkan Sni 1729:2015</t>
  </si>
  <si>
    <t>Yudha Lesmana</t>
  </si>
  <si>
    <t>201228RFP8MCTK</t>
  </si>
  <si>
    <t>j&amp;T</t>
  </si>
  <si>
    <t>JP8323056801</t>
  </si>
  <si>
    <t>tokopedia</t>
  </si>
  <si>
    <t>Lenny Oktorina</t>
  </si>
  <si>
    <t>Perumahan Griya Caraka blok G41 rt. 07 cingised
Arcamanik, Kota Bandung, Jawa Barat 40293</t>
  </si>
  <si>
    <t>Menjadi Guru Demokratis Dan Kompenten</t>
  </si>
  <si>
    <t>INV/20201229/XX/XII/712331108</t>
  </si>
  <si>
    <t>BSD20867</t>
  </si>
  <si>
    <t>Perumahan Griya Caraka blok G41 rt. 07 cingised
Arcamanik, Kota Bandung, Jawa Barat 40294</t>
  </si>
  <si>
    <t>Model Pembagian Jasa Pelayanan Di Rumah Sakit Dengan Metode Konversi Dan Proporsi</t>
  </si>
  <si>
    <t>Penentu Kesuksesan Diri</t>
  </si>
  <si>
    <t>INV/20201229/XX/XII/712331109</t>
  </si>
  <si>
    <t>BSD20868</t>
  </si>
  <si>
    <t>Siti Mukaromah</t>
  </si>
  <si>
    <t>Sumbersuko Kel. Rt. 09 · Sumbersuko Jawa Timur Kab. Malang Wagir Kab. Malang Indonesia</t>
  </si>
  <si>
    <t>Model dan Pendekatan Pembelajaran Dilengkapi dengan Contoh Perangkat Pembelajaran dan Instrumen Penilaian untuk Diterapkan dalam Proses Pembelajaran di Kelas</t>
  </si>
  <si>
    <t>Yanti Rosinda Tinenti, M.Pd.</t>
  </si>
  <si>
    <t>Model Pembelajaran Discovery Learning di Sekolah Dasar</t>
  </si>
  <si>
    <t>Endang Titik Lestari</t>
  </si>
  <si>
    <t>Anggalih Bayu Muh. Kamim</t>
  </si>
  <si>
    <t>Tapanrejo Tajem RT10/RW33, Maguwoharjo
  Kecamatan: Depok
  Kabupaten/Kota: Sleman
  Provinsi: DIY</t>
  </si>
  <si>
    <t>Surat Kekancingan Tanah Sultan Ground Upaya Mendapatkan Izin Memanfaatkan Tanah Keraton Yogyakarta</t>
  </si>
  <si>
    <t>Ahmad Muhsin, Laila Nafisah, &amp; Yuni Siswanti</t>
  </si>
  <si>
    <t>YUDI HIDAYAT,SP.</t>
  </si>
  <si>
    <t>Kantor bank CiJ cabang Rancah
Jln Raya Cisaga-Rancah km.20 depan SPBU rancah.
Kec.Rancah,Kab.Ciamis
Jawa Barat.46387.</t>
  </si>
  <si>
    <t>Dragon Leadership Seni Kepemimpinan Sang Naga Zhuge Liang</t>
  </si>
  <si>
    <t>Kurniawan Sangkur</t>
  </si>
  <si>
    <t>dwi novia ningrum</t>
  </si>
  <si>
    <t>Gg. Pukesdes desa air merah no. 118
  Kecamatan: curup tengah 
  Kabupaten/Kota: rejang lebong 
  Provinsi: bengkulu</t>
  </si>
  <si>
    <t>Literasi Matematika Upaya Meningkatkan Kemampuan Literasi Matematika Siswa Melalui Kegiatan Pembelajaran</t>
  </si>
  <si>
    <t>Rahma Muti’ah, dkk</t>
  </si>
  <si>
    <t>Buku Ajar Matematika Berbasis Literasi Dan Soal Higher Order Thinking Skills (HOTS) Untuk Melatih Kemampuan Berpikir Kritis Siswa Sma</t>
  </si>
  <si>
    <t>Irwan Haryono S</t>
  </si>
  <si>
    <t>Jl. Merak, Gg. Bersama No.35E Medan Sunggal, Sumatera Utara Indonesia, Medan Sunggal, Medan, Sumatera Utara, 20122</t>
  </si>
  <si>
    <t>Kepemimpinan Transformatif Pendidikan Islam: Gontor, Kemodernan, dan Pembelajaran Bahasa</t>
  </si>
  <si>
    <t>Ismail Suardi Wekke &amp; Mat Busri</t>
  </si>
  <si>
    <t>000863943792</t>
  </si>
  <si>
    <t>Nurfiani Syamsuddin</t>
  </si>
  <si>
    <t>Jl. Rawa Sakti 1 No. 11 (sebelas) Perumnas Jeulingke, Kec. Syiah Kuala, Banda Aceh 23114</t>
  </si>
  <si>
    <t>Buku Ajar Ekonomi Manajerial</t>
  </si>
  <si>
    <t>Usep Sudrajat dan Suwaji</t>
  </si>
  <si>
    <t>Arip Hidayatullah/Bima Rahmand</t>
  </si>
  <si>
    <t>Jl.Ariodillah III no. 2093 Rt 029 Rw. 010. Samping Toko Nadya , KOTA PALEMBANG, ILIR TIMUR I, SUMATERA SELATAN, ID, 30129</t>
  </si>
  <si>
    <t>Petunjuk Praktis Pengajaran Keterampilan Berbicara</t>
  </si>
  <si>
    <t>Rita Arianti</t>
  </si>
  <si>
    <t>201229TT5GBTUX</t>
  </si>
  <si>
    <t>JP8136584308</t>
  </si>
  <si>
    <t>Jl.Ariodillah III no. 2093 Rt 029 Rw. 010. Samping Toko Nadya , KOTA PALEMBANG, ILIR TIMUR I, SUMATERA SELATAN, ID, 30130</t>
  </si>
  <si>
    <t>Ekstrakurikuler Pendidikan Agama Islam, Konsep Penguatan Pendidikan Karakter dalam Upaya Deradikalisasi Pelajar di Lingkungan Sekolah</t>
  </si>
  <si>
    <t>Syarifuddin K</t>
  </si>
  <si>
    <t>bunga shibghohtiar islamidienna</t>
  </si>
  <si>
    <t>Perum. Graha prima blok ie1 no.53 rt 2/10
  Kecamatan: tambun utara
  Kabupaten/Kota: kab. Bekasi
  Provinsi: jawa barat</t>
  </si>
  <si>
    <t>Genealogi Bahasa Arab (Perkembangannya Sebagai Bahasa Standar)</t>
  </si>
  <si>
    <t>Imelda Wahyuni</t>
  </si>
  <si>
    <t>Anne Berliana</t>
  </si>
  <si>
    <t>jl. BATU INDAH VII NO 24
  Kecamatan:Bandung Kidul
  Kota: Bandung
  Provinsi:Jawa Barat</t>
  </si>
  <si>
    <t>Wiwin Winarni</t>
  </si>
  <si>
    <t>Iip Ivana &amp; Wiwin Winarni</t>
  </si>
  <si>
    <t>Eva Uma</t>
  </si>
  <si>
    <t>3PAUD dan DIkmas, Jl. Kebon Jeruk Raya No.1A Jakarta Barat DKI Jakarta Kota Jakarta Barat Kebon Jeruk Kota Jakarta Barat Indonesia</t>
  </si>
  <si>
    <t>Manajemen Sumber Daya Manusia: Kumpulan Teori MSDM yang Dilengkapi dengan Hasil Penelitian pada Instansi Pemerintah</t>
  </si>
  <si>
    <t>Dr. Emed Taryaman., S.E., M.M.</t>
  </si>
  <si>
    <t> 516812467096984</t>
  </si>
  <si>
    <t>JZ1000229329</t>
  </si>
  <si>
    <t>Siti Fatchatul Hana</t>
  </si>
  <si>
    <t xml:space="preserve"> pondok pesantren darul ulum Kauman, ngembalrejo
  Kecamatan: Bae
  Kabupaten/Kota: kudus
  Provinsi: Jawa tengah</t>
  </si>
  <si>
    <t>Deiksis dalam Bahasa Besemah</t>
  </si>
  <si>
    <t>Hendro Dwi Saputra</t>
  </si>
  <si>
    <t>Dian nisa damayanti</t>
  </si>
  <si>
    <t xml:space="preserve">Perumahan Brawijaya Residence Blok Teratai No 2, KAB. BANYUWANGI, BANYUWANGI, JAWA TIMUR, ID, 68417
</t>
  </si>
  <si>
    <t>201230W1ANR0A7</t>
  </si>
  <si>
    <t>SAHRI ( GURU/DOSEN)</t>
  </si>
  <si>
    <t>Pendidikan Agama Islam</t>
  </si>
  <si>
    <t>Muhammad Hendra, M.Pd.I.</t>
  </si>
  <si>
    <t>Pendidikan Agama Islam edisi revisi muslimin</t>
  </si>
  <si>
    <t>Drs. H. Muslimin, SKM., M.M.Kes.</t>
  </si>
  <si>
    <t>customer mas burhan</t>
  </si>
  <si>
    <t>Potensi Daya Tarik Wisata Desa Lumbung Tabanan, Bali</t>
  </si>
  <si>
    <t>Ni Putu Dyah Krismawintari, I. W. K. Tejasukmana &amp; Ni Luh Putu Suarmi Sri Patni</t>
  </si>
  <si>
    <t>diambil</t>
  </si>
  <si>
    <t>Ilma Nafiah</t>
  </si>
  <si>
    <t>Dsn.Genengan Ds. Sambiresik
  Kecamatan: Gampengrejo
  Kabupaten/Kota: Kediri
  Provinsi: Jawa timur</t>
  </si>
  <si>
    <t>Yulistriani</t>
  </si>
  <si>
    <t>Komplek Insani Blok B.11 RT 02/06 ( Samping SMP 21 Padang), KOTA PADANG, LUBUK KILANGAN, SUMATERA BARAT, ID, 25231</t>
  </si>
  <si>
    <t>Literasi Pariwisata; Dari Lokal Hingga Global</t>
  </si>
  <si>
    <t>Titing Kartika, S.Pd., M.M., M.B.A.</t>
  </si>
  <si>
    <t>2012300573FPWQ</t>
  </si>
  <si>
    <t>JP3702789233</t>
  </si>
  <si>
    <t>Komplek Insani Blok B.11 RT 02/06 ( Samping SMP 21 Padang), KOTA PADANG, LUBUK KILANGAN, SUMATERA BARAT, ID, 25232</t>
  </si>
  <si>
    <t>Pengantar Industri pariwisata</t>
  </si>
  <si>
    <t>I Gusti Bagus Rai Utama, S.E., M.A.</t>
  </si>
  <si>
    <t>JP3702789234</t>
  </si>
  <si>
    <t>Didha Andini P</t>
  </si>
  <si>
    <t>Universitas 17 Agustus 1945 Cirebon jalan perjuangan no 17 bypass cirebon, KOTA CIREBON, KESAMBI, JAWA BARAT, ID, 45131</t>
  </si>
  <si>
    <t>Mikrobiologi Hasil Perikanan</t>
  </si>
  <si>
    <t>Rieny Sulistijowati S</t>
  </si>
  <si>
    <t>Frisca delfira</t>
  </si>
  <si>
    <t xml:space="preserve">Perumahan Graha Jaya Kusuma Blok A no 14 rt/rw 004/005, KAB. PATI, MARGOREJO, JAWA TENGAH, ID, 59163
</t>
  </si>
  <si>
    <t>2012300DUDTS0X</t>
  </si>
  <si>
    <t>JP8806841566</t>
  </si>
  <si>
    <t>Zefan</t>
  </si>
  <si>
    <t>Puri indah D4 no. 21, KAB. SUMEDANG, JATINANGOR, JAWA BARAT, ID, 45363</t>
  </si>
  <si>
    <t>Memahami Advokasi Kebijakan: Konsep, Teori, dan Praktik dalam Mewujudkan Kebijakan yang Berpihak pada Publik</t>
  </si>
  <si>
    <t>Ramaditya Rahardian</t>
  </si>
  <si>
    <t>2012300HHM9GN8</t>
  </si>
  <si>
    <t>JP9019083596</t>
  </si>
  <si>
    <t>perumahan graha jaya Kusuma.blok A no 14.RT/RW.004/005.kab Pati Margorejo.jawa tengah.id.59163
Margorejo, Kab. Pati, Jawa Tengah 59163</t>
  </si>
  <si>
    <t>INV/20201230/XX/XII/713747639</t>
  </si>
  <si>
    <t>TJNT-44N044-HJ27JF</t>
  </si>
  <si>
    <t>web</t>
  </si>
  <si>
    <t>Muhamad Ari Kosasih</t>
  </si>
  <si>
    <t>Skyland Kost II, Kampung Momonot RT 1 RW 13 No. 29
Gunung Putri
Kabupaten Bogor
Jawa Barat
16962</t>
  </si>
  <si>
    <t>Pemodelan Sistem</t>
  </si>
  <si>
    <t>bukalapak juragan</t>
  </si>
  <si>
    <t>Nurul Latipah</t>
  </si>
  <si>
    <t>Pasir ranji RT/RW 002/005 Desa. Salam nunggal Kec. Cibeber Kab. Cianjur, Cibeber, Cianjur, Jawa Barat, 43262</t>
  </si>
  <si>
    <t>PENGANTAR ILMU KOMUNIKASI Sebuah Pendekatan Kritis dan Komprehensif</t>
  </si>
  <si>
    <t>Yasir</t>
  </si>
  <si>
    <t>000864022199</t>
  </si>
  <si>
    <t>Ardiansyah Hatta</t>
  </si>
  <si>
    <t>jl.Poros Maros Makassar km.3 (depan jembatan timbang/rumah Bupati Maros) Kel.Taroada
Turikale, Kab. Maros, Sulawesi Selatan 90516</t>
  </si>
  <si>
    <t>Pemula Next Profesional: Teknik Cepat Detail Konstruksi Sketchup To Autocad</t>
  </si>
  <si>
    <t>Phany Wijaya</t>
  </si>
  <si>
    <t>INV/20201231/XX/XII/714383563</t>
  </si>
  <si>
    <t>anter aja</t>
  </si>
  <si>
    <t>Marisa Andayani</t>
  </si>
  <si>
    <t>jalan Panjaitan no 11 RT 03 RW 01 Sedayu
Kecamatan: Turen
Kabupaten: Malang
Provinsi: Jawa timur</t>
  </si>
  <si>
    <t>Lembaran Baru Kehidupan</t>
  </si>
  <si>
    <t>Lieke Alfana Lukas</t>
  </si>
  <si>
    <t>Munifayanti</t>
  </si>
  <si>
    <t>Perumahan Taman Gading 1 Blok D No. 12
  Kecamatan: Indralaya Utara
  Kabupaten/Kota: Ogan Ilir
  Provinsi: Sumatera Selatan</t>
  </si>
  <si>
    <t>Buku Ajar Manajemen Keselamatan Pasien</t>
  </si>
  <si>
    <t>Irwan Hadi</t>
  </si>
  <si>
    <t>nuraqida Alawiya</t>
  </si>
  <si>
    <t xml:space="preserve">PERUMAHAN BUMI SERASAN DAMAI. BLOK H NO 1, KAB. MUARA ENIM, MUARA ENIM, SUMATERA SELATAN, ID, 31315
</t>
  </si>
  <si>
    <t>Kenali Demam Tifoid dan Mekanismenya</t>
  </si>
  <si>
    <t>Farihatun Nafiah</t>
  </si>
  <si>
    <t>2101014Q6XCWNQ</t>
  </si>
  <si>
    <t> JP9040199887</t>
  </si>
  <si>
    <t>Astri Mulyani</t>
  </si>
  <si>
    <t>Blok cimanggu rt 05 rw 02 Desa Cimangguhilir, KAB. MAJALENGKA, BANTARUJEG, JAWA BARAT, ID, 45464</t>
  </si>
  <si>
    <t>Etika Profesi Guru</t>
  </si>
  <si>
    <t>Shilphy A. Octavia,</t>
  </si>
  <si>
    <t>2101015D8X0WGP</t>
  </si>
  <si>
    <t>JP2979074559</t>
  </si>
  <si>
    <t>anggita putri</t>
  </si>
  <si>
    <t>Jl. DEWI SEKARDADU RT/RW: 1/1NO:20 NGARGOSARI KEBOMAS GRESIK 61124 , KAB. GRESIK, KEBOMAS, JAWA TIMUR, ID, 61124</t>
  </si>
  <si>
    <t>2101039X6K0J5J</t>
  </si>
  <si>
    <t> 8827722054474500</t>
  </si>
  <si>
    <t>M. Harry Prayoga</t>
  </si>
  <si>
    <t>12 Pm Camp Global English, Jalan Anyelir No.06b, Tulungrejo, Pare, KAB. KEDIRI, PARE, JAWA TIMUR, ID, 6421</t>
  </si>
  <si>
    <t>City Branding Konsep Dan Isu Dalam Pemasaran Pariwisata</t>
  </si>
  <si>
    <t>Andriani Kusumawati</t>
  </si>
  <si>
    <t>210103A3AG75NS</t>
  </si>
  <si>
    <t>Michelle Maria</t>
  </si>
  <si>
    <t>Komplek PTB Duren Sawit Timur Blok P 2 no. 3, KOTA JAKARTA TIMUR, DUREN SAWIT, DKI JAKARTA, ID, 13440</t>
  </si>
  <si>
    <t>Pengantar Ekonomi Politik</t>
  </si>
  <si>
    <t>Cahyo Sasmito dan Dyanasari</t>
  </si>
  <si>
    <t>210103AD9S0W81</t>
  </si>
  <si>
    <t>JP1478376017</t>
  </si>
  <si>
    <t>Komplek PTB Duren Sawit Timur Blok P 2 no. 3, KOTA JAKARTA TIMUR, DUREN SAWIT, DKI JAKARTA, ID, 13441</t>
  </si>
  <si>
    <t>Pengantar Ilmu Ekonomi</t>
  </si>
  <si>
    <t>Muhammad Iskandar, S.E.</t>
  </si>
  <si>
    <t>210103AD9S0W82</t>
  </si>
  <si>
    <t>JP1478376018</t>
  </si>
  <si>
    <t>Ridwan</t>
  </si>
  <si>
    <t>Jl. Deli Tua, Kec. Medan Perjuangan, Kota Medan, Sumatera Utara [Tokopedia Note: jln. Delitua / enggang no. 12/8. kode pos 20232] Medan Perjuangan Kota Medan 20232
Sumatera Utara</t>
  </si>
  <si>
    <t>Pemeliharaan Sistem Pneumatik dan Hidrolik</t>
  </si>
  <si>
    <t>Adhan Efendi, S.Pd., M.Pd., Aditya Nugraha, S.Pd., M.S., Oyok Yudiyanto, S.T., M.T.</t>
  </si>
  <si>
    <t>INV/20210102/XXI/I/715765430</t>
  </si>
  <si>
    <t>000466349006</t>
  </si>
  <si>
    <t>Dasrilano</t>
  </si>
  <si>
    <t>Jalan arif rahman hakim lr 31 c no. 30, kelurahan wala-walaya kecamatan tallo kota makassar provinsi Sul-sel, Tallo, Makassar, Sulawesi Selatan, 90214</t>
  </si>
  <si>
    <t>Analisis Mengenai Dampak Lingkungan (AMDAL)</t>
  </si>
  <si>
    <t>Indasah</t>
  </si>
  <si>
    <t>000864121367</t>
  </si>
  <si>
    <t>bukaexpress</t>
  </si>
  <si>
    <t>budi cahyono</t>
  </si>
  <si>
    <t>jalan kaleng, rt 01/03 dukuh tugu. desa sugihwaras · Adimulyo Jawa Tengah Kab. Kebumen Adimulyo Indonesia Kab. Kebumen</t>
  </si>
  <si>
    <t>Pengembangan dan Pemberdayaan Masyarakat Konsep Pembangunan Partisipatif Wilayah Pinggiran dan Desa</t>
  </si>
  <si>
    <t>Ahmad Suhaimi</t>
  </si>
  <si>
    <t> 521453115017181</t>
  </si>
  <si>
    <t>JZ1000230814</t>
  </si>
  <si>
    <t>wahyudin</t>
  </si>
  <si>
    <t>jl. P. Sebesi no. 38
  Kecamatan: Sukarame
  Kabupaten/Kota: bandar lampung
  Provinsi: lampung</t>
  </si>
  <si>
    <t>Asep Herman Nursalam</t>
  </si>
  <si>
    <t>Kp. Cipondoh Girang No. 118 Rt. 02 Rw. 12 Ds. Cinunuk
Cileunyi
Kabupaten Bandung
Jawa Barat</t>
  </si>
  <si>
    <t>Personality, Employee Engagement, Emotional Intellegence, Job Burnout 
Pendekatan dalam Melihat Turnover Intention</t>
  </si>
  <si>
    <t>Kartono</t>
  </si>
  <si>
    <t>Tito Bagus W</t>
  </si>
  <si>
    <t>Semaitan 04/09, Trasan
  Kecamatan: Bandongan
  Kabupaten: Magelang
  Provinsi: Jawa Tengah</t>
  </si>
  <si>
    <t>Budidaya Ikan Nila</t>
  </si>
  <si>
    <t>Yuli Andriani</t>
  </si>
  <si>
    <t>Yan Syafri</t>
  </si>
  <si>
    <t xml:space="preserve"> Jl. Anggrek no.38 Rt.014 Rw.005 Jatibening satu, Jatibening Baru
  Kecamatan: Pondok Gede
  Kota: Bekasi
  Provinsi: Jabar</t>
  </si>
  <si>
    <t>Memaknai Hegemoni Ekonomi Tiongkok</t>
  </si>
  <si>
    <t>Antoine Brunet dan Jean-Paul Guichard</t>
  </si>
  <si>
    <t>Achmad Danu</t>
  </si>
  <si>
    <t>jl.H.yusuf gg.hidayah 4 rt.3 rw.11 no.19 kel.paninggilan selatan kec.ciledug kota tangerang banten, Ciledug, Tangerang, Banten, 1515</t>
  </si>
  <si>
    <t>Manajemen Kearsipan</t>
  </si>
  <si>
    <t>Sattar</t>
  </si>
  <si>
    <t>MARDIYANSYAH BAHAR</t>
  </si>
  <si>
    <t xml:space="preserve">
JL. Depati Payung Negara Padang Kemiling
Selebar
Kota Bengkulu
Bengkulu
38213</t>
  </si>
  <si>
    <t>Pengendalian Mutu Laboratorium Medis</t>
  </si>
  <si>
    <t>Agus Joko Praptomo</t>
  </si>
  <si>
    <t>Amin Sahri</t>
  </si>
  <si>
    <t xml:space="preserve">Rindu Buku - Toko Buku Alternatif Jl. Tri Dharma No.897/898, RT.78/RW.18, Gendeng, Baciro, KOTA YOGYAKARTA, GONDOKUSUMAN, DI YOGYAKARTA, ID, 55225
</t>
  </si>
  <si>
    <t>210104CTGEN8P5</t>
  </si>
  <si>
    <t>JP6259588733</t>
  </si>
  <si>
    <t>Putri rame</t>
  </si>
  <si>
    <t xml:space="preserve">Perumahan Puri Ganda Asri, blok B5/ No 14p, KAB. BOGOR, GUNUNG PUTRI, JAWA BARAT, ID, 16968
</t>
  </si>
  <si>
    <t>210104CT6E3TF0</t>
  </si>
  <si>
    <t>nfdlawbookstore</t>
  </si>
  <si>
    <t>Jln. Raflesia Blok C-1 No. 6 Puspita Loka BSD City Serpong Kota Tangerang Selatan 15311
Banten</t>
  </si>
  <si>
    <t>Praktik dan Wacana Seputar Persidangan Elektronik</t>
  </si>
  <si>
    <t>Bambang Soebiyantoro, dkk</t>
  </si>
  <si>
    <t>INV/20210104/XXI/I/717298656</t>
  </si>
  <si>
    <t>TJE1573852566058</t>
  </si>
  <si>
    <t>Badirun Basir</t>
  </si>
  <si>
    <t>Bagian Keuangan Gedung Rektorat Lantai III Kampus Universitas Hasanuddin Jl. Perintis Kemerdekaan KM. 10 Tamalanrea, Makassar, Sulawesi Selatan-Indonesia Kode Pos 90245, Tamalanrea, Makassar, Sulawesi Selatan, 90245</t>
  </si>
  <si>
    <t>Analisis dan Pengukuran Kerja: Upaya untuk Meningkatkan Efektivitas dan Efisiensi Kerja</t>
  </si>
  <si>
    <t>Yusuf Nugroho Doyo Yekti dan Ilma Mufidah</t>
  </si>
  <si>
    <t>000864182715</t>
  </si>
  <si>
    <t>Bagian Keuangan Gedung Rektorat Lantai III Kampus Universitas Hasanuddin Jl. Perintis Kemerdekaan KM. 10 Tamalanrea, Makassar, Sulawesi Selatan-Indonesia Kode Pos 90245, Tamalanrea, Makassar, Sulawesi Selatan, 90246</t>
  </si>
  <si>
    <t>Bagian Keuangan Gedung Rektorat Lantai III Kampus Universitas Hasanuddin Jl. Perintis Kemerdekaan KM. 10 Tamalanrea, Makassar, Sulawesi Selatan-Indonesia Kode Pos 90245, Tamalanrea, Makassar, Sulawesi Selatan, 90247</t>
  </si>
  <si>
    <t>Mengelola Kelas Online dengan Moodle 3.8</t>
  </si>
  <si>
    <t>Walidatush Sholihah dan Anggi Mardiyono</t>
  </si>
  <si>
    <t>ibu ana</t>
  </si>
  <si>
    <t>Hukum Waris Perdata (Menerima dan Menolak Warisan oleh Ahli Waris serta Akibatnya)</t>
  </si>
  <si>
    <t>Irma Fatmawati</t>
  </si>
  <si>
    <t>di pack aja</t>
  </si>
  <si>
    <t>Hukum Acara Perdata di Indonesia: Permasalahan Eksekusi Dan Mediasi</t>
  </si>
  <si>
    <t>Endang Hadrian dan Lukman Hakim</t>
  </si>
  <si>
    <t>Penegakan Hukum Tindak Pidana Korupsi</t>
  </si>
  <si>
    <t>Risqi Perdana Putra</t>
  </si>
  <si>
    <t>Amalia</t>
  </si>
  <si>
    <t>Jalan ratu Zaleha Gang Mega sari no 51
Banjarmasin Timur
Kota Banjarmasin
Kalimantan Selatan</t>
  </si>
  <si>
    <t>Buku Ajar Studi Ekowisata</t>
  </si>
  <si>
    <t>walidatush Sholihah dan Anggi Mardiyono</t>
  </si>
  <si>
    <t>Ariyani Indrayati</t>
  </si>
  <si>
    <t>Praktek Perencanaan Pembangunan Nasional di Daerah</t>
  </si>
  <si>
    <t>Bambang Basuki Hanugrah</t>
  </si>
  <si>
    <t>Dr. Edi Wahyono, M.Hum</t>
  </si>
  <si>
    <t>L ANGREK "LAUNDRY MERDEKA JAYA/KOS MERDEKA JAYA" SAMPING SMA 3 KOTA PALOPO
  Kecamatan: Wara
  Kabupaten/Kota: Palopo
  Provinsi: Sulawesi Selatan</t>
  </si>
  <si>
    <t>Maritime English (Program Teknika)</t>
  </si>
  <si>
    <t>Dr. Capt. Drs. HM. Thamrin, MM</t>
  </si>
  <si>
    <t>Marine English Program Nautika</t>
  </si>
  <si>
    <t>Hm. Thamrin</t>
  </si>
  <si>
    <t>Iis Fitriyani</t>
  </si>
  <si>
    <t>Jalan kampus stiper tanah merah , KAB. OGAN KOMERING ULU TIMUR, BUAY MADANG TIMUR, SUMATERA SELATAN, ID, 32365</t>
  </si>
  <si>
    <t>Jimmy Hasoloan</t>
  </si>
  <si>
    <t>210105FKUQU5HM</t>
  </si>
  <si>
    <t>JP0341248753</t>
  </si>
  <si>
    <t>Arya Sukrawan</t>
  </si>
  <si>
    <t>Desa Nusa Bali,Nomer 65, RT 2, Dusun 1, KAB. OGAN KOMERING ULU TIMUR, BELITANG III, SUMATERA SELATAN, ID, 32385</t>
  </si>
  <si>
    <t>210105FTK94WXN</t>
  </si>
  <si>
    <t>JP7092146378</t>
  </si>
  <si>
    <t>Amallyah dewi nurdin</t>
  </si>
  <si>
    <t>Jln.Raya bayujaya Dsn.Rengas rt01 rw01 desa.Karyabakti kec.Batujaya kab.Karawang, KAB. KARAWANG, BATUJAYA, JAWA BARAT, ID, 41354</t>
  </si>
  <si>
    <t>210105FV976SBK</t>
  </si>
  <si>
    <t> JP7179106840</t>
  </si>
  <si>
    <t>Mega Puspita</t>
  </si>
  <si>
    <t>Kepuh Rasuan Madang Suku 1, RT.2/RW.9, Rasuan, Madang Suku I , KAB. OGAN KOMERING ULU TIMUR, MADANG SUKU I, SUMATERA SELATAN, ID, 32362</t>
  </si>
  <si>
    <t>210105FWPDS3JB</t>
  </si>
  <si>
    <t> JP9964502024</t>
  </si>
  <si>
    <t>Alisa Qotrunnada</t>
  </si>
  <si>
    <t>Desa Pajomblangan RT 02 RW 02 No.33 (belakang masjid rumah bapak H.Sulaiman) · Pajomblangan Jawa Tengah Kab. Pekalongan Kedungwuni Indonesia Kab. Pekalongan</t>
  </si>
  <si>
    <t>Pembelajaran di Era Pandemi</t>
  </si>
  <si>
    <t>Noor Hayati</t>
  </si>
  <si>
    <t> 523648119965947</t>
  </si>
  <si>
    <t>JZ1000231413</t>
  </si>
  <si>
    <t>Resya Dwi Marselina</t>
  </si>
  <si>
    <t>Betty Riadini &amp; Abdul 
Bari</t>
  </si>
  <si>
    <t xml:space="preserve">
000864229389</t>
  </si>
  <si>
    <t>buka express</t>
  </si>
  <si>
    <t>Lilik Kristiawan (Tegar Kartini Baruna)</t>
  </si>
  <si>
    <t>Jl. Raya Jepara Bangsri Km. 12 RT 023 RW:005 Desa Sekuro Kecamatan Mlonggo Jepara Jawa Tengah Mlonggo
Kab. Jepara, Jawa Tengah
59454
  Kecamatan: Mlonggo
  Kabupaten/Kota: Jepara
  Provinsi: Jawa Tengah</t>
  </si>
  <si>
    <t>COLREG 1972 dan Dinas Jaga Anjungan (FC)</t>
  </si>
  <si>
    <t>Hadi Supriyono dan Djoko Subandrijo</t>
  </si>
  <si>
    <t>Desy ananda putri</t>
  </si>
  <si>
    <t>jl.brigjend Katamso RT.21 RW.05
  Kecamatan: delta pawan
  Kabupaten/Kota: ketapang
  Provinsi: Kalimantan barat</t>
  </si>
  <si>
    <t>Manajemen Humas Pendidikan Islam: Teori dan Aplikasi</t>
  </si>
  <si>
    <t>Maskur, S.Pd.I., M.Si.</t>
  </si>
  <si>
    <t>Vani yuka</t>
  </si>
  <si>
    <t xml:space="preserve">Pptq al-asy'ariyyah blok p2 munggang bawah, KAB. WONOSOBO, WONOSOBO, JAWA TENGAH, ID, 54421
</t>
  </si>
  <si>
    <t>Teknik Evaluasi Pembelajaran</t>
  </si>
  <si>
    <t>Ajat Rukajat</t>
  </si>
  <si>
    <t>210106HCF48EM3</t>
  </si>
  <si>
    <t>JP6388724233</t>
  </si>
  <si>
    <t>Metode Active Learning - Upaya Peningkatan Keaktifan dan Hasil Belajar
Siswa</t>
  </si>
  <si>
    <t>Sinar</t>
  </si>
  <si>
    <t>210106HCF48EM4</t>
  </si>
  <si>
    <t>Juzailah</t>
  </si>
  <si>
    <t xml:space="preserve">Jl. Raya Serang, KM. 28. RT/ RW : 001/03 . No : 30. Desa Cangkudu. Persis sebrang rumah makan Cide Cengkudu., KAB. TANGERANG, BALARAJA, BANTEN, ID, 15610
</t>
  </si>
  <si>
    <t>Konsep Data Mining dan Penerapan</t>
  </si>
  <si>
    <t>Deny Jollyta, dkk</t>
  </si>
  <si>
    <t>210106HY3AF25U</t>
  </si>
  <si>
    <t>000812455486</t>
  </si>
  <si>
    <t>Rio</t>
  </si>
  <si>
    <t>Pandan jaya , KAB. OGAN KOMERING ULU TIMUR, MADANG SUKU II, SUMATERA SELATAN, ID, 32366</t>
  </si>
  <si>
    <t>210107KR0KPTNW</t>
  </si>
  <si>
    <t>JP5752722009</t>
  </si>
  <si>
    <t>mahmud dede</t>
  </si>
  <si>
    <t>Jalan W.R. Supratman C3 Kav21 (komplek ruko depan RS Lavalette) 65111
Klojen, Kota Malang, Jawa Timur 65111</t>
  </si>
  <si>
    <t>Komunikasi Internal Organisasi</t>
  </si>
  <si>
    <t>Aselina Endang Trihastuti</t>
  </si>
  <si>
    <t>INV/20210106/XXI/I/719181798</t>
  </si>
  <si>
    <t>Jalan W.R. Supratman C3 Kav21 (komplek ruko depan RS Lavalette) 65111
Klojen, Kota Malang, Jawa Timur 65112</t>
  </si>
  <si>
    <t>Hubungan Industrial dan Kompensasi (Teori Dan Praktik)</t>
  </si>
  <si>
    <t>Luis Marnisah</t>
  </si>
  <si>
    <t>INV/20210106/XXI/I/719181799</t>
  </si>
  <si>
    <t>wawan</t>
  </si>
  <si>
    <t>Jln. Pasir putih gg. Agam blok a no.1 kel.tanah merah kec.siak hulu.kab.kampar</t>
  </si>
  <si>
    <t>Finishing Kriya Kayu dengan Teknik Semprot</t>
  </si>
  <si>
    <t>Drs. FX. Supriyono, M.Ds.</t>
  </si>
  <si>
    <t>di pack dulu</t>
  </si>
  <si>
    <t>Produksi Kertas &amp; Papan Komposit TANPA KAYU HUTAN</t>
  </si>
  <si>
    <t>Ir. A. Sidik Omar, M.M.</t>
  </si>
  <si>
    <t>Hoirur Rozikin</t>
  </si>
  <si>
    <t>Desa Melati Jaya RT/RW: 009/004. Rumah samping ATM Mini Reni Anggraini , KAB. OGAN KOMERING ULU TIMUR, SEMENDAWAI TIMUR, SUMATERA SELATAN, ID, 3218</t>
  </si>
  <si>
    <t>210107M0NVQ9A3</t>
  </si>
  <si>
    <t> JP7604701820</t>
  </si>
  <si>
    <t>Prayuda Angga dinata</t>
  </si>
  <si>
    <t>BTN baiti jannati blok k1 nomor 7 Moyo hilir Sumbawa besar, KAB. SUMBAWA, MOYO HILIR, NUSA TENGGARA BARAT (NTB), ID, 84381</t>
  </si>
  <si>
    <t>210107KY6E33Y6</t>
  </si>
  <si>
    <t>JP8066322865</t>
  </si>
  <si>
    <t>welly anggarani</t>
  </si>
  <si>
    <t>perum bumi wanamukti blok i1 no 16 Rt 01 Rw 04
  Kecamatan: Tembalang
  Kabupaten/Kota: Kota Semarang
  Provinsi: Jawa Tengah</t>
  </si>
  <si>
    <t>Buku Kesehatan Anak untuk Orang Tua: Gigi Sehat, Anak Cerdas</t>
  </si>
  <si>
    <t>Indrayani Galuh Ardani</t>
  </si>
  <si>
    <t>Anti Uki Nusantari, S.Th</t>
  </si>
  <si>
    <t>SMK Negeri 1 Temon
Jl. Glagah Kalidengen Temon
  Kecamatan: Temon
  Kabupaten/Kota: Kulon Progo55654
  Provinsi: DIY</t>
  </si>
  <si>
    <t>Batu Bara Merah 
Untuk Menumbuhkan Kemampuan Literasi</t>
  </si>
  <si>
    <t>Issufiah Dwi Nuryati</t>
  </si>
  <si>
    <t>Pembelajaran Literasi Menuju Society 5.0</t>
  </si>
  <si>
    <t>Hendra Kurniawan, dkk</t>
  </si>
  <si>
    <t>Rusnita Dhaifina</t>
  </si>
  <si>
    <t>Dekat LKP fajar insani Srikaton bk3 rwbng, dekat masjid biru/ tpa hidayatus sholihin , KAB. OGAN KOMERING ULU TIMUR, BUAY MADANG TIMUR, SUMATERA SELATAN, ID, 32365</t>
  </si>
  <si>
    <t>210107MQ3TPMMJ</t>
  </si>
  <si>
    <t> JP4643665628</t>
  </si>
  <si>
    <t>Dekat LKP fajar insani Srikaton bk3 rwbng, dekat masjid biru/ tpa hidayatus sholihin , KAB. OGAN KOMERING ULU TIMUR, BUAY MADANG TIMUR, SUMATERA SELATAN, ID, 32366</t>
  </si>
  <si>
    <t>210107MQYWV2E8</t>
  </si>
  <si>
    <t>JP3570495855</t>
  </si>
  <si>
    <t>Royhan sabala</t>
  </si>
  <si>
    <t>Kutosari Belitang III, Kabupaten Ogan Komering Ulu Timur, Sumatera Selatan, KAB. OGAN KOMERING ULU TIMUR, BELITANG III, SUMATERA SELATAN, ID, 32385</t>
  </si>
  <si>
    <t>210107N754U8TC</t>
  </si>
  <si>
    <t>JP2331407455</t>
  </si>
  <si>
    <t>Aldi Burhannudin</t>
  </si>
  <si>
    <t>Karang wungu RT/RW 006/005, Desa Pangebatan, Kec. Bantarkawung, Kab. Brebes., KAB. BREBES, BANTARKAWUNG, JAWA TENGAH, ID, 52274</t>
  </si>
  <si>
    <t>Aplikasi Internet of Things (IoT) dengan Arduino dan Andriod "Membangun Smart Home dan Smart Robot Berbasis Arduino dan Android"</t>
  </si>
  <si>
    <t>Sigit Wasista, Setiawardhana, Delima Ayu Saraswati &amp; Eko Susanto</t>
  </si>
  <si>
    <t>210108PARQ91VW</t>
  </si>
  <si>
    <t>JP4062502230</t>
  </si>
  <si>
    <t>Faris Fakhrurrozy Hasan</t>
  </si>
  <si>
    <t>Klinik Bidan Mila Jl. Jambal Raya Pabean Udik Indramayu Indramayu Kab. Indramayu 45219
Jawa Barat</t>
  </si>
  <si>
    <t>Validasi &amp; Verifikasi Metode Uji: Sesuai dengan ISO/IEC 17025 Laboratorium Pengujian dan Kalibrasi</t>
  </si>
  <si>
    <t>INV/20210107/XXI/I/720373328</t>
  </si>
  <si>
    <t>000467648643</t>
  </si>
  <si>
    <t>Mahrunnisa fitria</t>
  </si>
  <si>
    <t>Jalan batu belah no 102B RT 1 RW 4, kelurahan cipedak, jagakarsa
Jagakarsa, Kota Administrasi Jakarta Selatan, DKI Jakarta 12620</t>
  </si>
  <si>
    <t>INV/20210108/XXI/I/720515689</t>
  </si>
  <si>
    <t>TKAA-T5U9P1HF2P0</t>
  </si>
  <si>
    <t>Lutfia Rahmawati</t>
  </si>
  <si>
    <t>Jln. Dr. susilo iiib no 14, Grogol, Jakarta Barat, DKI Jakarta, 11450</t>
  </si>
  <si>
    <t>Konsep Sistem Informasi</t>
  </si>
  <si>
    <t>Jeperson Hutahaean</t>
  </si>
  <si>
    <t>000864314918</t>
  </si>
  <si>
    <t>Agus S. Soedjito</t>
  </si>
  <si>
    <t>jl. Padat Karya, Perum Surya Akbar 1 Blok D.8. RT 31 RW 01, Kel. Talang Jamve
  Kecamatan: Sukarami
  Kota: Palembang
  Provinsi: Sumatera Selatan</t>
  </si>
  <si>
    <t>Cornelius Anjar</t>
  </si>
  <si>
    <t>Perpustakaan Unika Widya Mandala Madiun
Jl. Manggis No. 15-17
Taman
Kota Madiun
Jawa Timur</t>
  </si>
  <si>
    <t>Manajemen Bimbingan dan Konseling di Sekolah</t>
  </si>
  <si>
    <t>Dra. Maryam Rahim, M.Pd.</t>
  </si>
  <si>
    <t>REFKI KURNIADI AKBAR</t>
  </si>
  <si>
    <t>Kmp. Ciwaru No. 32 RT. 01 RW. 16
Soreang
Kabupaten Bandung
Jawa Barat
40911</t>
  </si>
  <si>
    <t>Belajar Microsoft Office (Word, Excel, Powerpoint) 2019 dengan Mudah dan Menyenangkan</t>
  </si>
  <si>
    <t>Urip Setyo Wasono</t>
  </si>
  <si>
    <t>Rabak rt 02 rw 01 kalimanah purbalingga
Kalimanah
Kabupaten Purbalingga
Jawa Tengah
53371</t>
  </si>
  <si>
    <t>Statistika</t>
  </si>
  <si>
    <t>Bambang Sudaryana</t>
  </si>
  <si>
    <t>spektra</t>
  </si>
  <si>
    <t>Statistik Penelitian: Studi Kasus Penelitian Menggunakan SPSS</t>
  </si>
  <si>
    <t>Dede Prabowo Wiguna</t>
  </si>
  <si>
    <t>di antar</t>
  </si>
  <si>
    <t>Pengantar Fisika dan Teknologi Semikonduktor</t>
  </si>
  <si>
    <t>Sutikno</t>
  </si>
  <si>
    <t>Pengantar Bahasa Indonesia untuk Perguruan Tinggi</t>
  </si>
  <si>
    <t>Awalludin</t>
  </si>
  <si>
    <t>Angga Perdana K</t>
  </si>
  <si>
    <t>Jl. Cijotang Indah II No. 26
Cimeunyan
Kabupaten Bandung
Jawa Barat
40191</t>
  </si>
  <si>
    <t>Systematic Review dalam Kesehatan -</t>
  </si>
  <si>
    <t>Laksita Barbara</t>
  </si>
  <si>
    <t>Magdalena Enna Lauretha</t>
  </si>
  <si>
    <t>jl. Trans kalimantan no. 90 RT 04 camp baru, muara tae
  Kecamatan: jempang
  Kabupaten/Kota: kutai barat
  Provinsi: kalimantan Timur</t>
  </si>
  <si>
    <t>Pedoman Pencegahan dan Pengendalian Methicillin-resistant Staphylococcus aureus (MRSA) di Fasilitas Pelayanan Kesehatan</t>
  </si>
  <si>
    <t>Dewi Santosaningsih, dkk</t>
  </si>
  <si>
    <t>Arif Wardoyo</t>
  </si>
  <si>
    <t xml:space="preserve">jalan gunung agung s-10, perumahan kepuh permai, KAB. SIDOARJO, WARU, JAWA TIMUR, ID, 61256
</t>
  </si>
  <si>
    <t>210109S6W66HBS</t>
  </si>
  <si>
    <t>Cashless</t>
  </si>
  <si>
    <t>CM30069387185</t>
  </si>
  <si>
    <t>Ester Restiana Endang G</t>
  </si>
  <si>
    <t>Kostan cemara (warung nasi kucing spesial), jalan raya dramaga, no 138,babakan doneng. Bogor
Dramaga, Kab. Bogor, Jawa Barat 16680</t>
  </si>
  <si>
    <t>Mengolah Citra Pengindraan Jauh Dengan Google Earth Engine</t>
  </si>
  <si>
    <t>Seftiawan Samsu Rijal</t>
  </si>
  <si>
    <t>INV/20210109/XXI/I/721845178</t>
  </si>
  <si>
    <t>000468409712</t>
  </si>
  <si>
    <t>venty</t>
  </si>
  <si>
    <t>Jl. Jatipadang raya gg nurul iman rt 06 rw 03 no 52 pasar minggu Jakarta Selatan 12540</t>
  </si>
  <si>
    <t>Aspek Cinta Dalam Novel Balada Cinta Majenun Karya: Geidurrahman El-Mishry</t>
  </si>
  <si>
    <t>Siti Gomo Attas, Ifan Iskandar &amp; Marsin</t>
  </si>
  <si>
    <t>Jl. Jatipadang raya gg nurul iman rt 06 rw 03 no 52 pasar minggu Jakarta Selatan 12541</t>
  </si>
  <si>
    <t>Boboso, Sajak Tentang Maluku Utara Dan Kumpulan Artikel Pendidikan</t>
  </si>
  <si>
    <t>Roswita M. Aboe</t>
  </si>
  <si>
    <t>Jl. Jatipadang raya gg nurul iman rt 06 rw 03 no 52 pasar minggu Jakarta Selatan 12542</t>
  </si>
  <si>
    <t>Janji Satu Goresan</t>
  </si>
  <si>
    <t>Deri Irawan</t>
  </si>
  <si>
    <t>Jl. Jatipadang raya gg nurul iman rt 06 rw 03 no 52 pasar minggu Jakarta Selatan 12543</t>
  </si>
  <si>
    <t>Luka</t>
  </si>
  <si>
    <t>Nuni Qalbi</t>
  </si>
  <si>
    <t>Jl. Jatipadang raya gg nurul iman rt 06 rw 03 no 52 pasar minggu Jakarta Selatan 12544</t>
  </si>
  <si>
    <t>Antologi Cerpen Nina</t>
  </si>
  <si>
    <t>Hiqma Nur Agustina</t>
  </si>
  <si>
    <t>Jl. Jatipadang raya gg nurul iman rt 06 rw 03 no 52 pasar minggu Jakarta Selatan 12545</t>
  </si>
  <si>
    <t>Melukismu di Musim Semi</t>
  </si>
  <si>
    <t>Winarto Rombakwin</t>
  </si>
  <si>
    <t>Jl. Jatipadang raya gg nurul iman rt 06 rw 03 no 52 pasar minggu Jakarta Selatan 12546</t>
  </si>
  <si>
    <t>Jl. Jatipadang raya gg nurul iman rt 06 rw 03 no 52 pasar minggu Jakarta Selatan 12547</t>
  </si>
  <si>
    <t>Wolff Schoemaker Karya dan Lingkup Dunia Sekelilingnya</t>
  </si>
  <si>
    <t>Salmon</t>
  </si>
  <si>
    <t>Jl. Jatipadang raya gg nurul iman rt 06 rw 03 no 52 pasar minggu Jakarta Selatan 12548</t>
  </si>
  <si>
    <t>Batik Tulis Paseban dalam Makna Visual Batik Tulis Paseban In Visual Perspective</t>
  </si>
  <si>
    <t>Rika Nugraha dan Roni Nursyamsu</t>
  </si>
  <si>
    <t>Jl. Jatipadang raya gg nurul iman rt 06 rw 03 no 52 pasar minggu Jakarta Selatan 12549</t>
  </si>
  <si>
    <t>Cerita Rakyat Pandeglang</t>
  </si>
  <si>
    <t>Sopyan Sauri</t>
  </si>
  <si>
    <t>indra</t>
  </si>
  <si>
    <t>Manajemen Pemasaran Untuk Mahasiswa, Usaha Mikro, Kecil dan Menengah</t>
  </si>
  <si>
    <t>Darmanto dan Sri Wardaya</t>
  </si>
  <si>
    <t>Manajemen Pemasaran: UMKM dan Digital Sosial Media</t>
  </si>
  <si>
    <t>Dr. Miguna Astuti, S.Si., M.M., MOS., CPM.</t>
  </si>
  <si>
    <t>Made Sindi Lestari</t>
  </si>
  <si>
    <t xml:space="preserve">Jln. Ahmad Yani, lorong dua saudara, RT 30, RW 06, Plaju Palembang 
  Kecamatan: seberang ulu II
  Kabupaten/Kota: Palembang
  Provinsi: Sumatera Selatan </t>
  </si>
  <si>
    <t>Keterampilan Berbicara dengan Active Learning</t>
  </si>
  <si>
    <t>Muhammad Usman dan Nidar Yusuf</t>
  </si>
  <si>
    <t>J&amp;t</t>
  </si>
  <si>
    <t>Agus Purwanto ( Manager TSB 1)</t>
  </si>
  <si>
    <t>PT Tritunggal Sentra Buana Jln. Ahmad Yani Ruko Mitra Mas 8 No. 16 Kel. Temindung Permai Kec. Sungai Pinang Samarinda Kaltim, Samarinda, Samarinda, Kalimantan Timur, 75117</t>
  </si>
  <si>
    <t>Pembibitan Ternak Manajemen Program Pemuliaan Pada Sapi Bali</t>
  </si>
  <si>
    <t>Andoyo Supriyantono</t>
  </si>
  <si>
    <t>BLJC213058061541</t>
  </si>
  <si>
    <t>Puzi rizkia</t>
  </si>
  <si>
    <t>PT. KML Ichimasa Foods
Sentul, Kec. Babakan Madang, Bogor, Jawa Barat 16810</t>
  </si>
  <si>
    <t>Manajemen Usaha Kecil dan Kewirausahaan</t>
  </si>
  <si>
    <t>Dyanasari dan Asnah</t>
  </si>
  <si>
    <t>Jimmy Tokio</t>
  </si>
  <si>
    <t>Jl Bomber No 16 Kel.Halim Perdana Kusuma
  Kecamatan: Makasar
  Kabupaten/Kota: Jakarta Timur
  Provinsi: DKI Jakarta</t>
  </si>
  <si>
    <t>Cara Mudah Memahami Metodologi Penelitian</t>
  </si>
  <si>
    <t>I Made Indra P. dan Ika Cahyaningrum</t>
  </si>
  <si>
    <t>Ramsi Abdul Hadi</t>
  </si>
  <si>
    <t>Jl. Bondol Blok B No. 30 (Komplek Perumnas Bumi Palangka III)
Jekan Raya
Kota Palangka Raya
Kalimantan Tengah</t>
  </si>
  <si>
    <t>Perancangan Campuran Beraspal</t>
  </si>
  <si>
    <t>Ir. Sutoyo, M.Eng. Sc.</t>
  </si>
  <si>
    <t>Jl. Bondol Blok B No. 31 (Komplek Perumnas Bumi Palangka III)
Jekan Raya
Kota Palangka Raya
Kalimantan Tengah</t>
  </si>
  <si>
    <t>Pemodelan Sistem Drainase Perkotaan Menggunakan SWMM</t>
  </si>
  <si>
    <t>M. Baitullah Al Amin</t>
  </si>
  <si>
    <t>WA</t>
  </si>
  <si>
    <t>Johnie Pasaribu</t>
  </si>
  <si>
    <t>Jl. Patriot No.20 A, Lalang, Kec. Medan Sunggal, Kota Medan, Sumatera Utara 20123 (SMKN 9 Medan)</t>
  </si>
  <si>
    <t>Amriadi</t>
  </si>
  <si>
    <t>jl. Lintas Riau Sumut (Balam Km 16) Desa Bangko Bakti, KAB. ROKAN HILIR, BANGKO PUSAKA (PUSAKO), RIAU, ID, 28992</t>
  </si>
  <si>
    <t>2101124D4R4EFA</t>
  </si>
  <si>
    <t>JP6505513465</t>
  </si>
  <si>
    <t>jl. Lintas Riau Sumut (Balam Km 16) Desa Bangko Bakti, KAB. ROKAN HILIR, BANGKO PUSAKA (PUSAKO), RIAU, ID, 28993</t>
  </si>
  <si>
    <t>jl. Lintas Riau Sumut (Balam Km 16) Desa Bangko Bakti, KAB. ROKAN HILIR, BANGKO PUSAKA (PUSAKO), RIAU, ID, 28994</t>
  </si>
  <si>
    <t>Psikologi Komunikasi: Teori dan Praktik</t>
  </si>
  <si>
    <t>Markus Utomo Sukendar</t>
  </si>
  <si>
    <t>jl. Lintas Riau Sumut (Balam Km 16) Desa Bangko Bakti, KAB. ROKAN HILIR, BANGKO PUSAKA (PUSAKO), RIAU, ID, 28995</t>
  </si>
  <si>
    <t>Rizal ( Nugroho bakso )</t>
  </si>
  <si>
    <t>BAKSO NUGROHO .barat masjid Dian Al-ikhlas., RT. 14/RW.1 , petukangan selatan , jakarta selatan., Pesanggrahan, Jakarta Selatan, DKI Jakarta, 12270</t>
  </si>
  <si>
    <t>Kalkulus untuk Teknik Elektro</t>
  </si>
  <si>
    <t>Sinta Novanana</t>
  </si>
  <si>
    <t>JB0043859280</t>
  </si>
  <si>
    <t>muhamad kholil</t>
  </si>
  <si>
    <t>Kalikarung rt 02/ rw 03 kalibawang wonosobo jateng.</t>
  </si>
  <si>
    <t>Budidaya Walet Milenial</t>
  </si>
  <si>
    <t>Andi Muhammad Yahya</t>
  </si>
  <si>
    <t>ABDUL AZIZ</t>
  </si>
  <si>
    <t>dusun sumber selatan RT:001 / RW:002. Desa Pagendingan, Galis, Pamekasan, Jawa Timur, 69382</t>
  </si>
  <si>
    <t>Ekstrakurikuler Pendidikan Agama Islam, Konsep Penguatan Pendidikan 
Karakter dalam Upaya Deradikalisasi Pelajar di Lingkungan Sekolah</t>
  </si>
  <si>
    <t>000864514278</t>
  </si>
  <si>
    <t>Debiga Fikky Abdullah</t>
  </si>
  <si>
    <t xml:space="preserve"> Jl. Kartika Manis No.12
  Kecamatan: Taman
  Kabupaten/Kota: Kota Madiun
  Provinsi: Madiun</t>
  </si>
  <si>
    <t>Teknik Pengukuran dan Penilaian Hasil Belajar</t>
  </si>
  <si>
    <t>Sumardi</t>
  </si>
  <si>
    <t>Agus Ernanto</t>
  </si>
  <si>
    <t>Desa Windusari, RT.3/RW.3, Windu Sari, Belitang Jaya (Windusari ,Belitang jaya,Oku Timur), KAB. OGAN KOMERING ULU TIMUR, BELITANG JAYA, SUMATERA SELATAN, ID, 32373</t>
  </si>
  <si>
    <t>21011367A43R5J</t>
  </si>
  <si>
    <t>JP1404138861</t>
  </si>
  <si>
    <t>Akhmad Ahfas Alamat</t>
  </si>
  <si>
    <t>Besuk RT. 10/RW.05 Ds. Lemujut Kecamatan: Krembung Kabupaten/Kota: Sidoarjo Provinsi: Jawa Timur No telepon</t>
  </si>
  <si>
    <t>Muhammad Yunus Al Ikram</t>
  </si>
  <si>
    <t>Jl. Tongkol Nomor 30 (ASRAMA IPAU)
Kuta Alam, Kota Banda Aceh, D.I. Aceh 23122</t>
  </si>
  <si>
    <t>Berangkat Umrah Ala Backpacker: Berbagi Pengalaman Detail Teknis 
Pelaksanaan</t>
  </si>
  <si>
    <t>Anton Prasojo</t>
  </si>
  <si>
    <t>INV/20210113/XXI/I/725441684</t>
  </si>
  <si>
    <t>TKAA-K290NRB63LH</t>
  </si>
  <si>
    <t>uniang</t>
  </si>
  <si>
    <t>jalan Anisa dusun 3 desa Pancasila kecamatan Natar kabupaten Lampung selatan, Natar, Lampung Selatan, Lampung, 35362</t>
  </si>
  <si>
    <t>Panduan Penanganan Dismenore</t>
  </si>
  <si>
    <t>Dhito Dwi Pramardika &amp; Fitriana</t>
  </si>
  <si>
    <t>000864551904</t>
  </si>
  <si>
    <t>Ari Martino</t>
  </si>
  <si>
    <t>Komplek Bukit Sejahtera 
Blok J5, Ilir Barat 1, Bukit Lama, Palembang 30139</t>
  </si>
  <si>
    <t>Berpikir Singkat Menguasai English Speaking</t>
  </si>
  <si>
    <t>Suhardianto</t>
  </si>
  <si>
    <t>Komplek Bukit Sejahtera 
Blok J5, Ilir Barat 1, Bukit Lama, Palembang 30140</t>
  </si>
  <si>
    <t>Buku Ajar Pronunciation Practice</t>
  </si>
  <si>
    <t>sipriyanus Taplo.</t>
  </si>
  <si>
    <t>Sentani
  Kabupaten/Kota:jayapura
  Provinsi: papua</t>
  </si>
  <si>
    <t>Perilaku Seksual Remaja</t>
  </si>
  <si>
    <t>Wellina Sebayang, Destyna Yohana Gultom, &amp; 
Eva Royani Sidabutar</t>
  </si>
  <si>
    <t>Laily Mutiah</t>
  </si>
  <si>
    <t xml:space="preserve">Kantor Kementerian Agama Kota Yogyakarta
Jl. Ki Mangunsarkoro no 43A, Pakualaman, Yogyakarta.
</t>
  </si>
  <si>
    <t>Pemusnahan Arsip di Lingkungan Pemerintah Daerah</t>
  </si>
  <si>
    <t>Rusidi, S.IP., M.M.</t>
  </si>
  <si>
    <t>Lembaga-Lembaga Negara Independen (di Dalam Undang-Undang
Dasar Negara Republik Indonesia Tahun 1945)</t>
  </si>
  <si>
    <t>Laurensius Arliman S.</t>
  </si>
  <si>
    <t>dipack aja</t>
  </si>
  <si>
    <t>Hukum Keuangan Desa (Mencari Keseimbangan Kewenangan Pemerintah
Kabupaten/Kota dan Desa)
Kabupaten</t>
  </si>
  <si>
    <t>Isharyanto, Dila Eka Juli Prasetya</t>
  </si>
  <si>
    <t>Alternatif Penegakan Hukum Pidana Berbasis Nilai Keadilan</t>
  </si>
  <si>
    <t>Dr. Dra. Sulistyowati, S.H., C.N.</t>
  </si>
  <si>
    <t>Muhamad April Riansyah SE</t>
  </si>
  <si>
    <t>Jalan simpang tiga beringin/pagar gunung desa kota baru samping SDN 3 Lubai RT/RW 00 cucia, KAB. MUARA ENIM, LUBAI, SUMATERA SELATAN, ID, 31173</t>
  </si>
  <si>
    <t>2101148H83YT41</t>
  </si>
  <si>
    <t>J&amp;T</t>
  </si>
  <si>
    <t> JP4569295714</t>
  </si>
  <si>
    <t>Eko Poetri</t>
  </si>
  <si>
    <t>Perumahan Graha Cipta Hertasning Blok B2 nomor 11 Kabupaten Gowa
Somba Opu (Upu)
Kabupaten Gowa
Sulawesi Selatan</t>
  </si>
  <si>
    <t>Konsep Integrasi Pertanian-Peternakan</t>
  </si>
  <si>
    <t>Ir. T.M. Nur, M.Si. Dr. Halus Satriawan, S.P, M.Si. Chairul Fadli, S.Pt., M.P.</t>
  </si>
  <si>
    <t>Sabrina Fajarwati</t>
  </si>
  <si>
    <t>kp.bulak teko RT 06 RW 008 No.161 Kalideres Jakarta Barat
  Kecamatan: kalideres
  Kabupaten/Kota: Jakarta barat
  Provinsi: DKI Jakarta</t>
  </si>
  <si>
    <t>Buku Ajar Kewirausahaan</t>
  </si>
  <si>
    <t>Safrudin &amp; Abdul Putra Ginda Hasibuan</t>
  </si>
  <si>
    <t>Makassari Dewi</t>
  </si>
  <si>
    <t>Jl. Tebet Barat Dalam 3 B No 11 D, Tebet Barat
  Kecamatan: Tebet
  Kabupaten/Kota: Jakarta Selatan
  Provinsi: DKI Jakarta</t>
  </si>
  <si>
    <t xml:space="preserve">Systematic Review dalam Kesehatan: Langkah demi Langkah 
</t>
  </si>
  <si>
    <t>Akhmad Muzani</t>
  </si>
  <si>
    <t>Pusdiklat Pegawai Kemendikbud ( Belakang Garuda ) Jl Ciputat Raya Km 19 Bojongsari Depok
Bojongsari, Kota Depok, Jawa Barat 16517</t>
  </si>
  <si>
    <t>INV/20210114/XXI/I/726374653</t>
  </si>
  <si>
    <t>Quarty</t>
  </si>
  <si>
    <t>Jl. Dr. Cipto Mangun Kusumo Gang 1 No.273, Kec. Bondowoso, Kabupaten Bondowoso, Jawa Timur, 68214[Tokopedia notes: Gang Majestic belakang hotel palm]
Bondowoso, Kab. Bondowoso, Jawa Timur 68214</t>
  </si>
  <si>
    <t>INV/20210115/XXI/I/726694267</t>
  </si>
  <si>
    <t>Dina Tri/Lab.Biologi Farmasi</t>
  </si>
  <si>
    <t>Stikes dr. Soebandi Jember Jl. Dr. Soebandi No.99 Patrang Jember, Patrang, Jember, Jawa Timur, 68111</t>
  </si>
  <si>
    <t>RAHMAT DONI W</t>
  </si>
  <si>
    <t>JL. KALIALANG LAMA NO.21 RT.04 RW.01 KELURAHAN SUKOREJO
  Kecamatan: GUNUNGPATI
  Kota: SEMARANG
  Provinsi: JATENG</t>
  </si>
  <si>
    <t>Pemeliharaan Mekanik Industri</t>
  </si>
  <si>
    <t>Yatin Ngadiyono</t>
  </si>
  <si>
    <t>Aula Larasati</t>
  </si>
  <si>
    <t>Buah buahan Ds. Lame Rt.001 Rw.003 Blok Jum'at Dusun Sinduparana, KAB. MAJALENGKA, LEUWIMUNDING, JAWA BARAT, ID,</t>
  </si>
  <si>
    <t>Biokimia Umum untuk Mahasiswa Pertanian</t>
  </si>
  <si>
    <t>Dina Soes Putr</t>
  </si>
  <si>
    <t>210115B8567UNB</t>
  </si>
  <si>
    <t>CM12538176481</t>
  </si>
  <si>
    <t>M Salman</t>
  </si>
  <si>
    <t>Perumahan Grand Harmoni 2 Blok L5 No. 15, Desa Bunar, Kec. Balaraja, Tangerang, KAB. TANGERANG, BALARAJA, BANTEN, ID,</t>
  </si>
  <si>
    <t>Validasi &amp; Verifikasi Metode Uji sesuai dengan ISO/IEC 17025 Laboratorium Pengujian dan Kalibrasi</t>
  </si>
  <si>
    <t>Riyanto, Ph.D.</t>
  </si>
  <si>
    <t>210115BFFC0MF4</t>
  </si>
  <si>
    <t>JP2088299068</t>
  </si>
  <si>
    <t>naim pramono</t>
  </si>
  <si>
    <t>Jl. DI. Panjaitan lorong Kompi No 331 RT 08/ RW 02. Kel. Sentosa Kec. Seberang ulu ll. Kota palembang. Provinsi sumatera selatan.</t>
  </si>
  <si>
    <t>Budidaya Ikan Kuwe Di KJA (Pembesaran, Pascapanen &amp; Analisis Usaha)</t>
  </si>
  <si>
    <t>Lexon H. J. Tinglioy, Max R. Wenno, dan Zaky Marasabessy</t>
  </si>
  <si>
    <t>Pengadilan Perikanan Suatu Upaya Pemberantasan IUU Fishing di Indonesia</t>
  </si>
  <si>
    <t>Alex T. Tobing dan Bambang Setiawan</t>
  </si>
  <si>
    <t>Agribisnis Perikanan Di Flores Timur</t>
  </si>
  <si>
    <t>Dati Nawastuti</t>
  </si>
  <si>
    <t>Ensiklopedia Pengolahan dan Industri Ikan Salai di Provinsi Riau</t>
  </si>
  <si>
    <t>Desmelati dan Santhy Wisuda Sidauruk</t>
  </si>
  <si>
    <t>Pemeliharaan Larva Ikan Gurami (Osphronemus Gouramy) pada Suhu Air yang Berbeda</t>
  </si>
  <si>
    <t>Karyawan Perangin Angin &amp; Widi Setyogati</t>
  </si>
  <si>
    <t>Perhitungan Kekuatan Kapal Dengan Metode Elemen Hingga</t>
  </si>
  <si>
    <t>Muhammad Zubair Muis Alie dan Muhammad Iqra Ramadhan</t>
  </si>
  <si>
    <t>Meitty widarta</t>
  </si>
  <si>
    <t>pakem
  Kabupaten/Kota:sleman
  Provinsi:yogyakarta</t>
  </si>
  <si>
    <t>Berprestasi Melalui JFP Ayo Kumpulkan Angka Kreditmu</t>
  </si>
  <si>
    <t>Mulyono</t>
  </si>
  <si>
    <t>I GEDE AGUS NOVANDA</t>
  </si>
  <si>
    <t xml:space="preserve"> Perum Citra Garden Residen (Gang 1) Blok B No.14-15, Dsn Satriyan, Desa Lemahbangdewo
  Kecamatan: Rogojampi
  Kabupaten/Kota: Banyuwangi
  Provinsi: Jawa timur</t>
  </si>
  <si>
    <t>Sistem Informasi Geografi dan Pengindraan Jauh (Studi Kasus Analisis
Keruangan Menggunakan ArcGIS dan Envi)</t>
  </si>
  <si>
    <t>Arief Rachman</t>
  </si>
  <si>
    <t xml:space="preserve"> Jln. Siliwangi blk 78 Kav Hsk no 2
  Kecamatan: Tawang
  Kabupaten/Kota: Kota Tasikmalaya
  Provinsi: Jawa barat</t>
  </si>
  <si>
    <t>Dasar-Dasar Psikologi</t>
  </si>
  <si>
    <t>Drs. Tukiyo, M.Pd.</t>
  </si>
  <si>
    <t>Pavita(avi)</t>
  </si>
  <si>
    <t>Jl Tebet Timur IV E no.13
Tebet
Kota Jakarta Selatan
DKI Jakarta
12820</t>
  </si>
  <si>
    <t>Evaluasi Dan Perencanaan Pembangunan Wilayah Dengan Pendekatan Kapabilitas</t>
  </si>
  <si>
    <t>R. Widodo Dwi Pramono</t>
  </si>
  <si>
    <t>Drs. Supardi, MPd</t>
  </si>
  <si>
    <t>Jalan Gajah Mada XIII/22
  Kecamatan: Kaliwates
  Kabupaten/Kota: Jember
  Provinsi: Jawa Timur</t>
  </si>
  <si>
    <t>A Communication skill For Business</t>
  </si>
  <si>
    <t>Kasto Munawiharto, M.Pd. Dan Euis Nurmala, S.Pd.</t>
  </si>
  <si>
    <t>Hani</t>
  </si>
  <si>
    <t>Tebet
  Kabupaten/Kota: Jakarta Selatan
  Provinsi: Jawa Barat</t>
  </si>
  <si>
    <t>Hukum dan psikiatri</t>
  </si>
  <si>
    <t>Dr. Hj. Tina Asmarawati, S.H., M.H.</t>
  </si>
  <si>
    <t>Paradigma Masterpiece Keuangan Islam dan Aplikasinya di Perbankan Syariah</t>
  </si>
  <si>
    <t>Muhammad Hadi</t>
  </si>
  <si>
    <t>Lana Maqfiroh</t>
  </si>
  <si>
    <t xml:space="preserve"> Jalan Banua Anyar, Kelurahan Banua Anyar , Rt 09, Rw 01, No 44 kode pos 70239
  Kecamatan: Banjarmasin Timur
  Kabupaten/Kota: Banjarmasin
  Provinsi: Kalimantan Selatan</t>
  </si>
  <si>
    <t>Paulina</t>
  </si>
  <si>
    <t>Jalan Purnama Agung VII, komplek Pondok Agung Permata,blok Y, nomor 42. (Bersebrangan dg Kampoeng Inggris Purnama)
  Kecamatan: Pontianak Selatan
  Kabupaten/Kota: Pontianak
  Provinsi: Kalimantan Barat</t>
  </si>
  <si>
    <t>Pengalaman Pembelajaran Bahasa Inggris Daring di Perguruan Tinggi Pada Masa Pandemi Covid-19</t>
  </si>
  <si>
    <t>Khairul Anwar, dkk</t>
  </si>
  <si>
    <t>Anastasia liza fitria</t>
  </si>
  <si>
    <t>jln.inspektur marzuki no.2922A pakjo (sesudah lapas) CAHAYA ANUGERAH CELL, KOTA PALEMBANG, ILIR BARAT I, SUMATERA SELATAN, ID, 30138</t>
  </si>
  <si>
    <t>Perilaku Konsumen (Sikap Dan Pemasaran)</t>
  </si>
  <si>
    <t>M. Anang Firmansyah</t>
  </si>
  <si>
    <t>210119NTUC1R17</t>
  </si>
  <si>
    <t>JP0707147929</t>
  </si>
  <si>
    <t>KE IBU FULCIS (DOSEN POLINEMA)</t>
  </si>
  <si>
    <t>Jalan Sulfat Agung X No.27, Purwantoro, Blimbing (JL. Sulfat Inside 12 A malang Jl. Sulfat Agung X No.27 Jl. Sulfat Agung X No.27, Purwantoro, Kec. Blimbing, Kota Malang, Jawa Timur 65126), KOTA MALANG, BLIMBING, JAWA TIMUR, ID, 65126</t>
  </si>
  <si>
    <t>Marketing Public Relations –Diantara Penjualan dan Pencitraan</t>
  </si>
  <si>
    <t>Dini Salmiyah Fithrah Ali</t>
  </si>
  <si>
    <t>210119P262C8S8</t>
  </si>
  <si>
    <t>CM45367110036</t>
  </si>
  <si>
    <t>Jalan Sulfat Agung X No.27, Purwantoro, Blimbing (JL. Sulfat Inside 12 A malang Jl. Sulfat Agung X No.27 Jl. Sulfat Agung X No.27, Purwantoro, Kec. Blimbing, Kota Malang, Jawa Timur 65126), KOTA MALANG, BLIMBING, JAWA TIMUR, ID, 65127</t>
  </si>
  <si>
    <t>Dicky Nofriansyah</t>
  </si>
  <si>
    <t>Jalan Sulfat Agung X No.27, Purwantoro, Blimbing (JL. Sulfat Inside 12 A malang Jl. Sulfat Agung X No.27 Jl. Sulfat Agung X No.27, Purwantoro, Kec. Blimbing, Kota Malang, Jawa Timur 65126), KOTA MALANG, BLIMBING, JAWA TIMUR, ID, 65128</t>
  </si>
  <si>
    <t>Kewirausahaan Solusi Cerdas Atasi Pengangguran</t>
  </si>
  <si>
    <t>Dr. H. Saban Echdar, S.E., M.Si.</t>
  </si>
  <si>
    <t>Yeheskiel</t>
  </si>
  <si>
    <t>Jl. Tambak Mas XVIII, Kec. Semarang Utara, Kota Semarang, Jawa Tengah, 50177[Tokopedia notes: Tambak mas 18 no 457] Semarang Utara Kota Semarang 50177
Jawa Tengah</t>
  </si>
  <si>
    <t>Sosiologi Olahraga</t>
  </si>
  <si>
    <t>Dr. Hj. Aisah R. Pomatahu, Dra., M.Kes. Dan Ella H. Tumaloto, S.Pd, M.Pd.</t>
  </si>
  <si>
    <t>INV/20210119/XXI/I/730575986</t>
  </si>
  <si>
    <t>TJX1740485285188</t>
  </si>
  <si>
    <t>محمد لطفي طيب</t>
  </si>
  <si>
    <t>Bajang Kel. · Bajang Jawa Timur Kab. Ponorogo Mlarak Indonesia Kab. Ponorogo</t>
  </si>
  <si>
    <t>JZ1000236321</t>
  </si>
  <si>
    <t>Syaefurrahman albanjary</t>
  </si>
  <si>
    <t>KPID/Komisi Penyiaran Indonesia Daerah Jawa Barat
Jl. Malabar 62, Bandung</t>
  </si>
  <si>
    <t>Gaya Kepemimpinan Kepala Desa Dalam Mengatasi Konflik</t>
  </si>
  <si>
    <t>Rossi Maunofa Widayat.</t>
  </si>
  <si>
    <t>Emilia Chandra</t>
  </si>
  <si>
    <t xml:space="preserve">Komplek Villa Kenali Permai Blok i-3 no.9 Rt. 15 kel. Mayang Mangurai, KOTA JAMBI, KOTA BARU, JAMBI, ID, 36126
</t>
  </si>
  <si>
    <t>Modul Praktek Penyehatan Makanan dan Minuman</t>
  </si>
  <si>
    <t>Asep Tata Gunawan, dkk</t>
  </si>
  <si>
    <t>210120QRJCVRAD</t>
  </si>
  <si>
    <t>JP7600451845</t>
  </si>
  <si>
    <t>Nur Aimmatunnisa H. Mustamin</t>
  </si>
  <si>
    <t xml:space="preserve"> Jln. Bandang no 22 (Toko Megatani)
Kelurahan: Penrang 
  Kecamatan: Watang Sawitto
  Kabupaten/Kota: Kab. Pinrang
  Provinsi: Sulawesi Selatan</t>
  </si>
  <si>
    <t>Pengantar Selam Ilmiah</t>
  </si>
  <si>
    <t>Abd. Rasyid Jalil, Abdul Haris dan Andi Iqbal Burhanuddin</t>
  </si>
  <si>
    <t>Chresna Wibawa Kusuma</t>
  </si>
  <si>
    <t>Jl. Kartika Jaya V No. 11, Cikeas Udik
  Kecamatan: GunungPutri
  Kabupaten/Kota: Kab. Bogor
  Provinsi: Jawa Barat</t>
  </si>
  <si>
    <t>Ratih Madya Septiana</t>
  </si>
  <si>
    <t>Etnobotani Buah Hitam Konstruksi Etnoekologi Etnis Wandeman Papua</t>
  </si>
  <si>
    <t>Antoni Ungirwulu, S.Hut., M.Sc., Prof. Dr. Ir. H. San Afri Awang, M.Sc. Dan Ir. Max Jondudago Tokede, MS.</t>
  </si>
  <si>
    <t>000864808755</t>
  </si>
  <si>
    <t>Elvin Novino</t>
  </si>
  <si>
    <t>Perum. Griya Senggarang Permai Blok E15 RT 02 RW 9 Kelurahan Air Raja Kec. Tanjungpinang Timur  Provinsi Kepri</t>
  </si>
  <si>
    <t>Elita Putri Sari Rangkuti</t>
  </si>
  <si>
    <t xml:space="preserve">Jalan Gagak Raya No 60
  Kecamatan: Medan Denai
  Kelurahan : Tegal Sari Mandala II
  Kabupaten/Kota: Medan 
  Kode Pos : 20226
  Provinsi: Sumatera Utara </t>
  </si>
  <si>
    <t>Manajemen Sumber Daya Manusia</t>
  </si>
  <si>
    <t>Sri Larasati</t>
  </si>
  <si>
    <t>Len Kwuta</t>
  </si>
  <si>
    <t>Jln Kusuma, Nmr 859, Baciro, Gondokusuman, Yogyakarta.
Kecamatan: Gondokusuman
Kabupaten/Kota: Yogyakarta
Provinsi: DIY</t>
  </si>
  <si>
    <t>Subcooling Pada Siklus Refrigerasi Kompresi Uap: Aplikasinya pada Mesin Pendingin dan Pengkondisi Udara</t>
  </si>
  <si>
    <t>K. Sumeru</t>
  </si>
  <si>
    <t>Alva Alvi Nu'Maa Hartono</t>
  </si>
  <si>
    <t>Griya Nirwana blok C2-28, Sumorame, Candi, Sidoarjo, Jawa timur</t>
  </si>
  <si>
    <t>Vertebrata Laut</t>
  </si>
  <si>
    <t>Prof. Andi Iqbal Burhanuddin, M. Fish. Sc., Ph.D</t>
  </si>
  <si>
    <t>Danny Fauzan / Eva Fitria</t>
  </si>
  <si>
    <t>Jl. Lintas Timur AMD Kp. Samaboa Pasir RT. 02 RW. 12, Kelurahan Sukaratu
  Kecamatan: Majasari
  Kabupaten/Kota: Pandeglang
  Provinsi: Banten</t>
  </si>
  <si>
    <t>Filsafat Pendidikan Matematika Abad Ke-21</t>
  </si>
  <si>
    <t>Marcellinus Andy Rudhito</t>
  </si>
  <si>
    <t>Bpk. NOOR ASIEF</t>
  </si>
  <si>
    <t>UU Perimbangan Keuangan Antara Pemerintah Pusat dan Pemerintah Daerah.</t>
  </si>
  <si>
    <t>Ibu Asriwati</t>
  </si>
  <si>
    <t>Medan</t>
  </si>
  <si>
    <t xml:space="preserve">Konsep dan Aplikasi Epidemiologi 
</t>
  </si>
  <si>
    <t>Asriwati Amirah &amp; Safrizal Ahmaruddin</t>
  </si>
  <si>
    <t>Lufi Luthfiani</t>
  </si>
  <si>
    <t>Jl. Kapten Yusuf Gg. Bebas RT. 01/08 No. 18 Kp. Cibogel Desa Kota Batu
Ciomas, Kab. Bogor, Jawa Barat 16610</t>
  </si>
  <si>
    <t>INV/20210121/XXI/I/732380006</t>
  </si>
  <si>
    <t>JNE</t>
  </si>
  <si>
    <t>TJR1017006043432</t>
  </si>
  <si>
    <t>Jerry May hasudungan</t>
  </si>
  <si>
    <t>jalan isman no 31 kenjeran surabaya, Kenjeran, Surabaya, Jawa Timur, 60121</t>
  </si>
  <si>
    <t>Model dan Simulasi Sistem Dinamik</t>
  </si>
  <si>
    <t>Erma Suryani, Rully Agus Hendrawan dan Ulfa Emi Rahmawati</t>
  </si>
  <si>
    <t>BLJC213069364806</t>
  </si>
  <si>
    <t>Ari Haryanto</t>
  </si>
  <si>
    <t>Jl.Perkutut I No.8
Harjamukti
Kota Cirebon
Jawa Barat
45142</t>
  </si>
  <si>
    <t>Model Konseling Kelompok Teknik Problem Solving, Teori dan Praktik untuk 
Meningkatkan Self Efficacy Akademik</t>
  </si>
  <si>
    <t>M. Andi Setiawan</t>
  </si>
  <si>
    <t>Rio Okida</t>
  </si>
  <si>
    <t>Villa Citra 1 Block G -14, KOTA BANDAR LAMPUNG, SUKARAME, LAMPUNG, ID, 35133</t>
  </si>
  <si>
    <t>Implementasi Enterprise Resource Planning Menggunakan Web Erp Untuk
Usaha Kecil Maupun Menengah</t>
  </si>
  <si>
    <t>Astrid Novita Putri</t>
  </si>
  <si>
    <t xml:space="preserve">210118J95A95F7
</t>
  </si>
  <si>
    <t xml:space="preserve"> JP7343976517</t>
  </si>
  <si>
    <t>Nani Sumarni</t>
  </si>
  <si>
    <t>TK SAED AL KHALF &amp; SD IT IBNU ABBAS, Jl. Nyalindung, Kec. Tamansari, Bogor, Jawa Barat, 16610 [Tokopedia Note: tk saed] Tamansari Kab. Bogor 16610
Jawa Barat</t>
  </si>
  <si>
    <t>Memikirkan Kembali Problematika Perkawinan Poligami Secara Sirri</t>
  </si>
  <si>
    <t>Bustami, Rini Fitriani &amp; Siti Sahara</t>
  </si>
  <si>
    <t>INV/20210115/XXI/I/727403641</t>
  </si>
  <si>
    <t>000470345925</t>
  </si>
  <si>
    <t>nurdin zuhri</t>
  </si>
  <si>
    <t>kertajaya indah regency H 35 Sukolilo Kota Surabaya 60282
Jawa Timur</t>
  </si>
  <si>
    <t>INV/20210116/XXI/I/727927510</t>
  </si>
  <si>
    <t>000470348658</t>
  </si>
  <si>
    <t>INV/20210116/XXI/I/727927511</t>
  </si>
  <si>
    <t>000470348659</t>
  </si>
  <si>
    <t>Bapak HARSONO RT 1 (Agung P.)</t>
  </si>
  <si>
    <t>Larangan Utara Nomor 5A RT 1 RW 02 Gang Kibuyut Kelurahan Kecapi Kecamatan Harjamukti Kota Cirebon, Harjamukti, Cirebon, Jawa Barat, 45142</t>
  </si>
  <si>
    <t>Modul : Analisis Data Hidrologi</t>
  </si>
  <si>
    <t>Arif Faisol</t>
  </si>
  <si>
    <t>000864681940</t>
  </si>
  <si>
    <t>Yohanes Mariano Dangku</t>
  </si>
  <si>
    <t>Komunitas Frater BHK Jl.J.A.Suprapto No.21 Malang Kota Malang, Klojen, Malang, Jawa Timur, 65112</t>
  </si>
  <si>
    <t>Kajian Bahasa Telaah Ke Arah Linguistik Deskriptif</t>
  </si>
  <si>
    <t>Sugerman</t>
  </si>
  <si>
    <t>Meutia Diani</t>
  </si>
  <si>
    <t>Pondok Timur Mas Blok G4/9
Bekasi Selatan
Kota Bekasi
Jawa Barat</t>
  </si>
  <si>
    <t>From Research to Technopreneur Strategi Membangun Usaha Berbasis Teknologi &amp; Inovasi Dengan 0 Rupiah</t>
  </si>
  <si>
    <t>Nova Suparmanto</t>
  </si>
  <si>
    <t>Cara Mudah Menyusun Business Plan untuk Bisnis Hebat Anda</t>
  </si>
  <si>
    <t>Gema Wibawa Mukti dkk.</t>
  </si>
  <si>
    <t>LINDA FEBBIANTI</t>
  </si>
  <si>
    <t>RUMAH SAKIT TK IV GUNTUR GARUT
POLIKLINIK DAHLIA, JL BRATAYUDHA 101, KOTA KULON GARUT
Garut Kota
Kabupaten Garut
Jawa Barat</t>
  </si>
  <si>
    <t>Jade</t>
  </si>
  <si>
    <t>Jl. Pawiyatan No.7
Bubutan
Kota Surabaya
Jawa Timur</t>
  </si>
  <si>
    <t>Hana halimatus Syakdiyah</t>
  </si>
  <si>
    <t>Perum krian indah blok A5 No.2 jln. embong kali Kemasan Krian Sidoarjo Jawa Timur
Krian
Kabupaten Sidoarjo
Jawa Timur
61262</t>
  </si>
  <si>
    <t>Aplikasi Psikologi Pendidikan dalam Belajar &amp; Pembelajaran</t>
  </si>
  <si>
    <t>Drs. Donosuko, DP., M.Pd.</t>
  </si>
  <si>
    <t>Indriyati</t>
  </si>
  <si>
    <t>Perum Griya Asri 2 Jln. Kalpataru 6 Blok K8 No.20 RT 006 RW 039, KAB. BEKASI, TAMBUN SELATAN, JAWA BARAT, ID, 17510</t>
  </si>
  <si>
    <t>Semiotika Dokumenter: Membongkar Dekonstruksi Mitos dalam Media Dokumenter</t>
  </si>
  <si>
    <t>Syaiful Halim</t>
  </si>
  <si>
    <t>2101231YH8NDS4</t>
  </si>
  <si>
    <t xml:space="preserve"> JP6230327833</t>
  </si>
  <si>
    <t>Yuyun Dwi Lestari</t>
  </si>
  <si>
    <t xml:space="preserve">Yuyun PKL/BPM Hj. Sri Mustika No.27 Dusun 01 Gelok, RT.4/RW.1, Madukoro, Kotabumi Utara , KAB. LAMPUNG UTARA, KOTABUMI UTARA, LAMPUNG, ID, 34511
</t>
  </si>
  <si>
    <t>Evidence Based Dalam Praktik Kebidanan</t>
  </si>
  <si>
    <t>Ira Jayanti, S.ST., SKM., M.Keb.</t>
  </si>
  <si>
    <t>2101244GRBMXX3</t>
  </si>
  <si>
    <t>JP9500813681</t>
  </si>
  <si>
    <t>Buku Ajar Asuhan Kebidanan Pada Persalinan</t>
  </si>
  <si>
    <t>Dartiwen dan Cucu Nurmala</t>
  </si>
  <si>
    <t>Hadi Shubhan</t>
  </si>
  <si>
    <t>Jl. Gayungsari III No. 32 Blok A-11 (Graha Gayungsari) - Surabaya, Gayungan, Surabaya, Jawa Timur, 60235</t>
  </si>
  <si>
    <t>Hukum Kepailitan Kreditur dalam Pailit</t>
  </si>
  <si>
    <t>Ronald Saija &amp; Michael Nussy</t>
  </si>
  <si>
    <t>000864935752</t>
  </si>
  <si>
    <t>khifdziat</t>
  </si>
  <si>
    <t>Jl. darma bakti no 153 medono Jawa Tengah Kota Pekalongan Pekalongan Barat Indonesia Kota Pekalonga</t>
  </si>
  <si>
    <t>JZ1000237404</t>
  </si>
  <si>
    <t>Winda Kurniawati</t>
  </si>
  <si>
    <t>Jln. Senaken Gg.Kembar NO.171
Tanah Grogot
Kabupaten Paser
Kalimantan Timur
76211</t>
  </si>
  <si>
    <t>The Coursebook Of Cross-Cultural Understanding</t>
  </si>
  <si>
    <t>Sulviana, Markus Deli Girik Allo</t>
  </si>
  <si>
    <t>Irwandhono</t>
  </si>
  <si>
    <t>Pandugo Baru XII Blok R 20
Rungkut
Kota Surabaya
Jawa Timur
60297</t>
  </si>
  <si>
    <t>Hukum Acara Pidana dalam Praktek Peradilan di Indonesia</t>
  </si>
  <si>
    <t>Sugianto</t>
  </si>
  <si>
    <t>Linda Ariyani Pujiastutik</t>
  </si>
  <si>
    <t>Kp Wringin RT 01 RW 01
Jatibanteng
Kabupaten Situbondo
Jawa Timur
68357</t>
  </si>
  <si>
    <t>cokorda meyga</t>
  </si>
  <si>
    <t>jalan trenggana perumahan btn pelagan blok b no 6, penatih
Denpasar Timur
Kota Denpasar
Bali
80238</t>
  </si>
  <si>
    <t>Bunga Rampai Mengembangkan Karakter Melalui Pendidikan Berbasis Nilai</t>
  </si>
  <si>
    <t>Dr. Hj Yunita Iriani Syarief, M.Hum</t>
  </si>
  <si>
    <t>Arneta Rahadewi</t>
  </si>
  <si>
    <t>Seboropasar RT 2 RW 1 Ngombol Kab Purworejo Jawa Tengah
Ngombol
Kabupaten Purworejo
Jawa Tengah
54172</t>
  </si>
  <si>
    <t>PARIWISATA BERKELANJUTAN: Kombinasi Strategi dan Paradigma Pembangunan Berkelanjutan</t>
  </si>
  <si>
    <t>Nabila sukur</t>
  </si>
  <si>
    <t>JL.SAMRATULANGI NO.20 KONTER PELANGICELL BITUNG (DEPAN APOTIK SENTOSA FARMA) · Bitung Barat Satu (I) Sulawesi Utara Kota Bitung Maesa Indonesia Kota Bitung</t>
  </si>
  <si>
    <t>Reinterpretasi Poligami Menyingkap Makna, Syarat Hingga Hikmah Poligami dalam al-Qur’an</t>
  </si>
  <si>
    <t>Abdul Mutakabbir</t>
  </si>
  <si>
    <t>JZ1000237784</t>
  </si>
  <si>
    <t>yofan teguh hakim</t>
  </si>
  <si>
    <t>kantor perwakilan koopsau 2 Jl. Cendrawasih 4, Komplek Halim Perdanakusuma, Kec. Makasar, Kota Jakarta Timur, Daerah Khusus Ibukota Jakarta, 13610, Makasar, Jakarta Timur, DKI Jakarta, 13610</t>
  </si>
  <si>
    <t>Manajemen Pengembangan Sumber Daya Manusia Menunjang Kinerja Aparatur Berkualitas</t>
  </si>
  <si>
    <t>Dr. H. Aras Solong, M.Si.</t>
  </si>
  <si>
    <t xml:space="preserve">
000864979413</t>
  </si>
  <si>
    <t>Puput/Rena</t>
  </si>
  <si>
    <t>Jl. Suci, Gg, saibun. RT 11 / RW 04 No. 153A , KOTA JAKARTA TIMUR, CIRACAS, DKI JAKARTA, 13750, Ciracas, Jakarta Timur, DKI Jakarta, 13750</t>
  </si>
  <si>
    <t>Hukum Acara Dan Wacana Citizen Lawsuit Di Indonesia Pasca Undang-Undang Administrasi Pemerintahan (Sebuah Sumbangan Pemikiran)</t>
  </si>
  <si>
    <t>Muhammad Adiguna Bimasakti</t>
  </si>
  <si>
    <t>BLJC213073517656</t>
  </si>
  <si>
    <t>Perbuatan Melawan Hukum (Pmh) Oleh Pemerintah/Onrechtmatige Overheidsdaad (Ood) Dari Sudut Pandang Undang-Undang Administrasi Pemerintahan</t>
  </si>
  <si>
    <t>Praktik dan Wacana Seputar Persidangan Elektronik (E-Litigation) di Peradilan Tata Usaha Negara</t>
  </si>
  <si>
    <t>Bambang Soebiyantoro, dkk.</t>
  </si>
  <si>
    <t>Rina Isacom</t>
  </si>
  <si>
    <t>Isacom Olah Data, Jl. Tembalang Baru IV, Kec. Tembalang, Kota Semarang, Jawa Tengah, 50275 [Tokopedia Note: Nama : Rina isacom Alamat : isacom olahdata jl perumda tem] Tembalang Kota Semarang 50275</t>
  </si>
  <si>
    <t>TEKNIK RELAKSASI Menurunkan Stres pada Penyakit Kronis</t>
  </si>
  <si>
    <t>Rostime Hermayerni Simanullang dan Julahir Hodmatua Siregar</t>
  </si>
  <si>
    <t>INV/20210126/XXI/I/736174788</t>
  </si>
  <si>
    <t>TJX1762536077458</t>
  </si>
  <si>
    <t>Mas syafik / ibu anggrain</t>
  </si>
  <si>
    <t>Jalan tembok gede gang 3 B No 28 A Kos Anggraini (Cetak foto cathay masuk gang lurus), KOTA SURABAYA, SAWAHAN, JAWA TIMUR, ID, 60251</t>
  </si>
  <si>
    <t>Kekerasan Pada Anak (Kajian Teoritis Dan Empiris)</t>
  </si>
  <si>
    <t>Muhammad Syukri Pulungan</t>
  </si>
  <si>
    <t>2101257A628BK2</t>
  </si>
  <si>
    <t>JP8976527751</t>
  </si>
  <si>
    <t>Ibu Minah/Mbak Surani</t>
  </si>
  <si>
    <t xml:space="preserve">Karanganom RT.1/RW.4, Popongan, Kec. Karanganyar, KAB. KARANGANYAR, KARANGANYAR, JAWA TENGAH, ID, 57715
</t>
  </si>
  <si>
    <t>Sepucuk Cempaka di Kotamu: Antologi 14 Kisah Alumni Awardee Yogyakarta</t>
  </si>
  <si>
    <t>ed. Devy Pramudyah Wardani, dkk</t>
  </si>
  <si>
    <t>2101257SS79BRG</t>
  </si>
  <si>
    <t>JP7197856242</t>
  </si>
  <si>
    <t>BAKUL KITA</t>
  </si>
  <si>
    <t xml:space="preserve">Jl. Ahmad Yani Lr.6 No.18 Blora, KAB. BLORA, BLORA KOTA, JAWA TENGAH, ID, 58219
</t>
  </si>
  <si>
    <t>Peningkatan Kinerja Sumber Daya Manusia Melalui Motivasi, Disiplin,
Lingkungan Kerja, dan Komitmen</t>
  </si>
  <si>
    <t>Agung Prihantoro, S.E., M.M.</t>
  </si>
  <si>
    <t>2101269NJAUNH7</t>
  </si>
  <si>
    <t> JP1710764446</t>
  </si>
  <si>
    <t>Fidya Abdullah</t>
  </si>
  <si>
    <t>Limboto Barat desa padengo · Padengo Gorontalo Kab. Gorontalo Limboto Barat Indonesia Kab. Gorontalo</t>
  </si>
  <si>
    <t>Warisan Budaya Sebagai Kekayaan Pariwisata Indonesia</t>
  </si>
  <si>
    <t>Supriono</t>
  </si>
  <si>
    <t>Hatta Zakki</t>
  </si>
  <si>
    <t>Manukan Rejo Blok 4A-11 RT 1 RW 6
  Kecamatan: Tandes
  Kabupaten/Kota: Surabaya
  Provinsi: Jawa Timur</t>
  </si>
  <si>
    <t>90 HARI MENULIS BUKU Cara Asyik dan Menarik serta Penuh Tantangan dalam Menulis sebuah Buku</t>
  </si>
  <si>
    <t>Dr. Nasrul Syarif, M.Si</t>
  </si>
  <si>
    <t>dwi puspita sari</t>
  </si>
  <si>
    <t>Jalan KH. Ahmad Dahlan no. 32 (catering cahaya) Kauman, Bojonegoro, KAB. BOJONEGORO, BOJONEGORO, JAWA TIMUR, ID, 62113</t>
  </si>
  <si>
    <t>Buku Ajar Asuhan Kebidanan Pada Neonatus, Bayi, Balita Dan Anak Pra Sekolah</t>
  </si>
  <si>
    <t>Rizkia Amilia &amp; Nurul Qamariah Rista Andaruni</t>
  </si>
  <si>
    <t>210126A0NT0B5Q</t>
  </si>
  <si>
    <t>CM56593281996</t>
  </si>
  <si>
    <t>Manajemen Keperawatan Konsep Praktis bagi Mahasiswa dan Tenaga Keperawatan</t>
  </si>
  <si>
    <t>Ronald Sagala</t>
  </si>
  <si>
    <t>Jl. Kartika Jaya V No. 11, Cikeas Udik
Gunung Putri
Kabupaten Bogor
Jawa Barat</t>
  </si>
  <si>
    <t>Siti Azizah</t>
  </si>
  <si>
    <t>Butik_azizahsedness
Bungus Teluk Kabung
Kota Padang
Sumatera Barat</t>
  </si>
  <si>
    <t>Pendekatan Saintifik di Sekolah Dasar</t>
  </si>
  <si>
    <t>H. AGUS IMAN RUSMAN (TOKO MEUBEL RAHAYU)</t>
  </si>
  <si>
    <t xml:space="preserve">JL. CIMANUK NO. 197 KAMPUNG LEUWIDAUN RT 01 RW 01 DESA HAURPANGGUNG 
  Kecamatan: TAROGONG KIDUL 
  Kabupaten/Kota: GARUT
  Provinsi: JAWA BARAT </t>
  </si>
  <si>
    <t>Hukum dan Politik Ketatanegaraan Indonesia</t>
  </si>
  <si>
    <t>Wira Atma Hajri</t>
  </si>
  <si>
    <t>Selayang Pandang tentang Hukum Internasional</t>
  </si>
  <si>
    <t>Darwis Anatami</t>
  </si>
  <si>
    <t>retno rahayu</t>
  </si>
  <si>
    <t>alamat lengkong wetan rt/rw 001/006 kec. serpong 
kota tangerang selatan.</t>
  </si>
  <si>
    <t>Pengantar Manajemen</t>
  </si>
  <si>
    <t>M. Anang Firmansyah dan . Budi W. Mahardhika</t>
  </si>
  <si>
    <t>Mohammad Andika Pratama</t>
  </si>
  <si>
    <t>Perumahan Griya Bukit Permata/Catur Blok H8 No:11 RT 005 RW 013 kelurahan bojongbaru kecamatan bojonggede Kabupaten Bogor 16922
  Kecamatan: Bojonggede
  Kabupaten/Kota: Kabupaten Bogor
  Provinsi: Jawa Barat</t>
  </si>
  <si>
    <t>Auditor dalam Perkara Korupsi di Indonesia Berbasis Nilai Keadilan</t>
  </si>
  <si>
    <t>Sarbudin Panjaitan</t>
  </si>
  <si>
    <t>Selvi Handayani</t>
  </si>
  <si>
    <t>Jl suroharjo 9G muja muju umbulharjo, kos putri hesana, KOTA YOGYAKARTA, UMBULHARJO, DI YOGYAKARTA, ID, 55165</t>
  </si>
  <si>
    <t>Beyond Compliance: Mewujudkan Perusahaan Agroindustri dalam Perlindungan dan
Pengelolaan Lingkungan Hidup</t>
  </si>
  <si>
    <t>Anwar Hamdani &amp; I Gusti Putu Diva Awatara</t>
  </si>
  <si>
    <t>210128EVFEXVNH</t>
  </si>
  <si>
    <t> JP6260768627</t>
  </si>
  <si>
    <t>medan</t>
  </si>
  <si>
    <t xml:space="preserve">Auzan Febriandati </t>
  </si>
  <si>
    <t xml:space="preserve"> Jl.Sunset Avenue blok Ap2 no.5, Kel.Lambangsari, Kec.Tambun Selatan, Kab.Bekasi 17510</t>
  </si>
  <si>
    <t>hukum tata negara</t>
  </si>
  <si>
    <t>prof ni’matul huda</t>
  </si>
  <si>
    <t xml:space="preserve"> Jl.Sunset Avenue blok Ap2 no.5, Kel.Lambangsari, Kec.Tambun Selatan, Kab.Bekasi 17511</t>
  </si>
  <si>
    <t>hukum adiminstrasi negara</t>
  </si>
  <si>
    <t>sf marbun</t>
  </si>
  <si>
    <t xml:space="preserve"> Jl.Sunset Avenue blok Ap2 no.5, Kel.Lambangsari, Kec.Tambun Selatan, Kab.Bekasi 17512</t>
  </si>
  <si>
    <t>hukum adat</t>
  </si>
  <si>
    <t>siti hapsah</t>
  </si>
  <si>
    <t>Teni Novianti</t>
  </si>
  <si>
    <t>Jl. Durian VII Blok 4 No.16, Perumnas Bumi Cikal Asih Desa Cikalong, KAB. MAJALENGKA, SUKAHAJI, JAWA BARAT, ID, 45471</t>
  </si>
  <si>
    <t>Keamanan Pangan</t>
  </si>
  <si>
    <t>Rochmawati</t>
  </si>
  <si>
    <t>210128FQ0AW3C7</t>
  </si>
  <si>
    <t> JP5597260716</t>
  </si>
  <si>
    <t>Jl. Durian VII Blok 4 No.16, Perumnas Bumi Cikal Asih Desa Cikalong, KAB. MAJALENGKA, SUKAHAJI, JAWA BARAT, ID, 45472</t>
  </si>
  <si>
    <t>Buku Ajar Teknologi Penanganan Hasil Perikanan</t>
  </si>
  <si>
    <t>Asri Silvana Naiu, S.Pi., M.Si.</t>
  </si>
  <si>
    <t>Jl. Durian VII Blok 4 No.16, Perumnas Bumi Cikal Asih Desa Cikalong, KAB. MAJALENGKA, SUKAHAJI, JAWA BARAT, ID, 45473</t>
  </si>
  <si>
    <t>Jl. Durian VII Blok 4 No.16, Perumnas Bumi Cikal Asih Desa Cikalong, KAB. MAJALENGKA, SUKAHAJI, JAWA BARAT, ID, 45474</t>
  </si>
  <si>
    <t>Penyedap Rasa Berbahan Baku Ikan Lokal Segar Nike dan Manggabai</t>
  </si>
  <si>
    <t>A. Dali &amp; Rita M. Harmain</t>
  </si>
  <si>
    <t>Bapak Harsono RT 1 (Agung Prasetyo)</t>
  </si>
  <si>
    <t>Larangan Utara Gang Kibuyut No.5A RT 1 RW 02 Kelurahan Kecapi Kecamatan Harjamukti Harjamukti Kota Cirebon 45142
Jawa Barat</t>
  </si>
  <si>
    <t>Modul Pengolahan Data Iklim Menggunakan Perangkat Lunak Open Source</t>
  </si>
  <si>
    <t>INV/20210128/XXI/I/738825624</t>
  </si>
  <si>
    <t>fajar riyan</t>
  </si>
  <si>
    <t>metland cileungsi blok fa4 no 11 Cileungsi Kab. Bogor 16820
Jawa Barat</t>
  </si>
  <si>
    <t>Jaringan Komputer dan Simulasi CISCO Packet Tracer</t>
  </si>
  <si>
    <t>Andi Maslan</t>
  </si>
  <si>
    <t>INV/20210128/XXI/I/738905646</t>
  </si>
  <si>
    <t>BEL13662</t>
  </si>
  <si>
    <t>khoiriyah</t>
  </si>
  <si>
    <t>jl mekarsari, fuji foto studio, no.4 blok E bekasi timur · Bekasijaya (Bekasi Jaya) Jawa Barat Kota Bekasi Bekasi Timur Kota Bekasi Indonesi</t>
  </si>
  <si>
    <t>JZ1000239246</t>
  </si>
  <si>
    <t>aldi sapri</t>
  </si>
  <si>
    <t>jalan raya simpang haru smk 1 muhammadiyah · Simpang Haru Sumatera Barat Kota Padang Padang Timur Indonesia Kota Padang</t>
  </si>
  <si>
    <t>Pendidikan Karakter Di Era Milenial</t>
  </si>
  <si>
    <t>Drs. Adi Suprayitno, M.Pd. dan Dr. Ir. Wahid Wahyudi, M.T.</t>
  </si>
  <si>
    <t>JZ1000239360</t>
  </si>
  <si>
    <t>Ariani Dwi Wulandari</t>
  </si>
  <si>
    <t>Dsn. Pajaran RT/RW. 022/003 Ds. Peterongan Kec. Peterongan Kab. Jombang (Belakang puskesmas peterongan)
  Kecamatan: Peterongan
  Kabupaten/Kota: Jombang
  Provinsi: Jawa Timur</t>
  </si>
  <si>
    <t>Etnografi pembangunan papua</t>
  </si>
  <si>
    <t>Mulyadi</t>
  </si>
  <si>
    <t>dini</t>
  </si>
  <si>
    <t xml:space="preserve"> Jl. Kancil No.9B rt 009/002
  Kecamatan: Pasar Minggu
  Kabupaten/Kota: Jakarta Selatan
  Provinsi:DKI Jakarta</t>
  </si>
  <si>
    <t>Politik, Partai Politik, dan Perempuan Frontstage and Backstage Sebuah Catatan</t>
  </si>
  <si>
    <t>Imron Wasi</t>
  </si>
  <si>
    <t>Budi Susanto</t>
  </si>
  <si>
    <t>Yayasan Hutan Biru Al Faridz Residence no A8 Jl. Sepakat II, Bansir Darat Pontianak Tenggara Kota Pontianak 78112
Kalimantan Barat</t>
  </si>
  <si>
    <t>Seftiawan Samsu Rijal, A.Md., S.Si., M.Sc.</t>
  </si>
  <si>
    <t>INV/20210129/XXI/I/739558745</t>
  </si>
  <si>
    <t>TJR1521481710374</t>
  </si>
  <si>
    <t>Anggita Septian</t>
  </si>
  <si>
    <t>Jalan Letjen Suprapto No.16B RT.01/Rw.06 Burengan Jawa Timur Kota Kediri Kediri Kota Indonesia Kota Kediri</t>
  </si>
  <si>
    <t>Panduan Lengkap Keterampilan Dasar Kebidanan II</t>
  </si>
  <si>
    <t>Ika Putri Damayanti, SST., M.Kes. Dkk</t>
  </si>
  <si>
    <t>JZ1000239371</t>
  </si>
  <si>
    <t>Agus Budiman</t>
  </si>
  <si>
    <t>Kp. Cimanggis Rt 007 Rw 002 Desa Mangunjaya, KAB. SUKABUMI, WALURAN, JAWA BARAT, ID, 43175</t>
  </si>
  <si>
    <t>Murabahah : Konsep &amp; Aplikasinya Dalam Perbankan Islam (Telaah Kritis Legalitas Murabahah Pada Akad Perbankan Syariah di Indonesia)</t>
  </si>
  <si>
    <t>Mukhlishin</t>
  </si>
  <si>
    <t>210129HSX76VMA</t>
  </si>
  <si>
    <t>JP5027437217</t>
  </si>
  <si>
    <t>Sahara Ramadhan</t>
  </si>
  <si>
    <t xml:space="preserve">Perumahan Serpong Garden Cluster Green Apple, Blok F - 14 No. 09 , KAB. TANGERANG, CISAUK, BANTEN, ID, 15843
</t>
  </si>
  <si>
    <t>210131P2V1SA5M</t>
  </si>
  <si>
    <t>JP1981949855</t>
  </si>
  <si>
    <t>Khoirunnisa</t>
  </si>
  <si>
    <t xml:space="preserve">Jl.kampung rawa semut 002/012 No.96, Margahayu-Bekasi timur, KOTA BEKASI, BEKASI TIMUR, JAWA BARAT, ID, 17113
</t>
  </si>
  <si>
    <t>210131PU10Q4K4</t>
  </si>
  <si>
    <t>JP5046348439</t>
  </si>
  <si>
    <t>Taslim Rohmani</t>
  </si>
  <si>
    <t>Dadi Rejo Kel., Belitang III (Ponpes hidayatus salam al munawaroh), KAB. OGAN KOMERING ULU TIMUR, BELITANG III, SUMATERA SELATAN, ID, 32385</t>
  </si>
  <si>
    <t>210201R69XF942</t>
  </si>
  <si>
    <t>JP4256999419</t>
  </si>
  <si>
    <t>BASYARUDIN</t>
  </si>
  <si>
    <t>JALAN BAITUS SURUR, GONDRONG, KOTA TANGERANG BLOK C/27 RT. 04/02 SAMPING MUSHOLAH BAITUS SURUR KEL. GONDRONG, Cipondoh, Tangerang, Banten, 15146</t>
  </si>
  <si>
    <t>Penegakan Hukum dan Kesadaran Masyarakat</t>
  </si>
  <si>
    <t>000865193867</t>
  </si>
  <si>
    <t>eko sunyoto</t>
  </si>
  <si>
    <t>jalan jayagiri no. 22 kecamatan denpasar timur, denpasar, bali, Denpasar Timur, Denpasar, Bali, 80235</t>
  </si>
  <si>
    <t>Buku Ajar Konservasi Tanah dan Air</t>
  </si>
  <si>
    <t>Ria Rosdiana Hutagaol S.Hut.,M.P</t>
  </si>
  <si>
    <t>JB0044064256</t>
  </si>
  <si>
    <t>Suci Ati</t>
  </si>
  <si>
    <t>Jl. Moh. Ramdan Blok Kertayasa (Jar) RT.02 RW.01 Jawa Barat Kab. Cirebon Jamblang Indonesia Kab. Cirebon</t>
  </si>
  <si>
    <t>JZ1000240066</t>
  </si>
  <si>
    <t>Arrahma Harmi</t>
  </si>
  <si>
    <t>JL.POROS SP2-SP5 (DEPAN RSMM) MIMIKA 99962 · Wanagon Papua Kab. Mimika Mimika Baru Indonesia Kab. Mimika</t>
  </si>
  <si>
    <t>JZ1000240022</t>
  </si>
  <si>
    <t>Darwel, SKM, M.Epid</t>
  </si>
  <si>
    <t xml:space="preserve"> Jurusan Kesling Poltekkes Kemenkes Padang. Jalan simpang Pondok Kopi Siteba Kelurahan surau Gadang
  Kecamatan: Nanggalo
  Kota: Padang
  Provinsi: Sumatera Barat</t>
  </si>
  <si>
    <t>Manajemen Data Statistik untuk Penelitian Kesehatan</t>
  </si>
  <si>
    <t>Rahmi Lisdeni dan Darwel</t>
  </si>
  <si>
    <t>Anisa Rahmawati</t>
  </si>
  <si>
    <t xml:space="preserve">Wisma Gsb,blok a, no 9, cat kuning-biru, KAB. LAMPUNG TIMUR, SEKAMPUNG UDIK, LAMPUNG, ID, 34383
</t>
  </si>
  <si>
    <t>210201RNGE9H4F</t>
  </si>
  <si>
    <t>Maranatha simanjuntak</t>
  </si>
  <si>
    <t>sungai nayon. Komplek akasia. gang pinus no 26
  Kecamatan:bengkong
  Kabupaten/Kota:batam
  Provinsi:kepulauan riau</t>
  </si>
  <si>
    <t>Pembelajaran Mekatronika Berbasis Proyek -</t>
  </si>
  <si>
    <t>Noor Cholis B</t>
  </si>
  <si>
    <t>expo</t>
  </si>
  <si>
    <t>Widyaswara Angger Pramudya</t>
  </si>
  <si>
    <t>Kepuk GK III no 937, Kelurahan Klitren, Kecamatan Gondokusuman, Kota Yogyakarta, DI Yogyakarta 55222</t>
  </si>
  <si>
    <t>Sistem Informasi Geografis Berbasis Android Studi Kasus Aplikasi SIG Pariwisata</t>
  </si>
  <si>
    <t>Joni Karman, Hardi Mulyono &amp; A. Taqwa Martadinata</t>
  </si>
  <si>
    <t>Muhammad Adnan Hendrawan</t>
  </si>
  <si>
    <t>Pengantar Mitigasi Bencana Geologi</t>
  </si>
  <si>
    <t>Djauhari Noor</t>
  </si>
  <si>
    <t>Muhammad Suandrik</t>
  </si>
  <si>
    <t>Dusun Sumber Kembar, RT 02/ RW 06, Desa Wonodadi, Kecamatan Kutorejo, Kabupaten Mojokerto, Jawa Timur, Kode Pos 61383</t>
  </si>
  <si>
    <t>Kamus Geografi</t>
  </si>
  <si>
    <t>Dedi Sasmito Utomo</t>
  </si>
  <si>
    <t>Vindyantika A.N</t>
  </si>
  <si>
    <t>Desa Pungpungan RT 02/RW 01 Bengkel Nggiran Kreasi BpAndik KecKalitidu KabBojonegoro Jawa Timur 62152</t>
  </si>
  <si>
    <t>Muhammad Alimuddin Thohir</t>
  </si>
  <si>
    <t>SMA Labschool Cirendeu, Jalan Cirendeu Raya No40, Kel Pisangan, Kec Ciputat Timur, Kota Tangerang Selatan, Banten 15419</t>
  </si>
  <si>
    <t>Geomorfologi</t>
  </si>
  <si>
    <t>Buku Ajar Geografi Lingkungan Berbasis Konstruktivis</t>
  </si>
  <si>
    <t>Agus Herianto dan Ibrahim</t>
  </si>
  <si>
    <t>SMA Labschool Cirendeu, Jalan Cirendeu Raya No40, Kel Pisangan, Kec Ciputat Timur, Kota Tangerang Selatan, Banten 15420</t>
  </si>
  <si>
    <t>Alimuddin Mohd.</t>
  </si>
  <si>
    <t>SMA Labschool Cirendeu, Jalan Cirendeu Raya No40, Kel Pisangan, Kec Ciputat Timur, Kota Tangerang Selatan, Banten 15421</t>
  </si>
  <si>
    <t>Membuka Wawasan dengan Geografi untuk Kelas X SMA/MA</t>
  </si>
  <si>
    <t>Agnas Setiawan</t>
  </si>
  <si>
    <t>SMA Labschool Cirendeu, Jalan Cirendeu Raya No40, Kel Pisangan, Kec Ciputat Timur, Kota Tangerang Selatan, Banten 15422</t>
  </si>
  <si>
    <t>Membuka Wawasan dengan Geografi untuk Kelas XI SMA/MA</t>
  </si>
  <si>
    <t>SMA Labschool Cirendeu, Jalan Cirendeu Raya No40, Kel Pisangan, Kec Ciputat Timur, Kota Tangerang Selatan, Banten 15423</t>
  </si>
  <si>
    <t>Membuka Wawasan dengan Geografi untuk Kelas XII SMA/MA</t>
  </si>
  <si>
    <t>Sa'idah</t>
  </si>
  <si>
    <t>MA NU Lasem Jl Sunan Bonang 87 Lasem 59271 Kabupaten Rembang Jawa Tengah</t>
  </si>
  <si>
    <t>Dasar Sistem Informasi Geografi dan Aplikasinya Menggunakan ARCGIS 9.3</t>
  </si>
  <si>
    <t>Anang Widhi Nirwansyah, S.Pd., M.Sc.</t>
  </si>
  <si>
    <t>Yohanes Susanto</t>
  </si>
  <si>
    <t xml:space="preserve"> Jln Irigasi, Lrg Sehat No 3184 Kel Srijaya, Kec.Alang lebar Pakjo belang Kantor JNE Palembang Sumatera selatan</t>
  </si>
  <si>
    <t>Ahmad Arief Wijayanto</t>
  </si>
  <si>
    <t>Jl. S. Parman, Rt.003/Rw.004, Desa Bongas Wetan, kec. Sumberjaya, kab. Majalengka. 45455. (Patokan smpit al-ittihad).</t>
  </si>
  <si>
    <t>Konsep Data Mining Vs Sistem Pendukung Keputusan</t>
  </si>
  <si>
    <t>Dicky Nofriansyah, S.Kom., M.Kom.</t>
  </si>
  <si>
    <t>Slamet Ifandi, M.Si. Ifandi</t>
  </si>
  <si>
    <t>Universitas Billfath
Jl. Kampus Universitas Billfath-Komplek YPP Al Fattah-Siman, Sekaran, Kab. Lamongan
Sekaran
Kabupaten Lamongan
Jawa Timur
62260</t>
  </si>
  <si>
    <t>Pengetahuan Lingkungan</t>
  </si>
  <si>
    <t>Meilani Belladona dan Alex Surapati</t>
  </si>
  <si>
    <t>Khairil Ansari</t>
  </si>
  <si>
    <t>Jln Jermal 7 Nomor 28 Medan
  Kecamatan: Medsn Denai
  Kabupaten/Kota: Medan
  Provinsi: Sumatera Utara</t>
  </si>
  <si>
    <t>Uraian Singkat tentang E-Learning</t>
  </si>
  <si>
    <t>Enty Lafina Nasution</t>
  </si>
  <si>
    <t>Esensi Pengembangan Pembelajaran Daring Panduan Berstandar Pengembangan Pembelajaran Daring Untuk Pendidikan Dan Pelatihan</t>
  </si>
  <si>
    <t>Yusuf Bilfaqih dan M. Nur Qomarudin</t>
  </si>
  <si>
    <t>Buku Ajar Pariwisata dan Seni</t>
  </si>
  <si>
    <t>Misda Elina</t>
  </si>
  <si>
    <t>Pembaharuan Sistem Hukum Pelaksanaan Pidana</t>
  </si>
  <si>
    <t>Ade Adhari</t>
  </si>
  <si>
    <t>Sistem Merit dalam perspektif perbandingan hukum kepegawaian Aparatur Sipil Negara</t>
  </si>
  <si>
    <t>Halim</t>
  </si>
  <si>
    <t>Pelaksanaan Tugas Polri di Era Perubahan: Model Perpolisian Masyarakat, Penegakan Hukum &amp; Kearifan Lokal</t>
  </si>
  <si>
    <t>Rudy Cahya Kurniawan</t>
  </si>
  <si>
    <t>Muhammad Rifqi Daud</t>
  </si>
  <si>
    <t>Jln Raya Janti Komplek lanud adisucipto Blok A-19
  Kecamatan: Banguntapan
  Kabupaten/Kota: Bantul
  Provinsi: Daerah Istimewa Yogyakarta</t>
  </si>
  <si>
    <t>Biologi Tanah: Membedah Kerapuhan Sistem Budidaya Monokultur</t>
  </si>
  <si>
    <t>Enny Widiyati</t>
  </si>
  <si>
    <t>Anggi Puspita Sari</t>
  </si>
  <si>
    <t xml:space="preserve">Jln Candi Mendut Barat a/48
  Kecamatan: Lowokwaru
  Kabupaten/Kota: Malang
  Provinsi: Jawatimur </t>
  </si>
  <si>
    <t>RISYAH MILLATILLAH</t>
  </si>
  <si>
    <t>Ds. Tebas RT.01/RW.03 Kec. Gondangwetan, Kab Pasuruan, Jatim
  Kecamatan: Gondangwetan 
  Kabupaten : Pasuruan 
  Provinsi: Jawa Timur</t>
  </si>
  <si>
    <t>Psikologi Belajar</t>
  </si>
  <si>
    <t>Dr. Afi Parnawi, M.Pd.</t>
  </si>
  <si>
    <t>Muhamad Yusup</t>
  </si>
  <si>
    <t>SMP Nurul iman Sukakarya
Kp. Kobak rotan desa. Sukamakmur kec. Sukakarya kab. Bekasi
Sukakarya
Kabupaten Bekasi
Jawa Barat
17630</t>
  </si>
  <si>
    <t>Kapita Selekta Pendidikan: Mengurai Benang Kusut Pendidikan Islam</t>
  </si>
  <si>
    <t>Dr. H. Kurnali, S.Ag., M.M.</t>
  </si>
  <si>
    <t>Ria</t>
  </si>
  <si>
    <t>Akademi Keperawatan Dharma Insan( Asrama St Theresia), Jl. Merdeka No.55, Mariana , KOTA PONTIANAK, PONTIANAK KOTA, KALIMANTAN BARAT, ID, 78111</t>
  </si>
  <si>
    <t>Bagaimana Menghadapi Gangguan Mood Masa Nifas?</t>
  </si>
  <si>
    <t>Yuni Purwati dan Kustiningsih</t>
  </si>
  <si>
    <t>210202V3CKRUA3</t>
  </si>
  <si>
    <t>JP9511273354</t>
  </si>
  <si>
    <t>sanusi ariyanto</t>
  </si>
  <si>
    <t>Jalan Kaharudin Nasution , komp Gading Marpuyan Blok A10 No 16 ,Pekanbaru,Riau, Marpoyan Damai, Pekanbaru, Riau, 28251</t>
  </si>
  <si>
    <t>000865284936</t>
  </si>
  <si>
    <t>Misfalakhul Hidayah Ruhyoto</t>
  </si>
  <si>
    <t>jl Hasanuddin rt4 RW 2, Riau, Kab. Indragiri Hilir, Kateman, Indonesia</t>
  </si>
  <si>
    <t>Manajemen Laboratorium Untuk Mahasiswa Dan Umum</t>
  </si>
  <si>
    <t>Weni Puspita</t>
  </si>
  <si>
    <t>A.TENRIAWARU</t>
  </si>
  <si>
    <t>Jl. Datuk Ditiro Satu No. 12
Kelurahan La'latang
  Kecamatan: Tallo
  Kabupaten/Kota: Makassar
  Provinsi: Sulawesi Selatan</t>
  </si>
  <si>
    <t>Yustisia Kristiana</t>
  </si>
  <si>
    <t>H. AHMAD FARHAT</t>
  </si>
  <si>
    <t>PENGDILAN AGAMA MUNGKID JL SUKARNO HATTA NO. 36  KECAMATAN MUNGKIN KABUPATEN MAGELANG  PRPOV JAWA TENGAH.  KODE POS 56011</t>
  </si>
  <si>
    <t>Al-Syiqaq dalam Putusan Perkawinan di Pengadilan Agama Tanah Luwu</t>
  </si>
  <si>
    <t>Dr. Mustaming, S.Ag., M.HI.</t>
  </si>
  <si>
    <t>wenny sofia</t>
  </si>
  <si>
    <t>jln proklamasi no 63 padang
  Kecamatan: padang selatan
  Kabupaten/Kota:  padang
  Provinsi:sumatera barat</t>
  </si>
  <si>
    <t>Zulhazzi Siregar</t>
  </si>
  <si>
    <t>Pesantren Modern Nurul Hakim, jl. M. Yakub Lubis No. 51 Tembung
  Kecamatan: Percut Sei Tuan
  Kabupaten/Kota: Deli Serdang
  Provinsi: Sumatera Utara</t>
  </si>
  <si>
    <t>Sarinah</t>
  </si>
  <si>
    <t>Pengembangan Jati Diri dan Motivasi Kerja Aparatur melalui Komitmen dan Budaya
Organisasi</t>
  </si>
  <si>
    <t>Aras Solong</t>
  </si>
  <si>
    <t>Manajemen Pengembangan Sumber Daya Manusia Menunjang Kinerja Aparatur Berkualitas -</t>
  </si>
  <si>
    <t>H. Aras Solong</t>
  </si>
  <si>
    <t>none</t>
  </si>
  <si>
    <t>Status Gizi Lansia</t>
  </si>
  <si>
    <t>Johanna Christy, S.K.M., M.K.M., Lamtiur Junita Bancin, S.K.M., M.Sc.</t>
  </si>
  <si>
    <t>andre</t>
  </si>
  <si>
    <t>Mahir Menguasai SPSS Panduan Praktis Mengolah Data Penelitian New Edition Buku Untuk Orang Yang (Merasa) Tidak Bisa Dan Tidak Suka Statistika</t>
  </si>
  <si>
    <t>Hery Firmantio</t>
  </si>
  <si>
    <t>DPUTR Kab. Pemalang
Jl. Pala 3 Timur No. 9 RT 4 RW 10
Kramat
Kabupaten Tegal
Jawa Tengah
52181</t>
  </si>
  <si>
    <t>APLIKASI PERKANTORAN OPEN OFFICE DAN WPS OFFICE</t>
  </si>
  <si>
    <t>Harianja</t>
  </si>
  <si>
    <t>rafida ramadhanty</t>
  </si>
  <si>
    <t>kp. Sekarwangi rt 05 rw 07 kel. Neglasari no. 132 kode pos 15129
  Kecamatan: neglasari
  Kabupaten/Kota: kota tangerang
  Provinsi: banten</t>
  </si>
  <si>
    <t>Teknik Menulis Karya Ilmiah: Dengan 8 Senjata Aplikasi Pendukung Produktivitas Riset</t>
  </si>
  <si>
    <t>Taufik Nur, H. Zakir Sabara dan Ismail Suardi Wekke</t>
  </si>
  <si>
    <t>Afra Apriliyanti Kusuma</t>
  </si>
  <si>
    <t xml:space="preserve">JL TARI GONG GG GONG 4 RT 16 KELURAHAN GUNTUNG, KECAMATAN BONTANG UTARA, KOTA BONTANG , KOTA BONTANG, BONTANG UTARA, KALIMANTAN TIMUR, ID, 75315
</t>
  </si>
  <si>
    <t>Buku Ajar Apresiasi Prosa Indonesia</t>
  </si>
  <si>
    <t>Dina Ramadhanti, M.Pd.</t>
  </si>
  <si>
    <t xml:space="preserve"> JP7930783962</t>
  </si>
  <si>
    <t>RISNAWATI</t>
  </si>
  <si>
    <t>Konsep Pendidikan Anak Usia Dini Menurut Psikologi Islam</t>
  </si>
  <si>
    <t>Dr. MA. Muazar Habibi, S.Psi., M.Psych., M.Pd.</t>
  </si>
  <si>
    <t>JZ1000240692</t>
  </si>
  <si>
    <t>H. MUHSONO WONGSONADI</t>
  </si>
  <si>
    <t>JALAN PEDATI BARAT DALAM NO. 40 RT 011 RW 04 KEL. CIPINANG CEMPEDAK KEC. JATINEGARA JAKARTA TIMUR 13340
Jatinegara, Kota Administrasi Jakarta Timur, DKI Jakarta 13340</t>
  </si>
  <si>
    <t>DASAR-DASAR PENELITIAN DESAIN UNTUK PENDIDIKAN</t>
  </si>
  <si>
    <t>M. Andy Rudhito</t>
  </si>
  <si>
    <t>INV/20210204/XXI/II/744836133</t>
  </si>
  <si>
    <t>Model Pembelajaran Berbasis Proyek (PBP) dan Penerapannya dalam 
Proses Pembelajaran di Kelas</t>
  </si>
  <si>
    <t>Yanti Rosinda Tinenti</t>
  </si>
  <si>
    <t>Fani dwi ariani</t>
  </si>
  <si>
    <t>Jalan kalem gg pantai sanur dusun 3A desa limau manis. No 97 , KAB. DELI SERDANG, TANJUNG MORAWA, SUMATERA UTARA, ID, 20362</t>
  </si>
  <si>
    <t>Pengembangan Model dan Metode Pembelajaran dalam Dinamika Belajar Siswa</t>
  </si>
  <si>
    <t>Darmadi</t>
  </si>
  <si>
    <t>2102043GA1FE1K</t>
  </si>
  <si>
    <t>JP7361965217</t>
  </si>
  <si>
    <t>Chairunissya Rachma</t>
  </si>
  <si>
    <t>Putat Jaya C Bar, Jalan Gg I No.26, Putat Jaya, Sawahan (No. 26), KOTA SURABAYA, SAWAHAN, JAWA TIMUR, ID, 60255</t>
  </si>
  <si>
    <t>2102055BR42EB5</t>
  </si>
  <si>
    <t>JP6471415454</t>
  </si>
  <si>
    <t>Christina</t>
  </si>
  <si>
    <t>Universitas Brawijaya
Jl. Sunan Giri No.0-01B, RT.09/R.03
Wagir
Kabupaten Malang
Jawa Timur</t>
  </si>
  <si>
    <t>Neraca Energi tanpa Reaksi Kimia</t>
  </si>
  <si>
    <t>Dhoni Hartanto dan Prima Astuti Handayani</t>
  </si>
  <si>
    <t>Neraca Energi dengan Reaksi Kimia dan Kelembapan</t>
  </si>
  <si>
    <t>Prima Astuti Handayani &amp; Dhoni Hartanto</t>
  </si>
  <si>
    <t>Hilda Natalia</t>
  </si>
  <si>
    <t>Jl. Diponegoro No.62 Rantepao Sulawesi Selatan Kab. Toraja Utara Rantepao Indonesia Kab. Toraja Utara</t>
  </si>
  <si>
    <t>Praktis Penelitian Kualitatif Teori Dasar dan Analisis Data Dalam Perspektif Kualitatif</t>
  </si>
  <si>
    <t>Mardawani</t>
  </si>
  <si>
    <t>JZ1000241043</t>
  </si>
  <si>
    <t>muhammad yusuf sabarno</t>
  </si>
  <si>
    <t>Human Capital Management Era 5.0</t>
  </si>
  <si>
    <t>Waseso Segoro</t>
  </si>
  <si>
    <t>INV/20210205/XXI/II/745794005</t>
  </si>
  <si>
    <t>TJX1827111764553</t>
  </si>
  <si>
    <t>Siti Muanifa</t>
  </si>
  <si>
    <t>Gang Melati RT 04/ RW 02 Jl. Raya Dahu Ds. Jatirejo
  Kecamatan: Banyakan
  Kabupaten/Kota: Kediri
  Provinsi: Jawa Timur</t>
  </si>
  <si>
    <t>Buku Ajar Pengantar Aljabar Linear</t>
  </si>
  <si>
    <t>Yohanis Ndapa Deda</t>
  </si>
  <si>
    <t>Buku Ajar Geometri Analitik</t>
  </si>
  <si>
    <t>Mulia Suryani</t>
  </si>
  <si>
    <t>Teori graf -</t>
  </si>
  <si>
    <t>Farida daniel dan prida N.L. Taneo</t>
  </si>
  <si>
    <t>tetty</t>
  </si>
  <si>
    <t>Jl lumbu Utara 2A.no 14
RT 02/RW 033
RSS Rawalumbu Bekasi
BEKASI. Rawa lumbu
JAWA BARAT 17116</t>
  </si>
  <si>
    <t>Uraian Singkat tentang E-Learning -</t>
  </si>
  <si>
    <t>Pembelajaran E-Learning di Masa Pandemi Covid-19</t>
  </si>
  <si>
    <t>Yo Ceng Giap, Riki, Sonny Santosa, Rini Novianti, Al-Bahra, Suhendri, Yusuf Kurnia, Jacob F.N. Dethan, 
Rino, Ubed Abdilah Syarif, Harisa Mardiana, 
Galuh Kusuma Hapsari, Benny Daniawan, 
Khanti Kusuma Dewi</t>
  </si>
  <si>
    <t>Pengantar Ilmu Komunikasi</t>
  </si>
  <si>
    <t>Hafield Cangara</t>
  </si>
  <si>
    <t>Bima Satria Aji Wicaksono</t>
  </si>
  <si>
    <t>Mlatinorowito Gg 08 RT03 RW06, KAB. KUDUS, KUDUS KOTA, JAWA TENGAH, ID, 59319</t>
  </si>
  <si>
    <t xml:space="preserve">2102055JXHY1YE
</t>
  </si>
  <si>
    <t> CM54568197757</t>
  </si>
  <si>
    <t>Alf21</t>
  </si>
  <si>
    <t>didepan Showroom mobil arafat,jalan Dempo RT18 RW 4 kosan tiga pintu warna hijau, KOTA BENGKULU, RATU AGUNG, BENGKULU, ID, 38228</t>
  </si>
  <si>
    <t>2102067WQNVJFR</t>
  </si>
  <si>
    <t> JP846551613</t>
  </si>
  <si>
    <t>Made Novita Sari</t>
  </si>
  <si>
    <t>Jl.ir sutami Desa sidorejo, RT/RW: 32/08 kode pos 34183, sekampung udik lam-tim , KAB. LAMPUNG TIMUR, SEKAMPUNG UDIK, LAMPUNG, ID, 34383</t>
  </si>
  <si>
    <t>Motivasi Belajar Dalam Perkembangan Remaja</t>
  </si>
  <si>
    <t>Shilphy A. Octavia</t>
  </si>
  <si>
    <t xml:space="preserve">2102068D1PB3DH
</t>
  </si>
  <si>
    <t xml:space="preserve"> CM90957129195</t>
  </si>
  <si>
    <t>Pipin Saepulloh</t>
  </si>
  <si>
    <t>Perumahan Telaga Mas Blok H2 No.11A RT 11 RW 14 Kelurahan Harapan Baru, KOTA BEKASI, BEKASI UTARA, JAWA BARAT, ID, 17123</t>
  </si>
  <si>
    <t>Pemrograman R untuk Sains dan Psikologi</t>
  </si>
  <si>
    <t>Widodo Budiharto, Anggita Dian Cahyani
dan Bahtiar Saleh Abbas</t>
  </si>
  <si>
    <t>210207A78S0QX3</t>
  </si>
  <si>
    <t>JP6571984828</t>
  </si>
  <si>
    <t>Alfita Maruapey</t>
  </si>
  <si>
    <t xml:space="preserve">Serdang Residence Blok C no 5, Kab. Serang, Banten, KAB. SERANG, KRAMATWATU, BANTEN, ID, 42161
</t>
  </si>
  <si>
    <t>210207ASMSXCCQ</t>
  </si>
  <si>
    <t> JP6841862421</t>
  </si>
  <si>
    <t>Zainul Rozikin</t>
  </si>
  <si>
    <t xml:space="preserve">eka jaya gorengan, RT 4 - RW 3 dusun santrean desa sumberejo, KOTA BATU, BATU, JAWA TIMUR, ID, 65318
</t>
  </si>
  <si>
    <t>210207AUS6RAD8</t>
  </si>
  <si>
    <t>JP3785809142</t>
  </si>
  <si>
    <t>Nurkholis</t>
  </si>
  <si>
    <t xml:space="preserve">Dusun Kauman Rt/Rw 06/03 Kotagajah, Kec.Kotagajah , KAB. LAMPUNG TENGAH, KOTA GAJAH, LAMPUNG, ID, 34153
</t>
  </si>
  <si>
    <t>Manajemen Pendidikan (Teori Dan Praktik Dalam Penyelenggaraan Sistem Pendidikan Nasional)</t>
  </si>
  <si>
    <t>Undang Ruslan Wahyudin</t>
  </si>
  <si>
    <t>210207BW9XAA88</t>
  </si>
  <si>
    <t xml:space="preserve"> JP3359325260</t>
  </si>
  <si>
    <t>Prima Sandika</t>
  </si>
  <si>
    <t>Perumahan Ariston Blok B-6, Jalan Pahlawan, sebelah SMAN 2 Temanggung, Giyanti, Temanggung, KAB. TEMANGGUNG, TEMANGGUNG, JAWA TENGAH, ID, 56226</t>
  </si>
  <si>
    <t>210208CNJTK9UN</t>
  </si>
  <si>
    <t>JP0454429297</t>
  </si>
  <si>
    <t>Manti</t>
  </si>
  <si>
    <t>Bumi sawangan indah 2 blok a4 no 18 rt 02/09. Pengasinan, sawangan, depok16518, KOTA DEPOK, SAWANGAN, JAWA BARAT, ID, 16518</t>
  </si>
  <si>
    <t>Sejarah Pendidikan Islam di Indonesia</t>
  </si>
  <si>
    <t>Sofyan Rofi</t>
  </si>
  <si>
    <t>210208CP5AQKES</t>
  </si>
  <si>
    <t>JP4255574135</t>
  </si>
  <si>
    <t>m Wendy mantirie hrp</t>
  </si>
  <si>
    <t>l Melaya kusuma RT 01 RW 01 di tengah MI PSM sendang Jawa Timur Kab. Kediri Banyakan Indonesia Kab. Kediri</t>
  </si>
  <si>
    <t>Budidaya Ikan Sistem Bioflok</t>
  </si>
  <si>
    <t>Gusrina</t>
  </si>
  <si>
    <t>JZ1000242203</t>
  </si>
  <si>
    <t>Budidaya Ikan Lele Sistem Bioflok: Teknik Pembesaran Ikan Lele
Sistem BioflokKelola Mina Pembudidaya</t>
  </si>
  <si>
    <t>Ita Apriyani</t>
  </si>
  <si>
    <t>Mochammad Homaidi</t>
  </si>
  <si>
    <t>jln. Y reksosiswono RT.20/RW.09 Jawa Timur Kab. Bondowoso Sukosari Indonesia Kab. Bondowoso</t>
  </si>
  <si>
    <t>Pengantar Supervisi Pendidikan</t>
  </si>
  <si>
    <t>Rachmat Satria</t>
  </si>
  <si>
    <t>JZ1000242167</t>
  </si>
  <si>
    <t>YUDHA SHAFRIANSYAH</t>
  </si>
  <si>
    <t>Jl. Kartini Dusun II Desa Kota Galuh 000/000 · Kota Galuh Sumatera Utara Kab. Serdang Bedagai Perbaungan Indonesia Kab. Serdang Bedagai</t>
  </si>
  <si>
    <t xml:space="preserve">BUKU PANDUAN Software Aplikasi PREDIKSI INDEKS PEMBANGUNAN MANUSIA (IPM) dengan Jaringan Syaraf Tiruan Backpropagation 
</t>
  </si>
  <si>
    <t xml:space="preserve">Yopi Andry Lesnussa, S.Si., M.Si., Francis Yunito Rumlawang, S.Si., M.Si., Berny Pebo Tomasouw, S.Si., M.Si., Venn Yan Ishak Ilwaru, S.Si., M.Si. 
</t>
  </si>
  <si>
    <t>JZ1000242118</t>
  </si>
  <si>
    <t>rizky</t>
  </si>
  <si>
    <t>Literasi Zat Gizi Makro dan Pemecahan Masalahnya</t>
  </si>
  <si>
    <t>Siti Fathonah dan Sarwi</t>
  </si>
  <si>
    <t>TAM CARGO</t>
  </si>
  <si>
    <t>Isolasi Asam Laurat dari Santan Kelapa dengan Metode Enzimatis</t>
  </si>
  <si>
    <t>Moh. Su’i</t>
  </si>
  <si>
    <t>KOKRISTALISASI: Modifikasi Padatan Farmasi sebagai Strategi Perbaikan Sifat Fisikokimia Obat</t>
  </si>
  <si>
    <t>Iyan Sopyan</t>
  </si>
  <si>
    <t>Buku Ajar Diploma III Farmasi Farmakologi “Nyeri Neuropatik dan Kualitas Hidup”</t>
  </si>
  <si>
    <t>Jawer Kotok, Plectranthus Scutellarioides, Dari Etnofarmasi Menjadi Sediaan Fitofarmasi</t>
  </si>
  <si>
    <t>Moelyono Moektiwardoyo, dkk.</t>
  </si>
  <si>
    <t>Molekular Imprinting Polimer : Perspektif dan Aplikasinya di Bidang Farmasi</t>
  </si>
  <si>
    <t>Aliya Nur Hasanah dan Rimadani Pratiwi</t>
  </si>
  <si>
    <t>Buku Ajar Fisika Dasar untuk Teknik dan Farmasi</t>
  </si>
  <si>
    <t>Islahudin</t>
  </si>
  <si>
    <t>Pengantar Ilmu Farmasi (dalam Tinjauan Filsafat dan Historis)</t>
  </si>
  <si>
    <t>Islamudin Ahmad</t>
  </si>
  <si>
    <t>Fisiologi Dasar</t>
  </si>
  <si>
    <t>Ronny Lesmana dkk</t>
  </si>
  <si>
    <t>Cara Gaul Menjadi Peneliti for Pharmachist</t>
  </si>
  <si>
    <t>Andy Eko Wibowo, M.Sc., Apt. &amp; Yonika Larasati, S.Farm., Apt.</t>
  </si>
  <si>
    <t>Prof. Dr. Moelyono MW</t>
  </si>
  <si>
    <t>Sel Kultur Edisi Uji Perkembangbiakan Sel</t>
  </si>
  <si>
    <t>Yuni Elsa Hadisaputri &amp; Rizky Abdulah</t>
  </si>
  <si>
    <t>Pengobatan Terkini Ulkus Diabetikum: Bahan Herbal Hingga Sediaan Nanopartikel</t>
  </si>
  <si>
    <t>Sriwidodo ... [et al.]</t>
  </si>
  <si>
    <t>Tinjauan Ilmiah Tanaman Kumis Kucing (Kandungan Kimia, Pemakaian Tradisional, Aktivitas Farmakologi dan Upaya Peningkatan Kadar Senyawa Aktif)</t>
  </si>
  <si>
    <t>Fahrauk Faramayuda</t>
  </si>
  <si>
    <t>Studi Molekular Docking</t>
  </si>
  <si>
    <t>Neni Frimayanti dan Ihsan Ikhtiarudin</t>
  </si>
  <si>
    <t>Aktivitas Antidiabetes Tanaman</t>
  </si>
  <si>
    <t>Asman Sadino</t>
  </si>
  <si>
    <t>MINYAK ATSIRI EMPON-EMPON: Kandungan Senyawa Kimia dan Manfaatnya</t>
  </si>
  <si>
    <t>Kaidah Penulisan Resep Obat</t>
  </si>
  <si>
    <t>M Fadhol Romdhoni</t>
  </si>
  <si>
    <t>Roby Pahala Januario Gultom dan Hartika Samgryce Siagian</t>
  </si>
  <si>
    <t>Biomolekul</t>
  </si>
  <si>
    <t>Aung Sumbono</t>
  </si>
  <si>
    <t>Herbalisme dan Leksikon Herbal</t>
  </si>
  <si>
    <t>Supriyatna, dkk</t>
  </si>
  <si>
    <t>Herbalisme Pengobatan Herbal di Timur dan Tradisi Regional</t>
  </si>
  <si>
    <t>Fitoterapi Sistem Organ Pandangan Dunia Barat Terhadap Obat Herbal Global</t>
  </si>
  <si>
    <t>Suplemen Herbal dan Makanan Super</t>
  </si>
  <si>
    <t>Supriyatna, Yoppi Iskandar, dan R. Maya Febriyanti</t>
  </si>
  <si>
    <t>Pangan Hayati Laut (Aplikasi Kualitas Gizi Biota Laut terhadap Imunitas Tubuh dan Produktifitas) Buku Ajar berbasis Ilmiah</t>
  </si>
  <si>
    <t>Wa Ode Salma</t>
  </si>
  <si>
    <t>Gizi Mikro Kedokteran Jilid I</t>
  </si>
  <si>
    <t>Ignatius Hapsoro Wirandoko &amp; Nurbaiti</t>
  </si>
  <si>
    <t>Gizi Mikro Kedokteran Jilid II</t>
  </si>
  <si>
    <t>Sistem Pendukung Keputusan Studi Kasus Penentuan Kesehatan Gizi Balita</t>
  </si>
  <si>
    <t>Ofan Sofian, Joseph &amp; Fauziyah</t>
  </si>
  <si>
    <t>Pendamping Gizi Pada Balita</t>
  </si>
  <si>
    <t>Tutik Hidayati, Iis Hanifah dan Yessy Nur Endah Sary</t>
  </si>
  <si>
    <t>Pencegahan Stunting Periode 1000 Hari Pertama Kehidupan Melalui Intervensi Gizi Spesifik Pada Ibu Hamil Kurang Energi Kronis</t>
  </si>
  <si>
    <t>Demsa Simbolon &amp; Bringwatty Batbual</t>
  </si>
  <si>
    <t>Buku Ajar Dasar Ilmu Gizi Kesehatan Masyarakat</t>
  </si>
  <si>
    <t>Vilda Ana Veria Setyawati &amp; Eko 
Hartini</t>
  </si>
  <si>
    <t>Buku Ajar Pangan dan Gizi</t>
  </si>
  <si>
    <t>Adi Saputrayadi</t>
  </si>
  <si>
    <t>Balita Gizi Kurang dan Keluarga</t>
  </si>
  <si>
    <t>Yessy Nur Endah Sary</t>
  </si>
  <si>
    <t>Ilmu Gizi Dasar</t>
  </si>
  <si>
    <t>Lilis Banowati, S.K.M., M.Si.</t>
  </si>
  <si>
    <t>Gizi Kesehatan pada Masa Reproduksi</t>
  </si>
  <si>
    <t>Liva Maita, SST., M.Kes. dkk</t>
  </si>
  <si>
    <t>Determinan Status Gizi Pada Anak Usia Dini</t>
  </si>
  <si>
    <t>Ignatius Hapsoro Wirandoko</t>
  </si>
  <si>
    <t>Inovasi Biskuit Kelor Sebagai Makanan Tambahan untuk Meningkatkan Kualitas dan Kuantitas Air Susu Ibu (ASI)</t>
  </si>
  <si>
    <t>Indah Puspasari Kiay Demak, dkk.</t>
  </si>
  <si>
    <t>Jelai (Coix lacryma-jobi L.) Bahan Pangan Pokok Alternatif dan Fungsional</t>
  </si>
  <si>
    <t>Ir. Suyadi, MS., Ph.D.</t>
  </si>
  <si>
    <t>Susu Fermentasi Kedelai dan Madu Potensi Untuk Meningkatkan Kesehatan Tulang Wanita Menopause</t>
  </si>
  <si>
    <t>Sri Desfita, dkk.</t>
  </si>
  <si>
    <t>Kehamilan, Janin, &amp; Nutrisi</t>
  </si>
  <si>
    <t>Feri Ahmadi</t>
  </si>
  <si>
    <t>Teknologi Pengolahan tepung dan pati biji-bijian -</t>
  </si>
  <si>
    <t>syamsul rahman</t>
  </si>
  <si>
    <t>Interprofessional Education Di Institusi dan Rumah Sakit</t>
  </si>
  <si>
    <t>Neny Triana</t>
  </si>
  <si>
    <t>Pengetahuan Bahan Makanan</t>
  </si>
  <si>
    <t>Syamsidah &amp; Hamidah Suryani</t>
  </si>
  <si>
    <t>Panduan Teknik Pengolahan dan Pengawetan Pangan</t>
  </si>
  <si>
    <t>Enceng Sobari</t>
  </si>
  <si>
    <t>Ilmu Kimia dengan Pendekatan Inovatif</t>
  </si>
  <si>
    <t>Adlim</t>
  </si>
  <si>
    <t>Aplikasi Pengolahan Pangan</t>
  </si>
  <si>
    <t>Fitriyono Ayustaningwarno, dkk</t>
  </si>
  <si>
    <t>Modul Edukasi Gizi Pencegahan dan Penanggulangan Kurang Energi Kronik (Kek) dan Anemia Pada Ibu Hamil</t>
  </si>
  <si>
    <t>Demsa Simbolon, Jumiyati &amp; Antun Rahmadi</t>
  </si>
  <si>
    <t>Shandra Ningrum Picuwati</t>
  </si>
  <si>
    <t xml:space="preserve">Kepitu rt02/rw17 trimulyo Sleman yogjakarta 55513, KAB. SLEMAN, SLEMAN, DI YOGYAKARTA, ID, 55513
</t>
  </si>
  <si>
    <t>Menu Untuk Anak Autis Yang Perlu Anda Ketahui Tentang Menyiapkan Menu Untuk Anak Autis</t>
  </si>
  <si>
    <t>Dr. Rita Ismawati, M.Kes &amp; Izathy Nurul Firdausi, S.Pd</t>
  </si>
  <si>
    <t>210208DH59SEHH</t>
  </si>
  <si>
    <t>JP9955902239</t>
  </si>
  <si>
    <t>Hanifah Nur Zahrah</t>
  </si>
  <si>
    <t xml:space="preserve">Taman tridaya indah I Jl. Wijaya Kusuma III blok G3 no 14, KAB. BEKASI, TAMBUN SELATAN, JAWA BARAT, ID, 17518
</t>
  </si>
  <si>
    <t>210208DPBNGY1P</t>
  </si>
  <si>
    <t>JP3058974222</t>
  </si>
  <si>
    <t>GustiAkhmad</t>
  </si>
  <si>
    <t xml:space="preserve">Jalan nangka 3, GG.Nanas (kost pak jajang, kost pintu ke.2) , KOTA BENGKULU, SINGARAN PATI, BENGKULU, ID, 38226
</t>
  </si>
  <si>
    <t>210208DU8DFJYX</t>
  </si>
  <si>
    <t xml:space="preserve"> JP6284166841</t>
  </si>
  <si>
    <t>Ramaditya R</t>
  </si>
  <si>
    <t>Perumahan Gading Tutuka 1 Blok M1 No 3, Soreang Kabupaten Bandung , KAB. BANDUNG, SOREANG, JAWA BARAT, ID, 40912</t>
  </si>
  <si>
    <t>210209ENAF06SK</t>
  </si>
  <si>
    <t>JP4871329675</t>
  </si>
  <si>
    <t>Anwar Sanuri</t>
  </si>
  <si>
    <t>Perum Kota Permata Purwakarta, Jl. Jamrud Raya, Blok E12a No.10, RW/RT 07/02, Desa Ciwareng, Kec. Babakan cikao, Kab. Purwakarta, Jawa Barat, Babakancikao, Purwakarta, Jawa Barat, 4115</t>
  </si>
  <si>
    <t>000865517414</t>
  </si>
  <si>
    <t>ichwanudin</t>
  </si>
  <si>
    <t>green park blok E2 No.2 Jl. Raya Curug, Kel. Curug, Kecamatan Bojongsari, Kota Depok, Jawa barat Jawa Barat Kota Depok Sawangan Indonesia Kota Depok</t>
  </si>
  <si>
    <t>Palu Hakim Versus Rasa Keadilan Sebuah Pengantar Disparitas Putusan Hakim Dalam Tindak Pidana Korupsi</t>
  </si>
  <si>
    <t>Hamidah Abdurrachman, Rahmad Agung Nugraha &amp; Nayla Majestya</t>
  </si>
  <si>
    <t>JZ1000242317</t>
  </si>
  <si>
    <t>Annisa Khansa</t>
  </si>
  <si>
    <t>PAUD Fatimah Az Zahrah
Kalasan
Kabupaten Sleman
Daerah Istimewa Yogyakarta</t>
  </si>
  <si>
    <t>Desa Regeneratif 4.0</t>
  </si>
  <si>
    <t>Emi Handayani</t>
  </si>
  <si>
    <t>Felix Lunar</t>
  </si>
  <si>
    <t>Jl. Adisucipto Gg. Haji kasim no. 9c
Pontianak Tenggara
Kota Pontianak
Kalimantan Barat</t>
  </si>
  <si>
    <t>Aisy Permata</t>
  </si>
  <si>
    <t>Perumahan Griya Surya Asri A1-01, Ds. Balongdowo, Kec. Candi, Kab. Sidoarjo, Jawa Timur 61271
Candi
Kabupaten Sidoarjo
Jawa Timur</t>
  </si>
  <si>
    <t>Asrama Tua Mahasiswa</t>
  </si>
  <si>
    <t>Edi Abdullah</t>
  </si>
  <si>
    <t>Salsabilla Ramadhani</t>
  </si>
  <si>
    <t>Jl. Kramat Asem Rt.001/05 No.12 Gg. Asem agede 9
Matraman
Kota Jakarta Timur
DKI Jakarta
13120</t>
  </si>
  <si>
    <t>Buku Ajar Hukum Diplomatik</t>
  </si>
  <si>
    <t>R. Karlina Lubis</t>
  </si>
  <si>
    <t>Endom Gultom</t>
  </si>
  <si>
    <t>Mahasiswa Prodi Hukum Universitas Tidar
Perumahan Tridaya Indah IV Jl. Dukuh I B.8 No.25 RT. 004 RW. 011
Tambun Selatan
Kabupaten Bekasi
Jawa Barat</t>
  </si>
  <si>
    <t>jne reg</t>
  </si>
  <si>
    <t>Siti Dewi Indrasari</t>
  </si>
  <si>
    <t>Jl. Prof. Soepomo no 64, Umbulharjo, Yogyakarta 55164
  Kecamatan: Umbulharjo
  Kabupaten/Kota: Yogyakarts
  Provinsi: DI Yogyakarta</t>
  </si>
  <si>
    <t>Kimia Beras: Biosintesis dan Sifat Fungsional Pati</t>
  </si>
  <si>
    <t>Wisnu Adi Yulianto</t>
  </si>
  <si>
    <t>Teknologi Pengolahan Beras Pratanak</t>
  </si>
  <si>
    <t>Wirawan Ady Prasetya</t>
  </si>
  <si>
    <t>Komplek TNI AD Garuda Putra I No. D9, RT.09/RW.03
Jl. Jenderal Sudirman KM 5, Kel. 20 Ilir IV
  Kecamatan: Ilir Timur 1
  Kabupaten/Kota: Palembang
  Provinsi: Sumatera Selatan 30128</t>
  </si>
  <si>
    <t>Strategi Mengatasi Problematika Batas Perairan Negara Kepulauan Republik Indonesia</t>
  </si>
  <si>
    <t>Capt. Effendy Abdullah., SH., MH., M.Mar</t>
  </si>
  <si>
    <t>Fetti Nur Fatimah</t>
  </si>
  <si>
    <t xml:space="preserve">Jalan Siliwangi Gang Guntur I No. 51 Rt/Rw.002/006 Kel. Sawahgede, KAB. CIANJUR, CIANJUR, JAWA BARAT, ID, 43212
</t>
  </si>
  <si>
    <t>210209FWTNH9EB</t>
  </si>
  <si>
    <t>JP2979579580</t>
  </si>
  <si>
    <t>Prasetyo Wirabuana Hutamawanto</t>
  </si>
  <si>
    <t xml:space="preserve">Taman Cibodas, cempaka 8 blok i 2 no 10
  Kecamatan: Periuk
  Kabupaten/Kota: Kota Tangerang 
  Provinsi: Banten </t>
  </si>
  <si>
    <t>Narkotika dan Penanggulangannya</t>
  </si>
  <si>
    <t>Irwan Jasa Tarigan</t>
  </si>
  <si>
    <t>Peran Badan Narkotika Nasional dengan Organisasi Sosial Kemasyarakatan
dalam Penanganan Pelaku Penyalahgunaan Narkotika</t>
  </si>
  <si>
    <t>Problematika Keadilan dalam Penerapan Pidana terhadap Penyalah Guna 
Narkotika</t>
  </si>
  <si>
    <t>Dahlan</t>
  </si>
  <si>
    <t>Addaratul fakhira</t>
  </si>
  <si>
    <t>gedung mesir (gedung mesir Unida gontor putri Reguler mantingan ngawi jawa timur), KAB. NGAWI, MANTINGAN, JAWA TIMUR, ID, 63257</t>
  </si>
  <si>
    <t>Penelitian Tindakan Kelas (PTK) Meningkatkan Hasil Belajar Bahasa Inggris pada Materi
Narratives dengan Menggunakan Metode Drill pada Siswa Kelas X B SMA Negeri 1 Silat Hilir Tahun
Pelajaran 2016/2017</t>
  </si>
  <si>
    <t>Nur Rohmah</t>
  </si>
  <si>
    <t>210209FQPQKVW8</t>
  </si>
  <si>
    <t> CM38485004447</t>
  </si>
  <si>
    <t>Made Wahyu Artha</t>
  </si>
  <si>
    <t>Jl srikandi Btn griya mawar sari blok E 18 gang mawar 2, KAB. BULELENG, SUKASADA, BALI, ID, 81161</t>
  </si>
  <si>
    <t>Etika dan Tanggung Jawab Profesi</t>
  </si>
  <si>
    <t>Dr. H. Adnan Murya, S.H., M.M. &amp; Urip Sucipto, S.H.</t>
  </si>
  <si>
    <t>210210J2HCA64E</t>
  </si>
  <si>
    <t>JP5716937883</t>
  </si>
  <si>
    <t>Purnomo</t>
  </si>
  <si>
    <t>Perum Bugel Mas Indah Blok C 11 No.8 RT 01/09
Karawaci
Kota Tangerang
Banten
15113</t>
  </si>
  <si>
    <t>Bimbingan dan Konseling Belajar</t>
  </si>
  <si>
    <t>Abdul Saman &amp; Agustan Arifin</t>
  </si>
  <si>
    <t>Lala Halimatunisa</t>
  </si>
  <si>
    <t xml:space="preserve"> Kp. panjalin Rt 002/001 , Depan SDN PASIRSARI 04
  Kecamatan: Cikarang Selatan
  Kabupaten/Kota: Bekasi
  Provinsi: Jawa Barat</t>
  </si>
  <si>
    <t>Arief Nur Huda</t>
  </si>
  <si>
    <t>Saragan, Rt: 03, Rw: 09
  Kecamatan: Mertoyudan
  Kabupaten/Kota: Kabupaten Magelang
  Provinsi: Jawa Tengah</t>
  </si>
  <si>
    <t>Nabilla Nurfauziah</t>
  </si>
  <si>
    <t>Perum BMI 2 Blok B6 No. 32 Dawuan Barat
Cikampek
Kabupaten Karawang
Jawa Barat
41373</t>
  </si>
  <si>
    <t>nadira luthfia</t>
  </si>
  <si>
    <t>jl. kotasari no. 26 komp. ks, cilegon, banten, KOTA CILEGON, PURWAKARTA, BANTEN, ID, 4243</t>
  </si>
  <si>
    <t>Genetika Belajar Genetika dengan Mudah &amp; Komprehensif: (Dilengkapi Data
Hasil Riset tentang Kesulitan Memahami Konsep Genetika dan Riset dalam
Pembelajaran Genetika)</t>
  </si>
  <si>
    <t>Elya Nusantari</t>
  </si>
  <si>
    <t>210210JJY46K8A</t>
  </si>
  <si>
    <t>JP7241847145</t>
  </si>
  <si>
    <t>Nurul Fahmi</t>
  </si>
  <si>
    <t>Perumahan papan indah 1 blok ini 32 no 25, KAB. BEKASI, TAMBUN SELATAN, JAWA BARAT, ID, 57610</t>
  </si>
  <si>
    <t>210210JK4H2XWK</t>
  </si>
  <si>
    <t> JP7882899641</t>
  </si>
  <si>
    <t>Mega permana</t>
  </si>
  <si>
    <t>Kp. Pulo haur ds. Pulo mulya rt/rw : 005/004 depan pom mini rindi, KAB. KARAWANG, LEMAHABANG, JAWA BARAT, ID, 41383</t>
  </si>
  <si>
    <t>210210JM6CBNGK</t>
  </si>
  <si>
    <t>JP5172465546</t>
  </si>
  <si>
    <t>Eva afifah</t>
  </si>
  <si>
    <t>Kp. Loji, desa cintalaksana kec.tegalwaru (potocoppy afifah depan kec tegalwaru), KAB. KARAWANG, TEGALWARU, JAWA BARAT, ID, 41364</t>
  </si>
  <si>
    <t xml:space="preserve">210210JNGJJKQD
</t>
  </si>
  <si>
    <t xml:space="preserve"> JP5408308073</t>
  </si>
  <si>
    <t>Endang Sri Rejeki</t>
  </si>
  <si>
    <t>Perumahan Puri Kosambi 1 Blok AN 27, Rt 40 Rw 12 desa duren , 41371 , KAB. KARAWANG, KLARI, JAWA BARAT, ID, 41371</t>
  </si>
  <si>
    <t>210210JNJ2EN2U</t>
  </si>
  <si>
    <t>JP7724945956</t>
  </si>
  <si>
    <t>Iis ismatul aliah</t>
  </si>
  <si>
    <t>Dusun krajan timur desa manggung Jaya ( PB BERAS JALU), KAB. KARAWANG, CILAMAYA KULON, JAWA BARAT, ID, 41386</t>
  </si>
  <si>
    <t>210210JNNMPARA</t>
  </si>
  <si>
    <t xml:space="preserve"> JP004800788</t>
  </si>
  <si>
    <t>Dika puturahman</t>
  </si>
  <si>
    <t xml:space="preserve">Desa karangjaya, dusun kondang, rt/rw 02/04 kec.pedes, KAB. KARAWANG, PEDES, JAWA BARAT, ID, 41353
</t>
  </si>
  <si>
    <t>210210JVNMHJA4</t>
  </si>
  <si>
    <t>JP9852704276</t>
  </si>
  <si>
    <t>siswo</t>
  </si>
  <si>
    <t>jl.casablanca timur no.16, taman casablanca, argenia, sentul city bogor timur, Babakan Madang, Kab. Bogor, Jawa Barat, 16810</t>
  </si>
  <si>
    <t>Panduan Praktis Penulisan Resep bagi Dokter</t>
  </si>
  <si>
    <t>Truly Sitorus, Istriati, Kuswinarti,</t>
  </si>
  <si>
    <t>000865601008</t>
  </si>
  <si>
    <t>Abdul Jalil</t>
  </si>
  <si>
    <t>Kos sakura dusun gintung, jambewangi
  Kecamatan: Secang
  Kabupaten/Kota: Magelang
  Provinsi: Jawa Tengah</t>
  </si>
  <si>
    <t>HANISA AGUSTINA</t>
  </si>
  <si>
    <t>jl. ahmad yani gg marhaban no. 125/41 Rt07, Rw01 Cibeunying Kidul Kota Bandung 40121
Jawa Barat</t>
  </si>
  <si>
    <t>INV/20210211/XXI/II/750931495</t>
  </si>
  <si>
    <t>TJE1271737232223</t>
  </si>
  <si>
    <t>INV/20210211/XXI/II/750931496</t>
  </si>
  <si>
    <t>Maria Aloisia Uron Leba</t>
  </si>
  <si>
    <t>INV/20210211/XXI/II/750931497</t>
  </si>
  <si>
    <t>INV/20210211/XXI/II/750931498</t>
  </si>
  <si>
    <t>Fadilah Syarif</t>
  </si>
  <si>
    <t>Jl. Pedes, Dsn. Citeureup 03/02, Desa. Kutamukti, Kec. Kutawaluya Karawang, KAB. KARAWANG, KUTAWALUYA, JAWA BARAT, ID, 41358</t>
  </si>
  <si>
    <t>210211MNXT30NY</t>
  </si>
  <si>
    <t>JP2409931294</t>
  </si>
  <si>
    <t>A. TAUFIQ J.</t>
  </si>
  <si>
    <t>Jl. Hamid Rusdi No. 7A (satu pagar dengan toko Frenz) RT. 01 RW. 13 Kelurahan Bunulrejo
Kecamatan : Blimbing
Kota             : Malang
Provinsi       : Jawa Timur</t>
  </si>
  <si>
    <t>Secangkir Kopi</t>
  </si>
  <si>
    <t>Darlius</t>
  </si>
  <si>
    <t>rizki zulfikar</t>
  </si>
  <si>
    <t>Kumpulan Catatan, Pengaturan-Pengaturan, Serta Pelaksanaan Remunerasi Pada Badan Layanan Umum</t>
  </si>
  <si>
    <t>Kurniawan Budi Irianto</t>
  </si>
  <si>
    <t>Nurfitri</t>
  </si>
  <si>
    <t xml:space="preserve">Kp kebon rumput No.17 RT 04/06 , Desa pasir jambu (belakang kolam renang vbi, musolah al mukhlisin), KAB. BOGOR, SUKARAJA, JAWA BARAT, ID, 16710
</t>
  </si>
  <si>
    <t>210211MTU5XPDQ</t>
  </si>
  <si>
    <t>JP1275504674</t>
  </si>
  <si>
    <t>Rafi suhardi</t>
  </si>
  <si>
    <t>Sukarasa RT. 002 RW. 007 no. 50 kelurahan antapani kulon, kecamatan antapani. Bandung 40291</t>
  </si>
  <si>
    <t>Santi Fiola</t>
  </si>
  <si>
    <t xml:space="preserve"> Perum. Bekasi Griya Asri 1 Blok B7 No. 24 RT 003 RW 031
  Kecamatan: Tambun Selatan
  Kabupaten/Kota: Bekasi 
  Provinsi: Jawa Barat</t>
  </si>
  <si>
    <t>tama</t>
  </si>
  <si>
    <t>Model Pembelajaran Inovatif untuk Pembelajaran Matematika di Kelas IV Sekolah Dasar</t>
  </si>
  <si>
    <t>Yetti Ariani, Yullys Helsa &amp; Syafri Ahmad</t>
  </si>
  <si>
    <t>agil</t>
  </si>
  <si>
    <t>Collaborative Governance Konsep Dan Aplikasi</t>
  </si>
  <si>
    <t>La Ode Syaiful Islamy H.</t>
  </si>
  <si>
    <t>Lysda Reviyanti / Pak Amri</t>
  </si>
  <si>
    <t>Blok Babakan Sari RT 07 / RW 06 Desa Batujajar Barat Kecamatan Batujajar Kabupaten Bandung , KAB. BANDUNG BARAT, BATUJAJAR, JAWA BARAT, ID, 40561</t>
  </si>
  <si>
    <t>Hukum Bisnis Indonesia (Business Law Of Indonesia)</t>
  </si>
  <si>
    <t>Sujana Donandi S</t>
  </si>
  <si>
    <t>210211N3UHS55A</t>
  </si>
  <si>
    <t xml:space="preserve"> JP4267458229</t>
  </si>
  <si>
    <t>Grace Sandra Abraham</t>
  </si>
  <si>
    <t xml:space="preserve">Depan Kapela Santu Kristoforus Matani, Jalan Claret Matani, Penfui Timur, Kupang Tengah, KAB. KUPANG, KUPANG TENGAH, NUSA TENGGARA TIMUR (NTT), ID, 85361
</t>
  </si>
  <si>
    <t>Konstruksi Bangunan</t>
  </si>
  <si>
    <t>Rifana S.S.I. Kawet</t>
  </si>
  <si>
    <t>210211N6EX84SV</t>
  </si>
  <si>
    <t>JP6517758389</t>
  </si>
  <si>
    <t>Sundari Setyaningsih</t>
  </si>
  <si>
    <t>Saida Hashina</t>
  </si>
  <si>
    <t xml:space="preserve">Bumi Anggrek blok U-350 rt03/rw17, KAB. BEKASI, TAMBUN UTARA, JAWA BARAT, ID, 17510
</t>
  </si>
  <si>
    <t>210211NEMHKAFA</t>
  </si>
  <si>
    <t>JP5076520548</t>
  </si>
  <si>
    <t>Tiya kumala sari</t>
  </si>
  <si>
    <t>Jln darul ulum Sinar mulya RT 04 RW 015 no rumah 62, KAB. KARAWANG, KARAWANG TIMUR, JAWA BARAT, ID, 41314</t>
  </si>
  <si>
    <t>210211NVG419YQ</t>
  </si>
  <si>
    <t xml:space="preserve"> JP7404800096</t>
  </si>
  <si>
    <t>RESLINA</t>
  </si>
  <si>
    <t>Jalan Merpati Lorong III, Tanamodindi, Palu Selatan ( MERPATI LRG 3.DPN PANTI NURUL IHSAN.), KOTA PALU, PALU SELATAN, SULAWESI TENGAH, ID, 9423</t>
  </si>
  <si>
    <t>Manajemen Sekolah/Madrasah Adiwiyata</t>
  </si>
  <si>
    <t>Saeful Uyun, Shilphy A. Octavia, dkk</t>
  </si>
  <si>
    <t>210212PXTCKN82</t>
  </si>
  <si>
    <t> JP3824828267</t>
  </si>
  <si>
    <t>Meida Permatasari (Ibu Ida</t>
  </si>
  <si>
    <t>Jl Raya Cilamaya Kp. Krajan 2 Desa Jatiwangi rt :002 rw:006 Sebrang Masjid Al-Mukhsin, KAB. KARAWANG, JATISARI, JAWA BARAT, ID, 41374</t>
  </si>
  <si>
    <t>210212Q83VK4GJ</t>
  </si>
  <si>
    <t xml:space="preserve"> JP1122296063</t>
  </si>
  <si>
    <t>Eka Yulia Syahrawati</t>
  </si>
  <si>
    <t>RT 02 RW 01 DESA GOA, KAB. SUMBAWA BARAT, JEREWEH, NUSA TENGGARA BARAT (NTB), ID, 84456</t>
  </si>
  <si>
    <t>Buku Ajar Fisiologi Sistem Hematologi</t>
  </si>
  <si>
    <t>Diana Vanda D. Doda, Hedison Polii, Sylvia Marunduh, Ivonny Melinda Sapulete</t>
  </si>
  <si>
    <t>210212Q8A5KWGS</t>
  </si>
  <si>
    <t xml:space="preserve"> JP4432117057</t>
  </si>
  <si>
    <t>Fathir</t>
  </si>
  <si>
    <t>Jalan Sarijadi Blok 10 No.64, RT.3/RW.4, Sarijadi, Sukasari (Sarijadi blok 10 no 64 rt3 rw4), KOTA BANDUNG, SUKASARI, JAWA BARAT, ID, 40151</t>
  </si>
  <si>
    <t>E-Procurement (Dinamika Pengadaan Barang</t>
  </si>
  <si>
    <t>Rendra Setyadiharja</t>
  </si>
  <si>
    <t>210212Q7QVX368</t>
  </si>
  <si>
    <t xml:space="preserve"> JP5689514402</t>
  </si>
  <si>
    <t>Ilma Fauziah</t>
  </si>
  <si>
    <t>Cijambe, RT.14/RW.5, Margakaya, Telukjambe Barat (pak iyus) (Rumah biru pak iyus), KAB. KARAWANG, TELUKJAMBE BARAT, JAWA BARAT, ID, 41361</t>
  </si>
  <si>
    <t>210212QGPAVNC6</t>
  </si>
  <si>
    <t>JP3917792799</t>
  </si>
  <si>
    <t>Rola Riska Sarwiyah</t>
  </si>
  <si>
    <t xml:space="preserve">Gang mualim murna rt 08/02 desa jayalaksana, KAB. BEKASI, CABANGBUNGIN, JAWA BARAT, ID, 17720
</t>
  </si>
  <si>
    <t>210212QSJK07KY</t>
  </si>
  <si>
    <t>JP9825918715</t>
  </si>
  <si>
    <t>Hesti sumarni</t>
  </si>
  <si>
    <t>Ponpes Daarul muttaqien 1 (gerbang belakang) cadas, sepatan, KAB. TANGERANG, SEPATAN, BANTEN, ID, 15520</t>
  </si>
  <si>
    <t>Esensi Penyusunan Materi Pembelajaran Daring</t>
  </si>
  <si>
    <t>Yusuf Bilfaqih - M. Nur Qomarudin</t>
  </si>
  <si>
    <t>210212R6QXTHFH</t>
  </si>
  <si>
    <t>JP3906152718</t>
  </si>
  <si>
    <t>Jl. H Saikem RT 03/02</t>
  </si>
  <si>
    <t>Jaya Motor, RT.3/RW.2, Kademangan, Setu, KOTA TANGERANG SELATAN, SETU, BANTEN, ID, 15313</t>
  </si>
  <si>
    <t>210213SWBSVHH3</t>
  </si>
  <si>
    <t xml:space="preserve"> JP7213584518</t>
  </si>
  <si>
    <t>Riska Nurul Hidayati</t>
  </si>
  <si>
    <t>Kantor LP2SI Universitas Muhamadiyah Magelang (Kampus 2). Jl. Mayjend Bambang Soegeng KM 5, KAB. MAGELANG, MERTOYUDAN, JAWA TENGAH, ID, 56172</t>
  </si>
  <si>
    <t xml:space="preserve">210213SYSH1D0T
</t>
  </si>
  <si>
    <t xml:space="preserve"> JP6038226671</t>
  </si>
  <si>
    <t>Berliana Nur Oktavianti</t>
  </si>
  <si>
    <t>Jl. Buana Raya Gg. Buana Jati II/1 Padangsambian (Melia Labelindo/Rumah Pak Anwar), KOTA DENPASAR, DENPASAR BARAT, BALI, ID, 8011</t>
  </si>
  <si>
    <t>Buku Ajar Pengantar Aplikasi Komputer</t>
  </si>
  <si>
    <t>Yenny Iskandar</t>
  </si>
  <si>
    <t>210214V4SPK68Y</t>
  </si>
  <si>
    <t>JP5264945472</t>
  </si>
  <si>
    <t>Pengantar dan Implementasi Basis Data</t>
  </si>
  <si>
    <t>Canggih Ajika Pamungkas</t>
  </si>
  <si>
    <t>Della Hana Rosianita</t>
  </si>
  <si>
    <t xml:space="preserve">Jl merdeka GG muha Rt 02/14, KOTA BOGOR, BOGOR BARAT - KOTA, JAWA BARAT, ID, 16111
</t>
  </si>
  <si>
    <t>210214V6PXEEHX</t>
  </si>
  <si>
    <t xml:space="preserve"> JP1438099925</t>
  </si>
  <si>
    <t>Nining fatimah</t>
  </si>
  <si>
    <t>SMA BATIK 1 SURAKARTA Jln. Slamet Riyadi 445 Surakarta, KOTA SURAKARTA (SOLO), LAWEYAN, JAWA TENGAH, ID, 57146</t>
  </si>
  <si>
    <t>Pendidikan Demokrasi Dan Budaya Demokrasi Konstitusional</t>
  </si>
  <si>
    <t>Bambang Yuniarto</t>
  </si>
  <si>
    <t xml:space="preserve">210214VAA5APEB
</t>
  </si>
  <si>
    <t>JP7844448815</t>
  </si>
  <si>
    <t>Faris Mujadid Akbar</t>
  </si>
  <si>
    <t>Jalan Saluyu B VIII No.17, Cipamokolan Kel., Rancasari, KOTA BANDUNG, RANCASARI, JAWA BARAT, ID, 40292</t>
  </si>
  <si>
    <t>Integrasi Pasar dan Transmisi Harga dalam Pasar Pertanian</t>
  </si>
  <si>
    <t>Bambang Siswadi, Asnah dan Dyanasari</t>
  </si>
  <si>
    <t>210214VCWEX8GU</t>
  </si>
  <si>
    <t xml:space="preserve"> JP6400517038</t>
  </si>
  <si>
    <t>Johanes Chan</t>
  </si>
  <si>
    <t>jalan Pulo Empang no 15/49 . Toko Kulit Sumber jaya Bogor Tengah Kota Bogor 16132
Jawa Barat</t>
  </si>
  <si>
    <t>Pembenihan Ikan Mas Koki</t>
  </si>
  <si>
    <t>Maman Sudrajat dan Widi Setyogati</t>
  </si>
  <si>
    <t>INV/20210212/XXI/II/751810245</t>
  </si>
  <si>
    <t>Munawi</t>
  </si>
  <si>
    <t>Kampung Pulo RT 01/04 No. 51 sudimara selatan Ciledug Kota Tangerang 15151
Banten</t>
  </si>
  <si>
    <t>Program Loyalitas Pelanggan</t>
  </si>
  <si>
    <t>Aang Curatman, Agus Suroso dan Suliyanto</t>
  </si>
  <si>
    <t>INV/20210213/XXI/II/752507771</t>
  </si>
  <si>
    <t>AMBYAH UBOYO</t>
  </si>
  <si>
    <t>SMK Negeri 1 Nguling, Nguling, Kec. Nguling, Pasuruan, Jawa Timur, 67185 [Tokopedia Note: jln Dr Soetomo no 69 Nguling Kab Pasuruan 67185] Nguling Kab. Pasuruan 67185
Jawa Timur</t>
  </si>
  <si>
    <t>Rahasia Dibalik Sapu Bersih Pungli</t>
  </si>
  <si>
    <t>Ibrahim Hot</t>
  </si>
  <si>
    <t>INV/20210213/XXI/II/752425705</t>
  </si>
  <si>
    <t>000478001308</t>
  </si>
  <si>
    <t>Fuqoha Asnan Said</t>
  </si>
  <si>
    <t>Jalan Raya Salatiga - Solo KM. 8, RT.11 / RW.03, Kaligandu, Klero, Tengaran, Butuh, Tengaran, Kab. Semarang, Jawa Tengah, 50575</t>
  </si>
  <si>
    <t>Dasar- Dasar Teknik Informatika</t>
  </si>
  <si>
    <t>Novega Pratama Adiputra</t>
  </si>
  <si>
    <t>000865718989</t>
  </si>
  <si>
    <t>ulil absor nor</t>
  </si>
  <si>
    <t>· Saripan Jawa Tengah Kab. Jepara Jepara Indonesia Kab. Jepara</t>
  </si>
  <si>
    <t>Kiat Sukses Meningkatkan Disiplin Siswa</t>
  </si>
  <si>
    <t>Agustin Sukses Dakhi</t>
  </si>
  <si>
    <t xml:space="preserve">JZ1000243850
</t>
  </si>
  <si>
    <t>sutoyo</t>
  </si>
  <si>
    <t>RT 01/RW01 · Briyan Jawa Tengah Kab. Purworejo Ngombol Indonesia Kab. Purworejo</t>
  </si>
  <si>
    <t>JZ1000243851</t>
  </si>
  <si>
    <t>Rani Nurfitri</t>
  </si>
  <si>
    <t>Perumahan Bintang Alam Blok A2 No. 21 Rt 33 Rw 11 Desa Telukjambe, Kecamatan Telukjambe Timur, Kab. Karawang. 41361</t>
  </si>
  <si>
    <t>indriana</t>
  </si>
  <si>
    <t>Jl. SMPN 1 No. 34 RT 005/005 Desa Karang Asih, Kec. Cikarang Utara, Kab. Bekasi
  Kecamatan: Cikarang Utara
  Kabupaten/Kota: Bekasi
  Provinsi: Jawa Barat</t>
  </si>
  <si>
    <t>Nurholis</t>
  </si>
  <si>
    <t>Jl. Pancoran Barat 7b no. 29 rt. 011 rw. 06 Kec. Pancoran Kel. Pancoran Jakarta Selatan 12780, No. Hp :0878 7849 6123</t>
  </si>
  <si>
    <t>Wio Retta</t>
  </si>
  <si>
    <t>jalan sei raya dalam, perumahan cendana raya no. 1 (depan rutan), KOTA PONTIANAK, PONTIANAK TENGGARA, KALIMANTAN BARAT, ID, 78124</t>
  </si>
  <si>
    <t>Sistem Organ Manusia</t>
  </si>
  <si>
    <t>Tjitjih Kurniasih</t>
  </si>
  <si>
    <t xml:space="preserve">2102151T0DRDHC
</t>
  </si>
  <si>
    <t>JP8136062559</t>
  </si>
  <si>
    <t>Ahmad Hanafi</t>
  </si>
  <si>
    <t>Pondok pesantren al falah sumpiuh komplek masjid takwa sumpiuh Rt 1 Rw 3
Sumpiuh
Kabupaten Banyumas
Jawa Tengah
53195</t>
  </si>
  <si>
    <t>Menjadi Pembicara Terampil</t>
  </si>
  <si>
    <t>Sujinah</t>
  </si>
  <si>
    <t>Siti Azizah Novita Diyanti (Pak rt. 09)</t>
  </si>
  <si>
    <t>Jl. Sarang Bango No. 16 gg. Barokah Rt. 009 Rw. 005 
  Kelurahan : marunda
  Kecamatan: Cilincing
  Kabupaten/Kota: Jakarta Utara
  Provinsi: DKI JAKARTA</t>
  </si>
  <si>
    <t>Evi Makal</t>
  </si>
  <si>
    <t>Woloan 3 lingkungan 10 kecamatan Tomohon Barat Kota Tomohon Sulawesi Utara
Tomohon Barat
Kota Tomohon
Sulawesi Utara</t>
  </si>
  <si>
    <t>Pengetahuan Kepasifikan</t>
  </si>
  <si>
    <t>Oksfriani Jufri Sumampouw, dkk.</t>
  </si>
  <si>
    <t>Dinar Nur Inten</t>
  </si>
  <si>
    <t>Al Muqoddasah Depan Kantor Desa Jagabaya Rt 01/01 No.648 Desa Jagabaya
  Kecamatan: Cimaung
  Kabupaten/Kota: Kab. Bandung
  Provinsi: Jawa Barat</t>
  </si>
  <si>
    <t>Dasar Kesehatan Lingkungan</t>
  </si>
  <si>
    <t>Odi Roni Pinontoan dan Oksfriani Jufri Sumampouw</t>
  </si>
  <si>
    <t>Adri Hanif Fajri</t>
  </si>
  <si>
    <t>LPMP Jambi Jl. H. Yusuf Singesekane No. 31
  Kecamatan: Telanaipura
  Kabupaten/Kota: Kota Jambi
  Provinsi: Jambi</t>
  </si>
  <si>
    <t>Moh Syafiuddin</t>
  </si>
  <si>
    <t>Jl. Blok A Rt 06 No. 27
Kintap
Kabupaten Tanah Laut
Kalimantan Selatan
70883</t>
  </si>
  <si>
    <t>Karina Putri</t>
  </si>
  <si>
    <t>Perumnas Sarijadi Blok 5, Nomor 40, Bandung, 40151
  Kecamatan: Sukasari
  Kabupaten/Kota: Kota Bandung
  Provinsi: Jawa Barat</t>
  </si>
  <si>
    <t>Referensi Transformasi Perkotaan di Indonesia</t>
  </si>
  <si>
    <t>Prof. Bakti Setiawan</t>
  </si>
  <si>
    <t>Rachmah Khairunnisa</t>
  </si>
  <si>
    <t>Villa Mas Garden Blok B, No.143i, RT 04 RW 09
Bekasi Utara
Kota Bekasi
Jawa Barat</t>
  </si>
  <si>
    <t>Nego Linuhung</t>
  </si>
  <si>
    <t>Jln. Budi utomo, No.51, RT 02 /RW 06, (kompleks belakang toko bu Ning)
Sukun
Kota Malang
Jawa Timur</t>
  </si>
  <si>
    <t>Literasi Matematika (Mathematical Literacy) Soal Matematika Model Pisa Menggunakan Konteks Bangka Belitung</t>
  </si>
  <si>
    <t>Yudi Yunika Putra dan Rajab Vebrian</t>
  </si>
  <si>
    <t>Feriyanto dan Rizky Oktaviana E. P.</t>
  </si>
  <si>
    <t>Programme For International Students Assessments (Pisa): Pembahasan Proses Penyelesaian Dan Contoh Penyelesaian Guru, Mahasiswa Pendidikan Matematika, Dan Siswa</t>
  </si>
  <si>
    <t>Hongki Julie, Febi Sanjaya &amp; Antonius Yudhi Anggoro</t>
  </si>
  <si>
    <t>Ahmad Putra Sholiman</t>
  </si>
  <si>
    <t>Jalan Janti, Janti, Polanharjo (Dk mangunsuparnan ds janti rt 11 rw 006 kecamatan Polanharjo kab klaten ), KAB. KLATEN, POLANHARJO, JAWA TENGAH, ID, 57474</t>
  </si>
  <si>
    <t>Belajar Microsoft Office (Word, Excel, Poweoint) 2019 dengan Mudah dan Menyenangkan</t>
  </si>
  <si>
    <t>2102152NK4MBWV</t>
  </si>
  <si>
    <t xml:space="preserve"> JP5807740959</t>
  </si>
  <si>
    <t>Raka</t>
  </si>
  <si>
    <t>Perumahan grahanesa blok C3-3A, KOTA TANJUNG PINANG, TANJUNG PINANG TIMUR, KEPULAUAN RIAU, ID, 29145</t>
  </si>
  <si>
    <t>SELF ASSESSMENT PENYULUH PERTANIAN Berdasarkan Studi Kasus Self Assessment Kinerja Penyuluh Pertanian pada Jenjang Ahli di Malang Raya, Jawa Timur</t>
  </si>
  <si>
    <t>Pararto Wicaksono, S.P., M.Si.</t>
  </si>
  <si>
    <t>21021646GH4N1X</t>
  </si>
  <si>
    <t>JP5489130800</t>
  </si>
  <si>
    <t>Saufik</t>
  </si>
  <si>
    <t>Jl.RE martadinata No.129 RT.04 RW.09 Pelutan Pemalang 52311 Pemalang Kab. Pemalang 52311
Jawa Tengah</t>
  </si>
  <si>
    <t>Higiene Industri</t>
  </si>
  <si>
    <t>Riski Novera Yenita</t>
  </si>
  <si>
    <t>INV/20210215/XXI/II/753772895</t>
  </si>
  <si>
    <t>TJE1381687448051</t>
  </si>
  <si>
    <t>GUNTUR SITOMPUL</t>
  </si>
  <si>
    <t>Komplek AURI TRILOKA JL . PANCORAN BARAT IX G No.5 RT: 008 RW: 003 Kelurahan : Pancoran Kecamatan : Pancoran Jakarata Selatan, DKI Jakarata 12780, Pancoran, Jakarta Selatan, DKI Jakarta, 12780</t>
  </si>
  <si>
    <t>Perencanaan Pengembangan Daerah Tujuan Pariwisata</t>
  </si>
  <si>
    <t>Mohamad Ridwan &amp; Windra Aini</t>
  </si>
  <si>
    <t>000865779975</t>
  </si>
  <si>
    <t>Sri Widada</t>
  </si>
  <si>
    <t>dukuh RINGINHARJO RT 05 RW 01, desa gumpang, kecamatan Kartasura, kabupaten Sukoharjo, Kartasura, Sukoharjo, Jawa Tengah, 57163</t>
  </si>
  <si>
    <t>Meramu Tesis Di Balik Layar Proses Penulisan Penelitian Bisnis Metode Kuantitatif Kausalitas</t>
  </si>
  <si>
    <t>Ihwan Sururi</t>
  </si>
  <si>
    <t>000865780097</t>
  </si>
  <si>
    <t>Rahmawati Mulyaningtyas</t>
  </si>
  <si>
    <t>Perum Gragalan City 2 No 24, Gerbang lurus mentok belok kanan, lurus rumah ke-4 dari utara, KAB. TULUNGAGUNG, SUMBERGEMPOL, JAWA TIMUR, ID, 66291 · Sumberdadi Jawa Timur Kab. Tulungagung Sumbergempol Kab. Tulungagung Indonesia</t>
  </si>
  <si>
    <t>Cakap berbicara di depan publik</t>
  </si>
  <si>
    <t>Cintya Nurika Irma</t>
  </si>
  <si>
    <t>JZ1000243799</t>
  </si>
  <si>
    <t>maria cristin</t>
  </si>
  <si>
    <t>Btn Tibojong Indah Permai blok b2/9
Tanete Riattang Timur
Kabupaten Bone
Sulawesi Selatan</t>
  </si>
  <si>
    <t>Microteaching Berbasis Kurikulum 2013 Pada Pembelajaran Matematika</t>
  </si>
  <si>
    <t>Rahma Nia Juita dan Hanifah</t>
  </si>
  <si>
    <t>Tati handayani</t>
  </si>
  <si>
    <t xml:space="preserve">Perumahan Ciputat Baru, Jl. Anggur no 11, Blok B, Ciputat.
    RT/RW  :RT 08/ RW 08
    Kelurahan  :Sawah
    Kecamatan  :Ciputat 
    Kabupaten/Kota :Tangerang Selatan 
    Provinsi  :Banten </t>
  </si>
  <si>
    <t>E- MARKETING</t>
  </si>
  <si>
    <t>Adi Mursalin, S.E., M.M.</t>
  </si>
  <si>
    <t>Anisa Fitriah</t>
  </si>
  <si>
    <t xml:space="preserve"> Tegalwaru, Desa wargasetra Rt 001 Rw 006
  Kabupaten/Kota: Karawang 
  Provinsi: Jawa Barat </t>
  </si>
  <si>
    <t>bapak tantra</t>
  </si>
  <si>
    <t xml:space="preserve">Jl Jembatan Dua Cilebut Kel. Sukaresmi RT 05/RW 06 Kec. No 4 Tanah Sarael 
Kota Bogor: Rumah Depan RW Juendi Tembok Cat Orange
</t>
  </si>
  <si>
    <t>Brian</t>
  </si>
  <si>
    <t>Perum. Trias Estate Blok H10 no.40 rt 06,rw 21, Cibitung
Cibitung
Kabupaten Bekasi
Jawa Barat
17520</t>
  </si>
  <si>
    <t>Hukum Tata Negara</t>
  </si>
  <si>
    <t>Maemunah</t>
  </si>
  <si>
    <t>Buku ajar hukum perdata -</t>
  </si>
  <si>
    <t>Ronald saija</t>
  </si>
  <si>
    <t>Asas-Asas Hukum Pidana -</t>
  </si>
  <si>
    <t>Lukman Hakim</t>
  </si>
  <si>
    <t>Neng Athia</t>
  </si>
  <si>
    <t xml:space="preserve"> jl terusan pesantren  VII no i 97 sukamiskin
  Kecamatan: Arcamanik
  Kota:Bandung
  Provinsi: Jawa Barat</t>
  </si>
  <si>
    <t>Tanaman Obat Desa Air Selimang, Kecamatan Seberang Musi, Kabupaten Kepahyang, Bengkulu, Indonesia</t>
  </si>
  <si>
    <t>Dr. Apt. Diki Prayugo Wibowo, S.Si., M.Si.,Pupung Ismayadi, SST., M.M., Dwi Desti Kristia Wati, S.Farm.</t>
  </si>
  <si>
    <t>Zuhriyyah Hidayati</t>
  </si>
  <si>
    <t>Fotocopy Gladak Turi (Depan SDN Turi) Jl. Raya Turi RT 07 RW 02 Desa Turi Kec. Turi Kab. Lamongan 62252
  Kecamatan: Turi
  Kabupaten/Kota: Lamongan
  Provinsi:Jawa Timur</t>
  </si>
  <si>
    <t>Ideologi Politik Pendidikan Kontemporer</t>
  </si>
  <si>
    <t>Moh. Suardi</t>
  </si>
  <si>
    <t>Poniman</t>
  </si>
  <si>
    <t>Kp.pamahan rukem, desa jatireja ,Rt 01/05 , cikarang timur, dekat jembatan air isi ulang maromi (toko besi), KAB. BEKASI, CIKARANG TIMUR, JAWA BARAT, ID, 17530</t>
  </si>
  <si>
    <t xml:space="preserve">2102164RQB9KTY
</t>
  </si>
  <si>
    <t>JP9149265164</t>
  </si>
  <si>
    <t>ismail</t>
  </si>
  <si>
    <t>kecamatan susukan kabupaten cirebon dusun gebangsari desa luwungkencana RT 15 RW 06, KAB. CIREBON, SUSUKAN, JAWA BARAT, ID, 45166</t>
  </si>
  <si>
    <t>Aktivitas Pembelajaran Matematika Melalui Inkuiri Berbantuan Software Cinderella</t>
  </si>
  <si>
    <t>Topic Offirstson, M.Si., M.Pd.</t>
  </si>
  <si>
    <t>2102164DKXJVG3</t>
  </si>
  <si>
    <t>JP2129935894</t>
  </si>
  <si>
    <t>Ovei keynada</t>
  </si>
  <si>
    <t xml:space="preserve">Da housetel Jl pura mertasari no 28 , KAB. BADUNG, KUTA, BALI, ID, 80361
</t>
  </si>
  <si>
    <t>21021652PXE76V</t>
  </si>
  <si>
    <t>JP8409177545</t>
  </si>
  <si>
    <t>riyanti</t>
  </si>
  <si>
    <t>dusun tegal sari dekat mesjid belakang warung kopi · Langga Payung Sumatera Utara Kab. Labuhan Batu Selatan Sei/sungai Kanan Indonesia Kab. Labuhan Batu Selatan</t>
  </si>
  <si>
    <t>JZ1000244147</t>
  </si>
  <si>
    <t>nurhan tabau</t>
  </si>
  <si>
    <t>jl. kota batu no.2 RT01/RW14 Desa Kota Batu Jawa Barat Kab. Bogor Ciomas Indonesia Kab. Bogor</t>
  </si>
  <si>
    <t>JZ1000244222</t>
  </si>
  <si>
    <t>Arif</t>
  </si>
  <si>
    <t>Kranji-Perumnas 1-Jalan Belimbing 2 No 29-A (yang ada krey bambunya), Bekasi Barat, Bekasi, Jawa Barat, 17135</t>
  </si>
  <si>
    <t>Aspek Hukum dalam Ekonomi</t>
  </si>
  <si>
    <t>Yusnedi Achmad, S.H., M.Hum.</t>
  </si>
  <si>
    <t>BLJC213095627386</t>
  </si>
  <si>
    <t>fuad</t>
  </si>
  <si>
    <t>Seseorang di Pertengahan Tahun</t>
  </si>
  <si>
    <t>Rara Savira Zs</t>
  </si>
  <si>
    <t>tyas</t>
  </si>
  <si>
    <t>galuh</t>
  </si>
  <si>
    <t>Konsep Analisa Laporan Keuangan dengan Pendekatan Rasio dan SPSS</t>
  </si>
  <si>
    <t>Hantono</t>
  </si>
  <si>
    <t>Farel Stepanus Subagiartha</t>
  </si>
  <si>
    <t>Jln. Batu Ceper, Belakang RSUD Luwuk, KM3, Kec. Luwuk, Kab. Banggai
Luwuk
Kabupaten Banggai
Sulawesi Tengah
94712</t>
  </si>
  <si>
    <t>Anindyagari</t>
  </si>
  <si>
    <t xml:space="preserve"> jalan raya muhtar komplek telaga golf cluster belanda EX 55
  Kecamatan: sawangan
  Kabupaten/Kota: depok
  Provinsi: jabar</t>
  </si>
  <si>
    <t>Systematic Review dalam Kesehatan: Langkah demi Langkah</t>
  </si>
  <si>
    <t>Zahra Nurul Azizah</t>
  </si>
  <si>
    <t>Kp. Cihideung RT.027 RW.004, Mulyamekar. (Tanah Pak Yatno, rumah warna hijau muda terang)
Babakancikao
Kabupaten Purwakarta
Jawa Barat
41151</t>
  </si>
  <si>
    <t>Sport Education For Special Children: Pembelajaran Penjas Adaptif</t>
  </si>
  <si>
    <t>Nur Ahmad Muharram, dkk.</t>
  </si>
  <si>
    <t>Baharuddin, S.Kel., M.Si</t>
  </si>
  <si>
    <t>Rian Purnama</t>
  </si>
  <si>
    <t>Jl. Tegalpanjang II / Masjid Baiturrahman · Sukanagara Jawa Barat Kab. Tasikmalaya Tanjungjaya Indonesia Kab. Tasikmalaya</t>
  </si>
  <si>
    <t>Manajemen Sumber Daya Manusia Era 5.0</t>
  </si>
  <si>
    <t>Deden Komar Priatna</t>
  </si>
  <si>
    <t>JZ1000244327</t>
  </si>
  <si>
    <t>Siti Aisyah</t>
  </si>
  <si>
    <t>dsn, Sukawijaya ds. Kertamulya rt/rw 01/01
  Kecamatan: Pedes
  Kabupaten/Kota: karawang
  Provinsi: jawab barat</t>
  </si>
  <si>
    <t>Saufik Luthfianto</t>
  </si>
  <si>
    <t xml:space="preserve"> Perumahan Kaligelang Permai Blok. P no.5
  Kecamatan: Taman
  Kabupaten/Kota: Pemalang
  Provinsi: Jawa Tengah</t>
  </si>
  <si>
    <t>Profil dan Implimentasi K3 pada Industri Kreatif Batik Tulis Madura</t>
  </si>
  <si>
    <t>Fitri Agustina dan Nachnul Ansori</t>
  </si>
  <si>
    <t>Moh. Hakim</t>
  </si>
  <si>
    <t>Jl. Perum barisan indah, blok C 11
  Kecamatan: Sampang
  Kabupaten/Kota: Sampang
  Provinsi: Jawa Timur</t>
  </si>
  <si>
    <t>Manajemen Sumber Daya Manusia: Dalam Perspektif Managerial dan Sosial</t>
  </si>
  <si>
    <t>Afri Erisman</t>
  </si>
  <si>
    <t>Temmy Jengok Fernari</t>
  </si>
  <si>
    <t>Sarijadi Flat Blok  P lantai 2 No.8 
  Kecamatan: Sukasari
  Kota: Bandung
  Provinsi: Jawa Barat</t>
  </si>
  <si>
    <t>Penentu Kesuksesan Diri -</t>
  </si>
  <si>
    <t>Aip Hasan Sadili</t>
  </si>
  <si>
    <t>Kp. Pasantren rt/rw 008/004 Ds. Palinghihan, Kec. Plered  Kab. Purwakarta</t>
  </si>
  <si>
    <t>Epistemologi Tafsir Klasik: Kajian Kritis terhadap Konsep Pemikiran Sunah Muhammad bin Idris al-Shafi’i (150-204 AH.)</t>
  </si>
  <si>
    <t>Muhammad Husni Arafat, Lc., M.S.I.</t>
  </si>
  <si>
    <t>AKHSAN FITRIANTO</t>
  </si>
  <si>
    <t xml:space="preserve">Desa Jojo RT4 RW1 Kecamatan Mejobo Kabupaten Kudus, KAB. KUDUS, MEJOBO, JAWA TENGAH, ID, 59381
</t>
  </si>
  <si>
    <t>Konsep Dan Desain Sistem Rangka Momen Khusus (SRMK) Beton Bertulang Tahan Gempa Berdasarkan SNI 2847:2013 &amp; SNI 1726:2012</t>
  </si>
  <si>
    <t>21021890K7RHAC</t>
  </si>
  <si>
    <t>JP5831711045</t>
  </si>
  <si>
    <t>Ratna Dewi</t>
  </si>
  <si>
    <t xml:space="preserve">Jln. Majapahit gang MIN RT 05 RW 02 kel: sucen juru tengah, KAB. PURWOREJO, BAYAN, JAWA TENGAH, ID, 54152
</t>
  </si>
  <si>
    <t>2102188WFR8TRU</t>
  </si>
  <si>
    <t xml:space="preserve"> JP4376306196</t>
  </si>
  <si>
    <t>LIA ANGGRENI</t>
  </si>
  <si>
    <t>Jalan Raya Kalibagor-Banyumas, RT 07 RW 01 Grumbul Genting Raya, Rumah Pak Seto Wirawan, KAB. BANYUMAS, KALIBAGOR, JAWA TENGAH, ID, 53191</t>
  </si>
  <si>
    <t>21021899530JWE</t>
  </si>
  <si>
    <t>JP1827248187</t>
  </si>
  <si>
    <t>Mengenal Lebih Dekat Model Blended Learning Dengan Facebook (MBL-fb), Model Pembelajaran Untuk Generasi Digital</t>
  </si>
  <si>
    <t>Milya Sari</t>
  </si>
  <si>
    <t>2102189BE4FJ4G</t>
  </si>
  <si>
    <t>JP5816599826</t>
  </si>
  <si>
    <t>Catur Yuliani Respatiningsih</t>
  </si>
  <si>
    <t>Gd. Aplikasi 2, PPPTMGB LEMIGAS, Jl. Ciledug Raya Kav. 109 Cipulir, KOTA JAKARTA SELATAN, KEBAYORAN LAMA, DKI JAKARTA, ID, 12230</t>
  </si>
  <si>
    <t>2102189E7W7Q7M</t>
  </si>
  <si>
    <t>CM11895077454</t>
  </si>
  <si>
    <t>Aulianti Jaya</t>
  </si>
  <si>
    <t>Jl pondok lakah permai blok GG no 1 RT 01/16 Kel Paninggilan kec Ciledug, Tangerang</t>
  </si>
  <si>
    <t>Manajemen Analisis Jabatan</t>
  </si>
  <si>
    <t>Luis Marnisah &amp; Fakhry Zamzam</t>
  </si>
  <si>
    <t>Siti Nurrahmawati</t>
  </si>
  <si>
    <t>Dusun Krajan I RT07 RW01 Desa Gintung Kerta Kecamatan Klari-Karawang
Klari
Kabupaten Karawang
Jawa Barat
41371</t>
  </si>
  <si>
    <t>Dudi Rustandi (Enjang)</t>
  </si>
  <si>
    <t>Jalan Sindang Reret Kp. Cibangkonol RT/RW: 04/06 No. 1 Desa Cibiru Wetan Kec. Cileunyi Kabupaten Bandung (Samping Gapura Komp. Cibiru Raya), Cileunyi, Kab. Bandung, Jawa Barat, 40625</t>
  </si>
  <si>
    <t>Tuturan Metaforis Ragam Jurnalistik -</t>
  </si>
  <si>
    <t>Drs. Poniman, M.Hum.</t>
  </si>
  <si>
    <t xml:space="preserve">
000865869073</t>
  </si>
  <si>
    <t>Jalan Sindang Reret Kp. Cibangkonol RT/RW: 04/06 No. 1 Desa Cibiru Wetan Kec. Cileunyi Kabupaten Bandung (Samping Gapura Komp. Cibiru Raya), Cileunyi, Kab. Bandung, Jawa Barat, 40626</t>
  </si>
  <si>
    <t>Hukum, Etika dan kebijakan Media (Regulasi, Praktik dan Teori) -</t>
  </si>
  <si>
    <t>Radita Gora, M.M., Irwanto. M.Ikom</t>
  </si>
  <si>
    <t>lely fitriana</t>
  </si>
  <si>
    <t>Perumahan wahana praja no. 39. Jalan besi jangkang, desa widodomartani
  Kecamatan:  ngemplak
  Kabupaten/Kota: sleman
  Provinsi: DIY</t>
  </si>
  <si>
    <t>Nafa Alfionita Rahayu</t>
  </si>
  <si>
    <t xml:space="preserve">Jalan R.A. Kartini Gang Komodo 1 Kamasan, Mataram , KOTA MATARAM, SELAPARANG (SELAPRANG), NUSA TENGGARA BARAT (NTB), ID, 83122
</t>
  </si>
  <si>
    <t>Kreativitas dan Pengembangannya</t>
  </si>
  <si>
    <t>DR. MA Muazar Habibi, S.Psi., Psych,M.Pd.</t>
  </si>
  <si>
    <t>2102177W7B2A3E</t>
  </si>
  <si>
    <t xml:space="preserve"> JP4359867129</t>
  </si>
  <si>
    <t>Dapin Khan</t>
  </si>
  <si>
    <t>Jl. Dahlia no. 3 Guro II, Kelurahan Karawang Wetan Kode pos 41314 (Yayasan Al-Kahfi) 
  Kecamatan: Karawang Timur
  Kabupaten/Kota: Karawang
  Provinsi: Jawa Barat</t>
  </si>
  <si>
    <t>Winna Wahyu Permatasari</t>
  </si>
  <si>
    <t>Dusun Gangin RT03/RW01, Kelurahan Pulokulon, Kecamatan Pulokulon, Kabupaten Grobogan, Jawa Tengah. Kode pos 58181
  Kecamatan: Pulokulon
  Kabupaten/Kota: Grobogan
  Provinsi: Jawa Tengah</t>
  </si>
  <si>
    <t>Khanza Sukma Syafa</t>
  </si>
  <si>
    <t>Perum Griya Indah Blok A2 No 17 RT02/01 (Kost Gubuk Mesem) Desa Parungmulya
  Kecamatan: Ciampel
  Kabupaten/Kota: Karawang
  Provinsi: Jawa Barat</t>
  </si>
  <si>
    <t>Hukum Tata Negara Dan Hukum Administrasi Negara Dalam Tataran Reformasi Ketatanegaraan Indonesia</t>
  </si>
  <si>
    <t>Teuku Saiful Bahri Johan</t>
  </si>
  <si>
    <t>maysella silaban</t>
  </si>
  <si>
    <t xml:space="preserve"> jalan sentosa lama no 12 medan
  Kecamatan:Medan perjuangan
  Kabupaten/Kota: Kota Medan
  Provinsi: Sumatera Utara</t>
  </si>
  <si>
    <t>Buku Ajar Ekonometrika</t>
  </si>
  <si>
    <t>Ansofino, dkk</t>
  </si>
  <si>
    <t>Fathul Mubin</t>
  </si>
  <si>
    <t xml:space="preserve"> Madrasah Al Fatah Rt 023 rw 004 Jatisari
  Kecamatan: Tajinan 65172
  Kabupaten/Kota: Malang
  Provinsi: Jawa Timur</t>
  </si>
  <si>
    <t>Bisa dan Biasa Membaca dengan Metode CAEM (Cepat, Aktif, Epektif, 
Menyenangkan)</t>
  </si>
  <si>
    <t>Iman Nurjaman &amp; Nia Ramdaniati</t>
  </si>
  <si>
    <t>Ami</t>
  </si>
  <si>
    <t xml:space="preserve"> jl. Alternatif Cibubur, komp. Puri Sriwedari blok A1/2, Kel. Harjamukti
  Kecamatan: Cimanggis
  Kabupaten/Kota: Depok
  Provinsi: Jawa Barat</t>
  </si>
  <si>
    <t>Bahan Ajar Mata Kuliah Kritik Sastra</t>
  </si>
  <si>
    <t>Dina Gasong</t>
  </si>
  <si>
    <t>Fajriani Mutmainnah</t>
  </si>
  <si>
    <t>BTN Minasa Upa AB 12 nomor 13
Kecamatan : Rappocini
Kelurahan : Minasa upa
Kota : Makassar
Provinsi : Sulawesi selatan</t>
  </si>
  <si>
    <t>Kami Peternakan Kami Bangga: Kisah Inspiratif Mahasiswa Peternakan Unhas Berprestasi</t>
  </si>
  <si>
    <t>Muh. Arsan Fitri</t>
  </si>
  <si>
    <t>anggi</t>
  </si>
  <si>
    <t xml:space="preserve">jl pisangan lama 3 gang b1no 7h rt/rw 003/007 pulogadung jakarta timur </t>
  </si>
  <si>
    <t>A parent tale the adventures of study from home</t>
  </si>
  <si>
    <t>La Famillia</t>
  </si>
  <si>
    <t xml:space="preserve">jne </t>
  </si>
  <si>
    <t>Runi Puspaseruni</t>
  </si>
  <si>
    <t>Jl. Rusa Raya no.7A RT 001 RW 04 Kel. Pondok Ranji Kec. Ciputat Timur Tangerang Selatan Banten 15412
(Depan Gapura Jl. Rusa 2/ Sebrang Hanura)</t>
  </si>
  <si>
    <t>pos</t>
  </si>
  <si>
    <t>Anik Astari</t>
  </si>
  <si>
    <t>SMP Negeri 1 Ponjong
Jln. Pangeran Mangkubumi No. 34, Ponjong, Karangijo Kulon, Ponjong, Gunung Kidul, Daerah Istimewa Yogyakarta, 55892</t>
  </si>
  <si>
    <t>Rieza Hardyan Rahman</t>
  </si>
  <si>
    <t>Jln. Massutakarya RT 07 RW 12
  Kecamatan: Karawang Barat
  Kabupaten/Kota: Karawang
  Provinsi: Jawa Barat</t>
  </si>
  <si>
    <t>Mediawati Mimpun</t>
  </si>
  <si>
    <t>Rumah Sakit Umum Daerah Talaud
 Kecamatan: Melonguane
  Kabupaten/Kota: Talaud
  Provinsi: Sulawesi Utara</t>
  </si>
  <si>
    <t>Stasia / Rumah.belajar.id</t>
  </si>
  <si>
    <t>cluster Ayna blok C No 2 Graha Raya Serpong, KOTA TANGERANG SELATAN, SERPONG UTARA, BANTEN, ID, 15324</t>
  </si>
  <si>
    <t>210220DYQ1QUBC</t>
  </si>
  <si>
    <t> CM22982802802</t>
  </si>
  <si>
    <t>Lutfi Qurrota</t>
  </si>
  <si>
    <t>Desa Gendingan, Jalan Dusun Pucangsongo, RT.1/RW.1, Gendingan, Kedungwaru, KAB. TULUNGAGUNG, KEDUNGWARU, JAWA TIMUR, ID, 6622</t>
  </si>
  <si>
    <t>210220E9VVKUH9</t>
  </si>
  <si>
    <t> CM92446959339</t>
  </si>
  <si>
    <t>Anti Rahmadaning</t>
  </si>
  <si>
    <t xml:space="preserve">Temu gg2 RT 01 RW 02 rumah bpk YOYOK, KAB. SIDOARJO, PRAMBON, JAWA TIMUR, ID, 61264
</t>
  </si>
  <si>
    <t>210220EG3WY35S</t>
  </si>
  <si>
    <t xml:space="preserve"> JP1737287564</t>
  </si>
  <si>
    <t>Fika zahraa</t>
  </si>
  <si>
    <t xml:space="preserve">Perum Ar-raudhah 2 blok B no 11 rt 001/001, sukaragam, KAB. BEKASI, SERANG BARU, JAWA BARAT, ID, 17338
</t>
  </si>
  <si>
    <t>210221FUSKCSSA</t>
  </si>
  <si>
    <t xml:space="preserve"> JP3593968008</t>
  </si>
  <si>
    <t>Debiy Nur Cahyanie</t>
  </si>
  <si>
    <t xml:space="preserve">rt 6 rw 05 karangaji kedung jepara (langsung hubungi wa) , KAB. JEPARA, KEDUNG, JAWA TENGAH, ID, 59463
</t>
  </si>
  <si>
    <t>Etika Peserta Didik : Menurut Syaikh Muhammad bin Shalih Al-Utsaimin</t>
  </si>
  <si>
    <t>Saifuddin Amin</t>
  </si>
  <si>
    <t>210221GV56SCEC</t>
  </si>
  <si>
    <t>JP1788622793</t>
  </si>
  <si>
    <t>Yunila Prabandari (Fista)</t>
  </si>
  <si>
    <t>Jl. H. Mena, Kec. Natar, Kabupaten Lampung Selatan, Lampung [Tokopedia Note: Jurusan Gizi, Poltekkes Tanjungkarang ] Natar Kab. Lampung Selatan 35362
Lampung</t>
  </si>
  <si>
    <t>Madu dan Susu Probiotik Sebagai Antibakter</t>
  </si>
  <si>
    <t>Andyanita Hanif Hermawati, dkk</t>
  </si>
  <si>
    <t>INV/20210219/XXI/II/758103335</t>
  </si>
  <si>
    <t>000479707588</t>
  </si>
  <si>
    <t>rais</t>
  </si>
  <si>
    <t>Masuk Kikav 5/GCC · 5 Ilir Sumatera Selatan Kota Palembang Ilir Timur Ii Indonesia Kota Palembang</t>
  </si>
  <si>
    <t>JZ1000245195</t>
  </si>
  <si>
    <t>Alif ibram</t>
  </si>
  <si>
    <t>tebangan lembak 6 Kalimantan Timur Kab. Kutai Timur Bengalon Indonesia Kab. Kutai Timur</t>
  </si>
  <si>
    <t>JZ1000245244</t>
  </si>
  <si>
    <t>Debora Pontoh</t>
  </si>
  <si>
    <t>Alamat Mahakam gang 8 kel. Wawonasa kec. Singkil lingk. III.  Manado-Sulawesi Utara</t>
  </si>
  <si>
    <t>Teori Belajar Dan Model Pembelajaran Inovatif Perspektif Teori Dan Praktis</t>
  </si>
  <si>
    <t>Adi F. Mahmud</t>
  </si>
  <si>
    <t>Psikologi Pendidikan Kajian Teoretik</t>
  </si>
  <si>
    <t>Jusrin Efendi Pohan &amp; Muhammad Munawir Pohan</t>
  </si>
  <si>
    <t>Ni Kadek Nurlita Dia Ayu</t>
  </si>
  <si>
    <t>Jln. Taman Sari No 15A. Lingk. Kelan, Tuban
  Kecamatan: Kuta
  Kabupaten/Kota: Badung
  Provinsi: Bali</t>
  </si>
  <si>
    <t>Mindfulness, Stres, dan Kesejahteraan Psikologis Pada Pekerja</t>
  </si>
  <si>
    <t>Arni Nur Rahmawati, Noor Rochmah Ida Ayu Trisno Putri</t>
  </si>
  <si>
    <t>Manusia dalam Pandangan Psikologi</t>
  </si>
  <si>
    <t>Pasiska, M.A. dan Takdir Alisyahbana, M.Pd.I.</t>
  </si>
  <si>
    <t>Sudarsih</t>
  </si>
  <si>
    <t>Jl. Utari rt 02 rw 01 Purworejo Balong Ponorogo Jawa Timur.</t>
  </si>
  <si>
    <t>Jumirin</t>
  </si>
  <si>
    <t xml:space="preserve">kwiran RT 02/02, Jambukulon, KAB. KLATEN, CEPER, JAWA TENGAH, ID, 57465
</t>
  </si>
  <si>
    <t>Eko Saputra Utama</t>
  </si>
  <si>
    <t>Fakultas Kehutanan Universitas Lancang Kuning
Jl. Yos Sudarso Km.08
Rumbai
Kota Pekanbaru
Riau</t>
  </si>
  <si>
    <t>Perspektif Ekonomi Kesatuan Pengelolaan Hutan (KPH)</t>
  </si>
  <si>
    <t>Syukur Umar</t>
  </si>
  <si>
    <t>Green Tourism Marketing For Sustainable Development: Membangun Desa Melalui Pariwisata Hutan Mangrove di Kabupaten Cilacap</t>
  </si>
  <si>
    <t>Ganjar Ndaru Ikhtiagung</t>
  </si>
  <si>
    <t>Pengantar Biomassa Hutan</t>
  </si>
  <si>
    <t>Gun Mardiatmoko</t>
  </si>
  <si>
    <t>Model Pengembangan Destinasi Dalam Perspektif Motivasi Berwisata</t>
  </si>
  <si>
    <t>Christimulia Purnama Trimurti &amp; I Gusti Bagus Rai Utama</t>
  </si>
  <si>
    <t>Titi Santi</t>
  </si>
  <si>
    <t>Kp.Gugur RT/RW 06/03 Desa Cibatutiga
  Kecamatan: Cariu 
  Kabupaten/Kota: Bogor 
  Provinsi: Jawa Barat</t>
  </si>
  <si>
    <t>Marni susanti Mendrofa</t>
  </si>
  <si>
    <t>jln,nias tengah km,21,5 kecamtan hilisarangakai,desa hilizia lauru
  Kecamatan:Hilisearangaki
  Kabupaten/Kota:Nias tangah kota Gunungsitoli
  Provinsi:sumatera utara</t>
  </si>
  <si>
    <t>Putri Pratiwi as</t>
  </si>
  <si>
    <t>Litaksakka
Mamasa
Kabupaten Mamasa
Sulawesi Barat
91362</t>
  </si>
  <si>
    <t>Deva Lenasari</t>
  </si>
  <si>
    <t xml:space="preserve">Jl. Merpati banguntapan bantul KOST PUTRI ASYAFA. , KAB. BANTUL, BANGUNTAPAN, DI YOGYAKARTA, ID, 55798
</t>
  </si>
  <si>
    <t>210222KRY6W5GK</t>
  </si>
  <si>
    <t xml:space="preserve"> JP5864192952</t>
  </si>
  <si>
    <t>Sridevi Rendhia Sukma</t>
  </si>
  <si>
    <t>Jalan Rawang Bunian, Koto Tangah, Tilatang Kamang (Didekat heler padi), KAB. AGAM, TILATANG KAMANG, SUMATERA BARAT, ID, 26152</t>
  </si>
  <si>
    <t>Perdagangan Internasional</t>
  </si>
  <si>
    <t>Wahono Diphayana</t>
  </si>
  <si>
    <t>210223NQ56QV9M</t>
  </si>
  <si>
    <t>JP8743134380</t>
  </si>
  <si>
    <t>Hizriyani Surahi</t>
  </si>
  <si>
    <t>Kampung kisar rumah tingkat warna hijau orange disamping masjid abu bakar as-sidiq, KOTA AMBON, SIRIMAU, MALUKU, ID,</t>
  </si>
  <si>
    <t xml:space="preserve">210221H18B3DUS
</t>
  </si>
  <si>
    <t>JP4433622388</t>
  </si>
  <si>
    <t>wisnu mustapa</t>
  </si>
  <si>
    <t>Jl.Aries Utama Blok E 10 No 4 Kembangan Jak Bar Kembangan Kembangan Kota Administrasi Jakarta Barat 11620
DKI Jakarta</t>
  </si>
  <si>
    <t>Intisari Ilmu Pelayaran Datar</t>
  </si>
  <si>
    <t>Capt.H.R. Soebekti, M. Mar</t>
  </si>
  <si>
    <t>INV/20210222/XXI/II/760020745</t>
  </si>
  <si>
    <t>TJX1808465317200</t>
  </si>
  <si>
    <t>Vanny virangga</t>
  </si>
  <si>
    <t>Jl. Madrasah Buntu, Kec. Cilandak, Kota Jakarta Selatan, Daerah Khusus Ibukota Jakarta, 12420 [Tokopedia Note: nomor 64 D] Cilandak Kota Administrasi Jakarta Selatan 12420</t>
  </si>
  <si>
    <t>Hukum Pembuktian Dalam Perkara Pidana Dan Perdata</t>
  </si>
  <si>
    <t>Rahman Amin</t>
  </si>
  <si>
    <t>Jl. Madrasah Buntu, Kec. Cilandak, Kota Jakarta Selatan, Daerah Khusus Ibukota Jakarta, 12420 [Tokopedia Note: nomor 64 D] Cilandak Kota Administrasi Jakarta Selatan 12421</t>
  </si>
  <si>
    <t>Peraturan Pemerintah Pengganti Undang-Undang</t>
  </si>
  <si>
    <t>Zulherman Idris, Wira Atma Hajri, &amp; Dede Anggara Saputra</t>
  </si>
  <si>
    <t>Jl. Madrasah Buntu, Kec. Cilandak, Kota Jakarta Selatan, Daerah Khusus Ibukota Jakarta, 12420 [Tokopedia Note: nomor 64 D] Cilandak Kota Administrasi Jakarta Selatan 12422</t>
  </si>
  <si>
    <t>Konstruksi Teori Hukum</t>
  </si>
  <si>
    <t>Ronald Saija</t>
  </si>
  <si>
    <t>Jl. Madrasah Buntu, Kec. Cilandak, Kota Jakarta Selatan, Daerah Khusus Ibukota Jakarta, 12420 [Tokopedia Note: nomor 64 D] Cilandak Kota Administrasi Jakarta Selatan 12423</t>
  </si>
  <si>
    <t>Kepastian Hukum Perkawinan Siri dan Permasalahannya Ditinjau dari Undang-Undang Nomor 1 Tahun 1974</t>
  </si>
  <si>
    <t>Zainuddin &amp; Afwan Zainuddin</t>
  </si>
  <si>
    <t>Jl. Madrasah Buntu, Kec. Cilandak, Kota Jakarta Selatan, Daerah Khusus Ibukota Jakarta, 12420 [Tokopedia Note: nomor 64 D] Cilandak Kota Administrasi Jakarta Selatan 12424</t>
  </si>
  <si>
    <t>Teknik Membuat Jawaban: Perkara Perdata Lelang Eksekusi Hak Tanggungan</t>
  </si>
  <si>
    <t>Jl. Madrasah Buntu, Kec. Cilandak, Kota Jakarta Selatan, Daerah Khusus Ibukota Jakarta, 12420 [Tokopedia Note: nomor 64 D] Cilandak Kota Administrasi Jakarta Selatan 12425</t>
  </si>
  <si>
    <t>Penerapan Dan Implementasi “Tujuan Pemidanaan” Dalam Rancangan Kitab Undang-Undang Hukum Pidana (RKUHP) Dan Rancangan Kitab Undang-Undang Hukum Acara Pidana (RKUHAP)</t>
  </si>
  <si>
    <t>Jl. Madrasah Buntu, Kec. Cilandak, Kota Jakarta Selatan, Daerah Khusus Ibukota Jakarta, 12420 [Tokopedia Note: nomor 64 D] Cilandak Kota Administrasi Jakarta Selatan 12426</t>
  </si>
  <si>
    <t xml:space="preserve">PENERAPAN KONSEP “PLEA BARGAINING” Dalam Rancangan Kitab Undang-Undang Hukum Acara Pidana (RKUHAP) dan Manfaatnya Bagi Sistem Peradilan Pidana di Indonesia 
</t>
  </si>
  <si>
    <t>Lukman Hakim, Ika Dewi Sartika Saimima &amp; Anggreany Haryani Putri</t>
  </si>
  <si>
    <t>Jl. Madrasah Buntu, Kec. Cilandak, Kota Jakarta Selatan, Daerah Khusus Ibukota Jakarta, 12420 [Tokopedia Note: nomor 64 D] Cilandak Kota Administrasi Jakarta Selatan 12427</t>
  </si>
  <si>
    <t>Jl. Madrasah Buntu, Kec. Cilandak, Kota Jakarta Selatan, Daerah Khusus Ibukota Jakarta, 12420 [Tokopedia Note: nomor 64 D] Cilandak Kota Administrasi Jakarta Selatan 12428</t>
  </si>
  <si>
    <t xml:space="preserve">Seluk Beluk Hukum Kontrak (Teori &amp; Praktik) 
</t>
  </si>
  <si>
    <t>Dr. Ronald Saija, S.H., M.H.</t>
  </si>
  <si>
    <t>Jl. Madrasah Buntu, Kec. Cilandak, Kota Jakarta Selatan, Daerah Khusus Ibukota Jakarta, 12420 [Tokopedia Note: nomor 64 D] Cilandak Kota Administrasi Jakarta Selatan 12429</t>
  </si>
  <si>
    <t>Jl. Madrasah Buntu, Kec. Cilandak, Kota Jakarta Selatan, Daerah Khusus Ibukota Jakarta, 12420 [Tokopedia Note: nomor 64 D] Cilandak Kota Administrasi Jakarta Selatan 12430</t>
  </si>
  <si>
    <t>Dasar-Dasar Hukum Pidana</t>
  </si>
  <si>
    <t>Zuleha</t>
  </si>
  <si>
    <t>Jl. Madrasah Buntu, Kec. Cilandak, Kota Jakarta Selatan, Daerah Khusus Ibukota Jakarta, 12420 [Tokopedia Note: nomor 64 D] Cilandak Kota Administrasi Jakarta Selatan 12431</t>
  </si>
  <si>
    <t>Hukum Acara Perdata Indonesia</t>
  </si>
  <si>
    <t>Jl. Madrasah Buntu, Kec. Cilandak, Kota Jakarta Selatan, Daerah Khusus Ibukota Jakarta, 12420 [Tokopedia Note: nomor 64 D] Cilandak Kota Administrasi Jakarta Selatan 12432</t>
  </si>
  <si>
    <t>Pemuatan Norma Hukum yang Telah Dibatalkan oleh Mahkamah Konstitusi</t>
  </si>
  <si>
    <t>M. Husnu Abadi, dkk</t>
  </si>
  <si>
    <t>Jl. Madrasah Buntu, Kec. Cilandak, Kota Jakarta Selatan, Daerah Khusus Ibukota Jakarta, 12420 [Tokopedia Note: nomor 64 D] Cilandak Kota Administrasi Jakarta Selatan 12433</t>
  </si>
  <si>
    <t>PIDANA DAN PEMIDANAAN
DALAM SISTEM HUKUM
DI INDONESIA
(Hukum Penitensier)</t>
  </si>
  <si>
    <t>DR. Hj. Tina Asmarawati, S.H., M.H.</t>
  </si>
  <si>
    <t>PENEGAKAN HUKUM TINDAK PIDANA KORUPSI</t>
  </si>
  <si>
    <t>fanny adibah</t>
  </si>
  <si>
    <t>Graha Sunan Ampel blok i no.14 RT. 04 RW.05 · Wiyung Jawa Timur Kota Surabaya Wiyung Indonesia Kota Surabaya</t>
  </si>
  <si>
    <t>Kapita Selekta Matematika Jenjang Pendidikan Dasar Kelas 1-6</t>
  </si>
  <si>
    <t>Editor: Hanifah</t>
  </si>
  <si>
    <t>JZ1000245636</t>
  </si>
  <si>
    <t>Putri Ekaresty Haes</t>
  </si>
  <si>
    <t>Kampus Undiknas Denpasar, Jl. Bedugul No 39
  Kecamatan: Denpasar Selatan
  Kabupaten/Kota: Denpasar
  Provinsi: Bali</t>
  </si>
  <si>
    <t>Psikologi Komunikasi</t>
  </si>
  <si>
    <t>Lucy Pujasari Supratman dan Adi Bayu Mahadian</t>
  </si>
  <si>
    <t>Anthon Fathanudien</t>
  </si>
  <si>
    <t xml:space="preserve">Universitas Kuningan Fakultas Hukum Jalan Cut Nyak Dhien No. 36 A Kabupaten Kuningan Jawa Barat </t>
  </si>
  <si>
    <t>Buku Ajar Hukum Perlindungan Konsumen</t>
  </si>
  <si>
    <t>Abdul Atsar dan Rani Apriani</t>
  </si>
  <si>
    <t>Buku Ajar Hak Kekayaan Intelektual</t>
  </si>
  <si>
    <t>Ni Ketut Supasti Dharmawan, dkk</t>
  </si>
  <si>
    <t>Tesalonika Limbat</t>
  </si>
  <si>
    <t>Jln. Sea Perumahan CHT Blok Y No. 12 Jaga 3 Sea 1
  Kecamatan: Malalayang
  Kabupaten/Kota: Manado
  Provinsi: Sulawesi Utara</t>
  </si>
  <si>
    <t>Taufiq taufiq</t>
  </si>
  <si>
    <t>KPU Kabupaten Pasaman
Kantor KPU Kabupaten Pasaman. Jl. Ahmad Yani No.13, Pauah, Lubuk Sikaping, Kabupaten Pasaman, Sumatera Barat 26318
Lubuk Sikaping
Kabupaten Pasaman
Sumatera Barat
26318</t>
  </si>
  <si>
    <t>Demokrasi Menguji Integritas Menjaga Martabat</t>
  </si>
  <si>
    <t>Marianus Minggo</t>
  </si>
  <si>
    <t>KPU Kabupaten Pasaman
Kantor KPU Kabupaten Pasaman. Jl. Ahmad Yani No.13, Pauah, Lubuk Sikaping, Kabupaten Pasaman, Sumatera Barat 26318
Lubuk Sikaping
Kabupaten Pasaman
Sumatera Barat
26319</t>
  </si>
  <si>
    <t>Menggugat Demokrasi Lokal</t>
  </si>
  <si>
    <t>Andrian Habibi</t>
  </si>
  <si>
    <t>Karina Asyifa</t>
  </si>
  <si>
    <t>Jl. Anggrek 2 RT002/RW008 No. 102, Cipayung, Depok
Cipayung
Kota Depok
Jawa Barat
16437</t>
  </si>
  <si>
    <t>Peranan Kebijakan Pemerintah Kab. Semarang Dalam Pengembangan Pariwisata Di Kawasan Bandungan</t>
  </si>
  <si>
    <t>001438032685</t>
  </si>
  <si>
    <t>Stevaniwinokan</t>
  </si>
  <si>
    <t xml:space="preserve">Desa Rambunan, jaga 3, jalan inpres, rumah panggung samping smp negeri 3 satap sonder , KAB. MINAHASA, SONDER, SULAWESI UTARA, ID, 95691
</t>
  </si>
  <si>
    <t>210223NYE6T8YP</t>
  </si>
  <si>
    <t xml:space="preserve"> JP1035124694</t>
  </si>
  <si>
    <t>Safira Nadifa</t>
  </si>
  <si>
    <t>Komplek Puri Cipageran Indah 2 Blok D1 no 1
Ngamprah
Kabupaten Bandung Barat
Jawa Barat
40552</t>
  </si>
  <si>
    <t>Supply Chain Management</t>
  </si>
  <si>
    <t>Rizka Latifa</t>
  </si>
  <si>
    <t>Hotel Damai Syariah Pekalongan/pintu belakang · Pasirkratonkramat Jawa Tengah Kota Pekalongan Pekalongan Barat Indonesia Kota Pekalonga</t>
  </si>
  <si>
    <t>Pendidikan Inklusi</t>
  </si>
  <si>
    <t>Satrianawati</t>
  </si>
  <si>
    <t>JZ1000245775</t>
  </si>
  <si>
    <t>andre albert</t>
  </si>
  <si>
    <t>pt.randugarut plastics indonesia jl.raya randugarut km.13 semarang, Tugu, Semarang, Jawa Tengah, 50153</t>
  </si>
  <si>
    <t>Pemrograman Bahasa Assembly Konsep Dasar Dan Implementasi</t>
  </si>
  <si>
    <t>Sulistiyasni dan M. Akbar Setiawan</t>
  </si>
  <si>
    <t>001438036057</t>
  </si>
  <si>
    <t>Yura</t>
  </si>
  <si>
    <t xml:space="preserve"> Kemang ifi graha Jl. Jakarta Blok A8 No. 3
  Kecamatan: Jatiasih
  Kabupaten/Kota: Kota Bekasi
  Provinsi: Jawa Barat</t>
  </si>
  <si>
    <t>Sosiologi, Gender, dan Semiotika</t>
  </si>
  <si>
    <t>Made Ferry Kurniawan</t>
  </si>
  <si>
    <t>Owen Cahyadi Putra</t>
  </si>
  <si>
    <t>Jln.teluk air, Gg ismail, Rt 06 Rw 01 No 42, kode pos 22996
  Kecamatan:Karimun
  Kabupaten/Kota:Tanjung balai karimun
  Provinsi: KEPRI</t>
  </si>
  <si>
    <t xml:space="preserve"> Hadi Supriyono dan Djoko Subandrijo</t>
  </si>
  <si>
    <t>MOCHAMAD CHOLIL</t>
  </si>
  <si>
    <t xml:space="preserve">CANTIAN TENGAH, Gang IV No. 16 , KOTA SURABAYA, SIMOKERTO, JAWA TIMUR, ID, 60145
</t>
  </si>
  <si>
    <t>210223PN2GTK2R</t>
  </si>
  <si>
    <t>JP5228959332</t>
  </si>
  <si>
    <t>Winda astutik</t>
  </si>
  <si>
    <t>Dsn/ds.sumbersono rt 5 rw 6 kec.dlanggu depan bee.net, KAB. MOJOKERTO, DLANGGU, JAWA TIMUR, ID, 61371</t>
  </si>
  <si>
    <t>K. U. A. T.</t>
  </si>
  <si>
    <t>Andi Fitri Atiqah Rizki Marewangeng</t>
  </si>
  <si>
    <t>210223PPR46M2N</t>
  </si>
  <si>
    <t xml:space="preserve"> JP7665923758</t>
  </si>
  <si>
    <t>Yodi Emwe</t>
  </si>
  <si>
    <t>Komplek Naman Regency Blok C nomor 6 Jalan Haji Naman, Pondok Kelapa, Jakarta Timur
Duren Sawit, Kota Administrasi Jakarta Timur, DKI Jakarta 13450</t>
  </si>
  <si>
    <t>INV/20210224/XXI/II/761492489</t>
  </si>
  <si>
    <t>M. Fais Satrianegara</t>
  </si>
  <si>
    <t>Jl. Abd.Dg Sirua BTN CV.DEWI Blok B2 no. 16, Panakkukang, Makassar, Sulawesi Selatan, 90231</t>
  </si>
  <si>
    <t>001438052866</t>
  </si>
  <si>
    <t>Jl. Abd.Dg Sirua BTN CV.DEWI Blok B2 no. 16, Panakkukang, Makassar, Sulawesi Selatan, 90232</t>
  </si>
  <si>
    <t>Aplikasi Metode 5 S (Seiri, Seiton, Seiso, Seiketsu, dan Shitsuke.) dalam Perencanaan 
Logistik Alat Kesehatan di Rumah Sakit</t>
  </si>
  <si>
    <t>Paskah Rina Situmorang, Meriani Herlina, &amp; 
Bernita Silalahi</t>
  </si>
  <si>
    <t>Jl. Abd.Dg Sirua BTN CV.DEWI Blok B2 no. 16, Panakkukang, Makassar, Sulawesi Selatan, 90233</t>
  </si>
  <si>
    <t>Profesi Manajerial pada Pelayanan Rumah Sakit</t>
  </si>
  <si>
    <t>Drs. Manahati Zebua, M.Kes., M.M.</t>
  </si>
  <si>
    <t>Aden Hari sadeli</t>
  </si>
  <si>
    <t>001438053124</t>
  </si>
  <si>
    <t>Desra Tarigan</t>
  </si>
  <si>
    <t>Jalan Gunung Bendahara Lk.XII Perumahan Asabri No.67
Binjai Selatan
Kota Binjai
Sumatera Utara
20724</t>
  </si>
  <si>
    <t>Aisyah</t>
  </si>
  <si>
    <t xml:space="preserve"> Jl. Terusan Venus no. 58
  Kecamatan: Lowokwaru
  Kabupaten/Kota: kota malang
  Provinsi: jatim</t>
  </si>
  <si>
    <t>Buku Ajar Teori Ekonomi Makro</t>
  </si>
  <si>
    <t>Sattar &amp; Silvana Kardinar Wijayanti</t>
  </si>
  <si>
    <t>Revi Ristiana</t>
  </si>
  <si>
    <t>Perumahan permata blok r4 no 2, rt 05 rw 12, jln Ruby, desa jatireja, kec cikarang timur , kab bekasi, provinsi Jawa barat. ID 17825.
Bekasi Timur
Kota Bekasi
Jawa Bara</t>
  </si>
  <si>
    <t>Wildan Taufiq</t>
  </si>
  <si>
    <t>Komp. Permata Biru Blok C2 no.38 RT/RW 05/27 Cinunuk, Cileunyi, Kab. Bandung, Jawa Barat, 40393</t>
  </si>
  <si>
    <t>Teori dan praktik diksi, gaya bahasa, dan pencitraan</t>
  </si>
  <si>
    <t>Siswono, S.S., M.Hum.</t>
  </si>
  <si>
    <t>001438057114</t>
  </si>
  <si>
    <t>Rieska Hidajat</t>
  </si>
  <si>
    <t>Jl Putat Indah Timur 3 no 1 . kec Sukomanunggal - Surabaya 60189, Surabaya, Surabaya, Jawa Timur, 60189</t>
  </si>
  <si>
    <t>Panduan Praktis Hatha Yoga Bagi Orang Modern</t>
  </si>
  <si>
    <t>Ida Kade Suparta &amp; Wayan Ayumita Astrina</t>
  </si>
  <si>
    <t>001438060427</t>
  </si>
  <si>
    <t>dudi rudiatna</t>
  </si>
  <si>
    <t>jalan manglid no.71/132 gang sauyunan rt 03 rw 11 margahayu kabupaten bandung, kode pos 40226 , provinsi jawa barat</t>
  </si>
  <si>
    <t>Kinerja Guru (Teori, Penilaian dan Upaya Peningkatannya) -</t>
  </si>
  <si>
    <t>Wagiran</t>
  </si>
  <si>
    <t>Maria</t>
  </si>
  <si>
    <t>Jln.tukad balian gang bule no.18, KOTA DENPASAR, DENPASAR SELATAN, BALI, ID, 80226</t>
  </si>
  <si>
    <t>210224RGHR33P4</t>
  </si>
  <si>
    <t> JP8080952327</t>
  </si>
  <si>
    <t>Ahmad</t>
  </si>
  <si>
    <t>Rejowinangun, RT/23 RW/07 No. 413, Kotagede, Yogyakarta</t>
  </si>
  <si>
    <t>Model Pembelajaran Discovery Learning di Sekolah Dasar -</t>
  </si>
  <si>
    <t>ILYANANDA PUTRI</t>
  </si>
  <si>
    <t xml:space="preserve"> Perumahan Purwodadi Indah Jl.Damai Blok L Nomor 7, Panam
  Kecamatan: Tampan
  Kabupaten/Kota: Pekanbaru
  Provinsi: Riau</t>
  </si>
  <si>
    <t>Aljabar Linear Dasar Berbasis IT (Scilab, Geogebra Dan Microsoft Mathematics)</t>
  </si>
  <si>
    <t>Netty J. Marlin Gella &amp; Yusak I. Bien</t>
  </si>
  <si>
    <t>Rita sagita</t>
  </si>
  <si>
    <t xml:space="preserve">Jalan malaka lorong mekar 3 No.1424, KOTA PALEMBANG, SUKARAMI, SUMATERA SELATAN, ID, </t>
  </si>
  <si>
    <t>210224RWMGDAY0</t>
  </si>
  <si>
    <t xml:space="preserve"> JP9806310829</t>
  </si>
  <si>
    <t>ILZA AH (Sasa)</t>
  </si>
  <si>
    <t>Perumahan Safira Residence Blok D No.18-20 Jln. Veteran, Desa Singopuran, RW 05 / RT 04, KAB. SUKOHARJO, KARTASURA, JAWA TENGAH, ID, 57164</t>
  </si>
  <si>
    <t>Analisis dan Perancangan Sistem Informasi: Pembahasan Secara Praktis dengan Contoh Kasus</t>
  </si>
  <si>
    <t>Maniah, dkk</t>
  </si>
  <si>
    <t>210224S1XNN3SH</t>
  </si>
  <si>
    <t>JP6558845714</t>
  </si>
  <si>
    <t>Ita Widyawati</t>
  </si>
  <si>
    <t>Jalan Kunir no 45, RT 03 RW 11, Pajang, Laweyan, Surakarta, KOTA SURAKARTA (SOLO), LAWEYAN, JAWA TENGAH, ID, 57146</t>
  </si>
  <si>
    <t>210224S4N9KYFU</t>
  </si>
  <si>
    <t>JP0385799421</t>
  </si>
  <si>
    <t>Athaya hasna</t>
  </si>
  <si>
    <t xml:space="preserve">Jl pramuka no 16, Sadamalun, RT 003/RW 021. ( Depan Rumah Ada Teh Poci dan Dimsum Ratu ), KAB. KARAWANG, KARAWANG BARAT, JAWA BARAT, ID, 41311
</t>
  </si>
  <si>
    <t>210224RQYW5PW1</t>
  </si>
  <si>
    <t>JP8598505809</t>
  </si>
  <si>
    <t>Haeril</t>
  </si>
  <si>
    <t xml:space="preserve">Dijln H. Agussalim no 29 raha kecamatan katobu kab. Muna. , KAB. MUNA, KATOBU, SULAWESI TENGGARA, ID, 93611
</t>
  </si>
  <si>
    <t>Nurhuda &amp; Agus Baskara</t>
  </si>
  <si>
    <t>210224SGY0U2SV</t>
  </si>
  <si>
    <t>JP1850758250</t>
  </si>
  <si>
    <t>Rina Wijiyanti</t>
  </si>
  <si>
    <t>Desa Penusupan, RT.1/RW.5, Penusupan, Sruweng, KAB. KEBUMEN, SRUWENG, JAWA TENGAH, ID, 54362</t>
  </si>
  <si>
    <t>SEJARAH PENDIDIKAN ISLAM DI INDONESIA</t>
  </si>
  <si>
    <t>Sofyan Rofi, S.Pd.I. M.Pd.I.</t>
  </si>
  <si>
    <t xml:space="preserve">210225TT3RW571
</t>
  </si>
  <si>
    <t>JP4805257438</t>
  </si>
  <si>
    <t>Luhur S</t>
  </si>
  <si>
    <t>Klinik Gading, Jl. DI Panjaitan, Kec. Mantrijeron, Kota Yogyakarta, Jogja, 55141 [Tokopedia Note: Jl. DI Panjaitan no.25] Mantrijeron Kota Yogyakarta 55141
D.I. Yogyakarta</t>
  </si>
  <si>
    <t>INV/20210224/XXI/II/762008408</t>
  </si>
  <si>
    <t>siti Nur Jannah</t>
  </si>
  <si>
    <t>jl griya anggraini D 11 no 9 RT 05 RW 11 karangasem Barat citeureup kab Bogor jawa barat, Citeureup, Kab. Bogor, Jawa Barat, 16811</t>
  </si>
  <si>
    <t>Pengantar Keamanan Pangan untuk Industri Pangan</t>
  </si>
  <si>
    <t>Ingrid
Suryanti Surono dkk</t>
  </si>
  <si>
    <t xml:space="preserve">
001438097669</t>
  </si>
  <si>
    <t>Rohman Budijanto</t>
  </si>
  <si>
    <t>KEMENTERIAN KOORDINATOR PEMBANGUNAN MANUSIA DAN KEBUDAYAAN (PMK) RUANG STAFSUS LANTAI 8 JL MERDEKA BARAT 3 JAKATA PUSAT, Gambir, Jakarta Pusat, DKI Jakarta, 10110</t>
  </si>
  <si>
    <t>Pemuda Ansor NU Dalam Kemelut Jaman Gestok Di Bali 1965-1966</t>
  </si>
  <si>
    <t>Samsul Bahri</t>
  </si>
  <si>
    <t>BLJC213103494136</t>
  </si>
  <si>
    <t>Yeni Yuliawati</t>
  </si>
  <si>
    <t>Kp. Bubulak. RT. 001 RW. 003. No. 76 (patokan Sekolah Darussalam). Kel. Mekar Bakti. Kec. Panongan. Kab. Tangerang, Panongan, Kab. Tangerang, Banten, 15710</t>
  </si>
  <si>
    <t>Buku Ajar Manajemen Strategi (Teori Dan Aplikasi)</t>
  </si>
  <si>
    <t>Zuriani Ritonga</t>
  </si>
  <si>
    <t xml:space="preserve">
001438098796</t>
  </si>
  <si>
    <t>Anik</t>
  </si>
  <si>
    <t>Jl Andini Sakti No.02 Ds.Gandasari RT01/02 (Kost Ibu Yuyun Junariah H.Ramin No.6A) CIbitung-Bekasi
Cibitung
Kabupaten Bekasi
Jawa Barat
17520</t>
  </si>
  <si>
    <t>Jl Andini Sakti No.02 Ds.Gandasari RT01/02 (Kost Ibu Yuyun Junariah H.Ramin No.6A) CIbitung-Bekasi
Cibitung
Kabupaten Bekasi
Jawa Barat
17521</t>
  </si>
  <si>
    <t>Optimasi Rantai Pasok Formulasi dan Solusi</t>
  </si>
  <si>
    <t>Carles Sitompul</t>
  </si>
  <si>
    <t>sigit nurhendi</t>
  </si>
  <si>
    <t xml:space="preserve"> smp negeri 18 jl. Pronggol no.19 pegambiran 
  Kecamatan: lemah wungkuk
  Kabupaten/Kota: kota cirebon
  Provinsi: jawa barat</t>
  </si>
  <si>
    <t>Institusi Ekonomi Islam</t>
  </si>
  <si>
    <t>Ida Rosnidah</t>
  </si>
  <si>
    <t>Annisaa Isnaeni</t>
  </si>
  <si>
    <t>Jalan ticoalu mandagi malalayang 1 lingkungan 1 no.18
Malalayang
Kota Manado
Sulawesi Utara
95162</t>
  </si>
  <si>
    <t>Sulistyowati</t>
  </si>
  <si>
    <t>go send</t>
  </si>
  <si>
    <t>Faik Kurohman</t>
  </si>
  <si>
    <t xml:space="preserve">Jl Mulawarman Timur Dalam II RT 02/RW 03 
Kelurahan : Kramas  
Kecamatan: Tembalang
  Kabupaten/Kota: Semarang
  Provinsi: Jawa Tengah </t>
  </si>
  <si>
    <t>Sistem Navigasi Elektronika: Untuk Mualim Pelayaran Niaga (Ahli Nautika) (FC)</t>
  </si>
  <si>
    <t>Hadi Supriyono dan Achmad Sulistyo</t>
  </si>
  <si>
    <t>Alat-Alat Navigasi</t>
  </si>
  <si>
    <t>M. L Palumian</t>
  </si>
  <si>
    <t>Bangunan Kapal</t>
  </si>
  <si>
    <t>Capt. Hj. E. Kartini, MM., M.Mar</t>
  </si>
  <si>
    <t>Ilmu Pelayaran Astronomi</t>
  </si>
  <si>
    <t>Capt. H. R. Soebekti, M. Mar</t>
  </si>
  <si>
    <t>Suhardiman Syamsu</t>
  </si>
  <si>
    <t>Gedung Prima adhyaksa.jl.Veteran Selatan No.92 Makassar
  Kecamatan: Mamajang
  Kabupaten/Kota: Makassar
  Provinsi: Sulawesi Selatan</t>
  </si>
  <si>
    <t>Sistem Pemerintahan Indonesia</t>
  </si>
  <si>
    <t>Rendy Adiwilaga, Yani Alfian, dan Ujud Rusdia</t>
  </si>
  <si>
    <t>Bpk.King</t>
  </si>
  <si>
    <t xml:space="preserve"> PT.INDOSCO UTAMA 
d/a. Jln.AH.Nasution KM.7 No.123
  Kecamatan: Mandalajati
  Kabupaten/Kota: Kota Bandung
  Provinsi: JABAR</t>
  </si>
  <si>
    <t>Mortido (Ketakutan, Keserakahan dan Keawasan Sebuah Evolusi Peradaban)</t>
  </si>
  <si>
    <t>Bayu Jatmiko</t>
  </si>
  <si>
    <t>Suprih</t>
  </si>
  <si>
    <t>Jl. Bukit Tanggul P-13
  Kecamatan: Sukun
  Kabupaten/Kota: Malang
  Provinsi: Jawa Timur</t>
  </si>
  <si>
    <t>Analisis Kebijakan Agribisnis</t>
  </si>
  <si>
    <t>Wahib Muhaimin dan Dyanasari</t>
  </si>
  <si>
    <t>Dwiratna</t>
  </si>
  <si>
    <t>Jl.sumberharta kec sumberharta, kel sumberharta, kab musi rawas, KAB. MUSI RAWAS, SUMBER HARTA, SUMATERA SELATAN, ID, 31671</t>
  </si>
  <si>
    <t>210225U9GUKDP0</t>
  </si>
  <si>
    <t>JP6406085004</t>
  </si>
  <si>
    <t>Azizah</t>
  </si>
  <si>
    <t>Kosan Bu Muslim, Jalan H Limun No.22, RT.2/RW.8, Pisangan, Ciputat Timur, KOTA TANGERANG SELATAN, CIPUTAT TIMUR, BANTEN, ID, 15419</t>
  </si>
  <si>
    <t>210225UKC0HD5W</t>
  </si>
  <si>
    <t>JP7026329879</t>
  </si>
  <si>
    <t>Ardi Rustamsyah</t>
  </si>
  <si>
    <t>Jalan Taman Bendungan Jatiluhur I No. 6 Bendungan Hilir Tanah Abang Kota Administrasi Jakarta Pusat 10210
DKI Jakarta</t>
  </si>
  <si>
    <t xml:space="preserve"> INV/20210225/XXI/II/763041608</t>
  </si>
  <si>
    <t>Syaroful Anam Putra</t>
  </si>
  <si>
    <t>Desa Selopajang Barat rt 4 rw 2 Kecamatan Blado Kabupaten Batang kode pos 51255, KAB. BATANG, BLADO, JAWA TENGAH, ID, 51255</t>
  </si>
  <si>
    <t xml:space="preserve">21022607P6D5XH
</t>
  </si>
  <si>
    <t>JP7255335349</t>
  </si>
  <si>
    <t>Dr. Sri Supadmi</t>
  </si>
  <si>
    <t>Balai Litbangkes,  Magelang.
Kapling Jayan, Borobudur.
Kabupaten/Kota: Kab Magelang
Provinsi: Jawa Tengah</t>
  </si>
  <si>
    <t>Agustina Eclarasi</t>
  </si>
  <si>
    <t xml:space="preserve"> Jalan Lemah Hegar no 46 Rt 12 Rw 04 Sukapura
  Kecamatan: Kiaracondong
  Kabupaten/Kota: Bandung
  Provinsi: Jawa Barat</t>
  </si>
  <si>
    <t>Cermin Diri</t>
  </si>
  <si>
    <t>Esti Saptarini</t>
  </si>
  <si>
    <t>Gidalti Saogo</t>
  </si>
  <si>
    <t>Jl. Raya Tuapejat Km. 7 Gang Mangga No. 66
Sipora Utara
Kabupaten Kepulauan Mentawai
Sumatera Barat
25700</t>
  </si>
  <si>
    <t>Psikologi Perkembangan</t>
  </si>
  <si>
    <t>M. Shoffa Saifillah Al-Faruq &amp; Sukatin</t>
  </si>
  <si>
    <t>Jl. Raya Tuapejat Km. 7 Gang Mangga No. 66
Sipora Utara
Kabupaten Kepulauan Mentawai
Sumatera Barat
25701</t>
  </si>
  <si>
    <t>Metodologi Penelitian Kualitatif Dan Kuantitatif (Petunjuk Praktis Untuk Penyusunan Skripsi, Tesis, Dan Disertasi) Tahun 2015</t>
  </si>
  <si>
    <t>Zulki Zulkifli Noor</t>
  </si>
  <si>
    <t>Jl. Raya Tuapejat Km. 7 Gang Mangga No. 66
Sipora Utara
Kabupaten Kepulauan Mentawai
Sumatera Barat
25702</t>
  </si>
  <si>
    <t>Filsafat Ilmu</t>
  </si>
  <si>
    <t>Iman Jauhari, Azhari Yahya dan Darmawan</t>
  </si>
  <si>
    <t>Tirza Lolowang</t>
  </si>
  <si>
    <t>Perum PLN Blok G/4 Kelurahan Bahu Lingkungan VII (Jl. Tg Merah)
  Kecamatan: Malalayang 
  Kabupaten/Kota: Manado
  Provinsi: Sulawesi Utara</t>
  </si>
  <si>
    <t>Tatik Sri Rochiati</t>
  </si>
  <si>
    <t xml:space="preserve">Perum Korpri Tugurejo T.27 No.81 Rt.03/Rw.05 Tugurejo, Tugu Semarang, KOTA SEMARANG, TUGU, JAWA TENGAH, ID, 50151
</t>
  </si>
  <si>
    <t>Secawan Impian Kasih</t>
  </si>
  <si>
    <t>Tommy Indra</t>
  </si>
  <si>
    <t>2102260N2C5TMJ</t>
  </si>
  <si>
    <t xml:space="preserve"> JP7556112677</t>
  </si>
  <si>
    <t>AULIA WAFA HIDAYAT</t>
  </si>
  <si>
    <t>Perumahan villa Surya jaya Blok B9 No 34 Desa Situsari, KAB. BOGOR, CILEUNGSI, JAWA BARAT, ID, 16820</t>
  </si>
  <si>
    <t>2102285EM1UQKV</t>
  </si>
  <si>
    <t>CM10190605186</t>
  </si>
  <si>
    <t>Cica</t>
  </si>
  <si>
    <t xml:space="preserve">Jl. Bhakti , KAB. BANGKA, BELINYU, BANGKA BELITUNG, ID, 33254
</t>
  </si>
  <si>
    <t>Komunikasi dalam Pembangunan Destinasi Pariwisata</t>
  </si>
  <si>
    <t>Usman Chamdani</t>
  </si>
  <si>
    <t>2102273NS76EXA</t>
  </si>
  <si>
    <t xml:space="preserve"> JP7513575611</t>
  </si>
  <si>
    <t>Ringga marya samosir</t>
  </si>
  <si>
    <t>Jl. Muradi muara semerah semurup kerinci jambi, KAB. KERINCI, AIR HANGAT, JAMBI, ID, 3716</t>
  </si>
  <si>
    <t>2102284422977T</t>
  </si>
  <si>
    <t xml:space="preserve"> JP4967353110</t>
  </si>
  <si>
    <t>Rais Ahmad</t>
  </si>
  <si>
    <t xml:space="preserve">Jl. Kr. Bonto Tangga no 23 rw. 07 rt b, KOTA MAKASSAR, RAPPOCINI, SULAWESI SELATAN, ID, 90222
</t>
  </si>
  <si>
    <t xml:space="preserve">2102285AFQQPDF
</t>
  </si>
  <si>
    <t>JP7177551835</t>
  </si>
  <si>
    <t>Hilman</t>
  </si>
  <si>
    <t>Dramaga Cantik Residence Bogor, Jl. Dramaga Cantik, Kec. Dramaga, Bogor, Jawa Barat, 16680 [Tokopedia Note: Blok M5 kecamatan Dramaga Bogor Jawa Barat 16680 ] Dramaga Kab. Bogor 16680
Jawa Barat</t>
  </si>
  <si>
    <t>Pengantar Sanitasi Industri Pengolahan Pangan</t>
  </si>
  <si>
    <t>Rusky Intan Pratama, Eddy Afrianto, dan Iis Rostini</t>
  </si>
  <si>
    <t>INV/20210226/XXI/II/764258223</t>
  </si>
  <si>
    <t>Ari Sandi</t>
  </si>
  <si>
    <t>Perum Muria Indah Blok B no.266 Kudus, Bae, Kudus, Jawa Tengah, 59327</t>
  </si>
  <si>
    <t>Bimbingan Konseling Di SD (Mendampingi Siswa Meraih Mimpi)</t>
  </si>
  <si>
    <t>Myrna Apriany Lestari</t>
  </si>
  <si>
    <t>001438228814</t>
  </si>
  <si>
    <t>Lukman</t>
  </si>
  <si>
    <t>Jln. M. Kahfi II Gang Jambu No. 76 RT 009 RW 01 Jagakarsa, Jakarta Selatan 12620
Jagakarsa
Kota Jakarta Selatan
DKI Jakarta</t>
  </si>
  <si>
    <t>Literasi Keuangan Berbasis Fintech Bagi Usaha Mikro Kecil dan Menengah</t>
  </si>
  <si>
    <t>Christian Herdinata dan Fransisca Desiana Pranatasari</t>
  </si>
  <si>
    <t>Robita Annisa</t>
  </si>
  <si>
    <t>Dukuh Kopi RT/RW 004/003
Banjarharjo
Kabupaten Brebes
Jawa Tengah
52265</t>
  </si>
  <si>
    <t>Apresiasi Sastra Indonesia</t>
  </si>
  <si>
    <t>Dukuh Kopi RT/RW 004/003
Banjarharjo
Kabupaten Brebes
Jawa Tengah
52266</t>
  </si>
  <si>
    <t>deden</t>
  </si>
  <si>
    <t>Asuhan Keperawatan Diabetes Mellitus dan Asuhan Keperawatan Stroke</t>
  </si>
  <si>
    <t>Insana Maria</t>
  </si>
  <si>
    <t>Dedy Wahyu Rizaldy</t>
  </si>
  <si>
    <t>Kompleks BTN Petobo Blok J.5 No.1 , KOTA PALU, PALU SELATAN, SULAWESI TENGAH, ID, 94231</t>
  </si>
  <si>
    <t>21030185HPYNPR</t>
  </si>
  <si>
    <t>JP7495562660</t>
  </si>
  <si>
    <t>Gustina</t>
  </si>
  <si>
    <t>Jalan Raya Mentok, Puding Besar, Puding Besar , KAB. BANGKA, PUDING BESAR, BANGKA BELITUNG, ID, 33179</t>
  </si>
  <si>
    <t>2103018NTT2WMQ</t>
  </si>
  <si>
    <t>JP0988279217</t>
  </si>
  <si>
    <t>Reyan Abdul Hakim</t>
  </si>
  <si>
    <t>Jl. Bukit Senang. Perum. New. Orleans Blok D No.11 ,Teluk Air, Karimun (No.11D , cat hijau), KAB. KARIMUN, KARIMUN, KEPULAUAN RIAU, ID, 29611</t>
  </si>
  <si>
    <t>2103018TVRB7M2</t>
  </si>
  <si>
    <t> JP3684323866</t>
  </si>
  <si>
    <t>Jl. Bukit Senang. Perum. New. Orleans Blok D No.11 ,Teluk Air, Karimun (No.11D , cat hijau), KAB. KARIMUN, KARIMUN, KEPULAUAN RIAU, ID, 29612</t>
  </si>
  <si>
    <t>Pengantar Hukum Pidana</t>
  </si>
  <si>
    <t>Suyanto</t>
  </si>
  <si>
    <t>2103018TVRB7M3</t>
  </si>
  <si>
    <t> JP3684323867</t>
  </si>
  <si>
    <t>Jl. Bukit Senang. Perum. New. Orleans Blok D No.11 ,Teluk Air, Karimun (No.11D , cat hijau), KAB. KARIMUN, KARIMUN, KEPULAUAN RIAU, ID, 29613</t>
  </si>
  <si>
    <t>Hukum Adat</t>
  </si>
  <si>
    <t>Rosdalina</t>
  </si>
  <si>
    <t>2103018TVRB7M4</t>
  </si>
  <si>
    <t> JP3684323868</t>
  </si>
  <si>
    <t>Antini Triwidati</t>
  </si>
  <si>
    <t xml:space="preserve">Komplek bukit nusa indah Jl. Nusa Indah No. 1864 serua ciputat tangerang selatan, KOTA TANGERANG SELATAN, CIPUTAT, BANTEN, ID, 15414
</t>
  </si>
  <si>
    <t>2103029BVPUM25</t>
  </si>
  <si>
    <t>JP5023833217</t>
  </si>
  <si>
    <t>Ulqiyah Nurhusnah</t>
  </si>
  <si>
    <t>Jl. Kemuning, KAB. PINRANG, WATANG SAWITTO, SULAWESI SELATAN, ID, 91211</t>
  </si>
  <si>
    <t>210302A60V0RTS</t>
  </si>
  <si>
    <t xml:space="preserve"> JP0099628205</t>
  </si>
  <si>
    <t>Irfan Adi Saputra</t>
  </si>
  <si>
    <t>Kagongan RT/RW 47/24, Banjararum, Kalibawang,Kulon Progo, DIY., Kec. Kalibawang, Kabupaten Kulon Progo, Jogja, 55672 Kalibawang Kab. Kulon Progo 55672
D.I. Yogyakarta</t>
  </si>
  <si>
    <t>Dinamika Dan Rekonstruksi Kebijakan Publik Di Era Otonomi Daerah</t>
  </si>
  <si>
    <t>Abdullah Idi, dkk</t>
  </si>
  <si>
    <t>INV/20210302/XXI/III/767077657</t>
  </si>
  <si>
    <t>Alan Firdaus</t>
  </si>
  <si>
    <t>Jln penghubung tol Cilegon barat kampung ciora Waseh RT 01 RW 02, Gerogol, Cilegon, Banten, 424360</t>
  </si>
  <si>
    <t>Manajemen Basis Data Pemodelan, Perancangan, dan Penerapan</t>
  </si>
  <si>
    <t>Anik Andriani</t>
  </si>
  <si>
    <t>001438281097</t>
  </si>
  <si>
    <t>Slamet Taslim</t>
  </si>
  <si>
    <t>Jl. Sriwijaya No. 133 Bandung 40255
  Kecamatan: Regol
  Kabupaten/Kota: Kota Bandung
  Provinsi: Jawa Barat</t>
  </si>
  <si>
    <t>M. Rafi'i Hamdi</t>
  </si>
  <si>
    <t xml:space="preserve">Komplek pandu, Jln Citrawati, Gang Setia Kawan Rt 17 no 120, KOTA BANJARMASIN, BANJARMASIN TIMUR, KALIMANTAN SELATAN, ID, 70235
</t>
  </si>
  <si>
    <t>Exodontia (Dasar-Dasar Ilmu Pencabutan Gigi)</t>
  </si>
  <si>
    <t>drg. Rini Irmayanti Sitanaya, M.Mkes.</t>
  </si>
  <si>
    <t>210302AB66YRVN</t>
  </si>
  <si>
    <t xml:space="preserve"> JP8765508220</t>
  </si>
  <si>
    <t>Ambar Wiyati</t>
  </si>
  <si>
    <t>Perum. Sewon Indah C.24 Prancak, Panggungharjo
Sewon
Kabupaten Bantul
Daerah Istimewa Yogyakarta</t>
  </si>
  <si>
    <t>100 Metode Pembelajaran</t>
  </si>
  <si>
    <t>Syamsidah</t>
  </si>
  <si>
    <t>Jeffry</t>
  </si>
  <si>
    <t>Mojopahit 39-41
Kelurahan : Dr. Soetomo
Kecamatan: Tegalsari
Kabupaten/Kota: Surabaya
Provinsi: Jawa Timur</t>
  </si>
  <si>
    <t>lala ayu miranda</t>
  </si>
  <si>
    <t>Jl. Sam Ratulangi No.153, Titiwungan Utara
  Kecamatan: sario
  Kabupaten/Kota: manado
  Provinsi: sulawesi utara</t>
  </si>
  <si>
    <t>Tegar arafat</t>
  </si>
  <si>
    <t xml:space="preserve">Gemulung kalisari rt 01.rw05 ( Rumah alm mbah poni) 
  Kecamatan: Pecangaan
  Kabupaten/Kota: Jepara
  Provinsi: Jawa tengah </t>
  </si>
  <si>
    <t>Praktikum Manajemen Operasional</t>
  </si>
  <si>
    <t>Imam Nuryanto dan Ida Farida</t>
  </si>
  <si>
    <t>Inawati</t>
  </si>
  <si>
    <t xml:space="preserve"> jalan nilam 1 no 26 rt/rw 005/001 
  Kecamatan: bukit intan 
  Kabupaten/Kota: pangkalpinang
  Provinsi: kepulauan Bangka Belitung</t>
  </si>
  <si>
    <t>Aris Fuad</t>
  </si>
  <si>
    <t>MAN Tempel Jalan Magelang KM 17 Ngosit · Margorejo (Margo Rejo) Di Yogyakarta Kab. Sleman Tempel Indonesia Kab. Sleman</t>
  </si>
  <si>
    <t> 555166352175783</t>
  </si>
  <si>
    <t>Yosi Gumala</t>
  </si>
  <si>
    <t>Belakang SD Dorang 01 Rumah Hijau Lt 2 samping sungai Dorang 6/1 Nalumsari Jepara, KAB. JEPARA, NALUMSARI, JAWA TENGAH, ID, 59466</t>
  </si>
  <si>
    <t xml:space="preserve">210302B83MGVJU
</t>
  </si>
  <si>
    <t xml:space="preserve"> JP7935967678</t>
  </si>
  <si>
    <t>Hanisa Masruroh</t>
  </si>
  <si>
    <t>Slumber asri,dusun 2., KAB. MUSI RAWAS, SUMBER HARTA, SUMATERA SELATAN, ID, 31671</t>
  </si>
  <si>
    <t>Ilmu Pendidikan Islam</t>
  </si>
  <si>
    <t>Muhamad Akip</t>
  </si>
  <si>
    <t>210303CKSHS36K</t>
  </si>
  <si>
    <t xml:space="preserve"> JP2568096937</t>
  </si>
  <si>
    <t>Lilis Ningsih</t>
  </si>
  <si>
    <t>Jalan nustar sawang bendar no 2B
Tahuna
Kabupaten Kepulauan Sangihe
Sulawesi Utara</t>
  </si>
  <si>
    <t>Dwi ayu Lestari</t>
  </si>
  <si>
    <t>Jln raya slawi-pangkah RT 02/01 (sebelum jembatan parigogo, rumah warna Oren,gerbang putih)
Pangkah
Kabupaten Tegal
Jawa Tengah
52147</t>
  </si>
  <si>
    <t>Rosyana Palas wanti</t>
  </si>
  <si>
    <t>ko. Cibogo kidul RT 002/001
  Kecamatan: Cibarusah
  Kabupaten/Kota: Bekasi
  Provinsi: Jawa barat</t>
  </si>
  <si>
    <t>Psikologi Pendidikan</t>
  </si>
  <si>
    <t>Mahsup &amp; Yunita Septriana Anwar</t>
  </si>
  <si>
    <t>M. Ma'sum</t>
  </si>
  <si>
    <t>Jln. Millenium 22 Blok O 1 No. 3A , Kawasan Industri Millenium, Cikupa - Tigaraksa, Kabupaten Tangerang, Banten. 
Kecamatan: Tigaraksa
Kabupaten/Kota: Kabupaten Tangerang
Provinsi: Banten</t>
  </si>
  <si>
    <t>Etika Profesi Insinyur: Membangun Sikap Profesionalisme Sarjana Teknik</t>
  </si>
  <si>
    <t>I Putu Jati Arsana</t>
  </si>
  <si>
    <t>Primasari Wahyuni</t>
  </si>
  <si>
    <t>Mejing Wetan,RT 05/RW 05,Ambarketawang,Gamping,Sleman,Yogyakarta
  Kecamatan:Gamping
  Kabupaten/Kota: Sleman
  Provinsi: DIY</t>
  </si>
  <si>
    <t>Apresiasi Prosa Fiksi: Teori, Metode dan Penerapannya</t>
  </si>
  <si>
    <t>Satinem</t>
  </si>
  <si>
    <t>Harry Setiawan</t>
  </si>
  <si>
    <t>Asrama mahasiswa belitung
Jln. Supratman No.106
Cibeunying Kaler
Kota Bandung
Jawa Barat</t>
  </si>
  <si>
    <t>Hypnometafisika</t>
  </si>
  <si>
    <t>Subiyono dkk</t>
  </si>
  <si>
    <t>Krishna Indra Jati</t>
  </si>
  <si>
    <t>Jalan Jambu 2, RT.2/RW.12, Wates, Wates (Belakang kantor pos wates ), KAB. KULON PROGO, WATES, DI YOGYAKARTA, ID, 55611</t>
  </si>
  <si>
    <t xml:space="preserve">210303D2NHTES5
</t>
  </si>
  <si>
    <t>JP2031018878</t>
  </si>
  <si>
    <t>Duta Dharma</t>
  </si>
  <si>
    <t xml:space="preserve">Desa Tumokang Baru, sebelah masjid besar, KAB. BOLAANG MONGONDOW (BOLMONG), DUMOGA UTARA, SULAWESI UTARA, ID, 95772
</t>
  </si>
  <si>
    <t xml:space="preserve">210303D2063C78
</t>
  </si>
  <si>
    <t>CM45893476896</t>
  </si>
  <si>
    <t>Yogy Suprayogy (BRI)</t>
  </si>
  <si>
    <t>Desa Babakanmulya, Blok Kamp Kicau, RT/RW 03/01. Belok Kiri dari Gapura Babakanmulya, KAB. KUNINGAN, JALAKSANA, JAWA BARAT, ID, 45554</t>
  </si>
  <si>
    <t>210303D94Y5NW5</t>
  </si>
  <si>
    <t>JP9647059322</t>
  </si>
  <si>
    <t>Yeti Oktaviani</t>
  </si>
  <si>
    <t>Ds.Watukumpul RT 02 RW 01
  Kecamatan: Watukumpul
  Kabupaten/Kota:Pemalang
  Provinsi:Jawa Tengah</t>
  </si>
  <si>
    <t>Sang Pengubah</t>
  </si>
  <si>
    <t>Muhammad Rifky Pratama, dkk.</t>
  </si>
  <si>
    <t>Bersama Mengejar Mimpi</t>
  </si>
  <si>
    <t>Sakti Fadi’a Wijayanti dkk</t>
  </si>
  <si>
    <t>Vionita Raranta</t>
  </si>
  <si>
    <t>Desa Tokin Baru Jaga 1 , KAB. MINAHASA SELATAN, MOTOLING TIMUR, SULAWESI UTARA, ID, 95966</t>
  </si>
  <si>
    <t>210303DUPUBVUY</t>
  </si>
  <si>
    <t>JP1944081540</t>
  </si>
  <si>
    <t>Muhammad Mubarok Anug</t>
  </si>
  <si>
    <t>JL KH.R MARZUKI no.82 MARZUKI RT/RW 003/012 Kel/desa BOJONGHERANG Kecamatan Cianjur , KAB. CIANJUR, CIANJUR, JAWA BARAT, ID, 43216</t>
  </si>
  <si>
    <t>Bukan Dilan dan Milea</t>
  </si>
  <si>
    <t>Bahrul Bangsawan</t>
  </si>
  <si>
    <t>210303E2MCWX8N</t>
  </si>
  <si>
    <t>JP4352571704</t>
  </si>
  <si>
    <t>Nisa</t>
  </si>
  <si>
    <t>Desa pontian mekar sp. 4 no 35 lubuk batu jaya. Indragiri hulu , KOTA PEKANBARU, PEKANBARU KOTA, RIAU, ID, 28111</t>
  </si>
  <si>
    <t>ENGLISH FAST Zero to Hero</t>
  </si>
  <si>
    <t>Ziko Fransinatra, S.S., M.M.</t>
  </si>
  <si>
    <t>210304F9P905HG</t>
  </si>
  <si>
    <t>JP1853331494</t>
  </si>
  <si>
    <t>210304FAMUN4JU</t>
  </si>
  <si>
    <t>JP9154391242</t>
  </si>
  <si>
    <t>Aditya Insani</t>
  </si>
  <si>
    <t>Jalan Veteran 224 Yogyakarta, Pandeyan, Umbulharjo, Kota Yogyakarta, DIY Umbulharjo Kota Yogyakarta 55161
D.I. Yogyakarta</t>
  </si>
  <si>
    <t>INV/20210303/XXI/III/768307239</t>
  </si>
  <si>
    <t>TJR1365467352704</t>
  </si>
  <si>
    <t>Kartini</t>
  </si>
  <si>
    <t>Jl. Daan Mogot, Kecamatan Cengkareng, Kota Jakarta Barat, Daerah Khusus Ibukota Jakarta, 11750 [Tokopedia Note: Ko. duri Kosambi RT.001/05.No. 124 Cengkareng Jakbar 11750( ] Cengkareng Kota Administrasi Jakarta Barat 11750
DKI Jakarta</t>
  </si>
  <si>
    <t>Menyusun PTK Era 4.0</t>
  </si>
  <si>
    <t>Adi Suprayitno</t>
  </si>
  <si>
    <t>INV/20210303/XXI/III/768514360</t>
  </si>
  <si>
    <t>000482648795</t>
  </si>
  <si>
    <t>Venty H</t>
  </si>
  <si>
    <t>Jl. Jatipadang Raya Gg. Nurul iman
Pasar Minggu
Kota Jakarta Selatan
DKI Jakarta
12540</t>
  </si>
  <si>
    <t>Bukan Kota Tanpa Masa Lalu: Dinamika Sosial Ekonomi Kebumen Era Arung Binang VII</t>
  </si>
  <si>
    <t>Teguh Hindarto</t>
  </si>
  <si>
    <t>Jl. Jatipadang Raya Gg. Nurul iman
Pasar Minggu
Kota Jakarta Selatan
DKI Jakarta
12541</t>
  </si>
  <si>
    <t>“Dewa” Mengabdi Untuk Negeri; Membangkitkan Kejemawaan dan Konsistensi</t>
  </si>
  <si>
    <t>Masduki Duryat</t>
  </si>
  <si>
    <t>Jl. Jatipadang Raya Gg. Nurul iman
Pasar Minggu
Kota Jakarta Selatan
DKI Jakarta
12542</t>
  </si>
  <si>
    <t>Jejak Langkah Membangun Benua Maritim Indonesia, Sejarah, Capaian dan Asa</t>
  </si>
  <si>
    <t>Andi Iqbal Burhanuddin, Farid Samawi &amp; Khusnul Yaqin</t>
  </si>
  <si>
    <t>Jl. Jatipadang Raya Gg. Nurul iman
Pasar Minggu
Kota Jakarta Selatan
DKI Jakarta
12543</t>
  </si>
  <si>
    <t>Valuasi Ekonomi Hutan Adat Papasena dan Implikasinya bagi Pengelolaan Suaka Margasatwa Mamberamo Foja</t>
  </si>
  <si>
    <t>Yoseph Watopa, dkk</t>
  </si>
  <si>
    <t>Jl. Jatipadang Raya Gg. Nurul iman
Pasar Minggu
Kota Jakarta Selatan
DKI Jakarta
12544</t>
  </si>
  <si>
    <t>Antologi Cerpen Jimat Terkutuk</t>
  </si>
  <si>
    <t>Chaerul Sabara</t>
  </si>
  <si>
    <t>Jl. Jatipadang Raya Gg. Nurul iman
Pasar Minggu
Kota Jakarta Selatan
DKI Jakarta
12545</t>
  </si>
  <si>
    <t>Transformasi Perkotaan di Indonesia</t>
  </si>
  <si>
    <t>Bakti Setiawan</t>
  </si>
  <si>
    <t xml:space="preserve">Desa pontian mekar sp. 4 no 35 lubuk batu jaya. Indragiri Hulu , KOTA PEKANBARU, PEKANBARU KOTA, RIAU, ID, 28111
</t>
  </si>
  <si>
    <t>210304FFKVEQ9F</t>
  </si>
  <si>
    <t>JP6983738353</t>
  </si>
  <si>
    <t>Desa pontian mekar sp. 4 no 35 lubuk batu jaya. Indragiri Hulu , KOTA PEKANBARU, PEKANBARU KOTA, RIAU, ID, 28111</t>
  </si>
  <si>
    <t>210304FFQ9V0TE</t>
  </si>
  <si>
    <t>JP6869736005</t>
  </si>
  <si>
    <t>Wulandari</t>
  </si>
  <si>
    <t>Jln azki aris,gang fadlilah rumah kayu, KAB. INDRAGIRI HULU, RENGAT, RIAU, ID, 29319</t>
  </si>
  <si>
    <t>210304FFVYXV2A</t>
  </si>
  <si>
    <t>JP6433340882</t>
  </si>
  <si>
    <t>Jofan Mokalu</t>
  </si>
  <si>
    <t xml:space="preserve">Fakultas Kesehatan Masyarakat Unsrat
Jl. 14 Februari Teling Atas Lingkungan 4, No.113
Wanea
Kota Manado
Sulawesi Utara
95119
</t>
  </si>
  <si>
    <t>Mellisa</t>
  </si>
  <si>
    <t>Tambak, RT 002 RW 001 ( samping SD 004 Tambak)
  Kecamatan: Kuala Cenaku
  Kabupaten/Kota: Indragiri Hulu
  Provinsi: Riau</t>
  </si>
  <si>
    <t>Rani Bastari Alkam</t>
  </si>
  <si>
    <t>Anging Mammiri Residence Blok E6/7, 
Aroeppala Kelurahan Karunrung 
  Kecamatan: Rappocini
  Kota: Makassar
  Provinsi: Sulawesi Selatan</t>
  </si>
  <si>
    <t>Kinerja Pelayanan Angkutan Umum Jalan Raya</t>
  </si>
  <si>
    <t>Cut Mutiawati, dkk</t>
  </si>
  <si>
    <t>Marrizka Nurcahya</t>
  </si>
  <si>
    <t>Jalan Taman Kukilo Mukti Utara no 199 Pedurungan Kidul
  Kecamatan: Pedurungan
  Kabupaten/Kota: Semarang
  Provinsi: Jawa Tengah</t>
  </si>
  <si>
    <t>Rio Febri Piecesianto</t>
  </si>
  <si>
    <t>PT. Cipta Kridatama
Bpk Jajat/Ibu Ina - Majlis ta'lim hidayatullah kamilah, KP Pasir tengah RT.03/RW.08
Caringin
Kabupaten Bogor
Jawa Barat</t>
  </si>
  <si>
    <t xml:space="preserve">Tambang Bawah Tanah Block Caving, Hauling dan Sistem Penanganan Bijih Mineral (Oreflow System)
</t>
  </si>
  <si>
    <t>Rudi Toba</t>
  </si>
  <si>
    <t>Quirinus pedrico yavan</t>
  </si>
  <si>
    <t xml:space="preserve">Jln. Simpang mega mendung no. 10, KOTA MALANG, SUKUN, JAWA TIMUR, ID, 65146
</t>
  </si>
  <si>
    <t>210304FRFTPS1S</t>
  </si>
  <si>
    <t>JP4635414961</t>
  </si>
  <si>
    <t>Stella Andries</t>
  </si>
  <si>
    <t xml:space="preserve">Komplek TNI AL C.12 Gunung pasir (masuk komplek dari sebrangnya kantor dinas perdagangan), KOTA BALIKPAPAN, BALIKPAPAN TENGAH, KALIMANTAN TIMUR, ID, 76121
</t>
  </si>
  <si>
    <t>210304FY2YE1VX</t>
  </si>
  <si>
    <t>JP9081402543</t>
  </si>
  <si>
    <t>Miftakhur Rohmah (Tata)</t>
  </si>
  <si>
    <t>Kauman, RT.2/RW.4, Pucang, Secang (Pucang Kauman, RT 2, RW 4, Pucang), KAB. MAGELANG, SECANG, JAWA TENGAH, ID, 56195</t>
  </si>
  <si>
    <t>Pembelajaran Puisi, Apresiasi dari Dalam Kelas</t>
  </si>
  <si>
    <t>Supriyanto</t>
  </si>
  <si>
    <t>210305HANQGPRB</t>
  </si>
  <si>
    <t xml:space="preserve"> JP9817714081</t>
  </si>
  <si>
    <t>Anggi Rahmat Ginanjar</t>
  </si>
  <si>
    <t>Jl. Pendidikan II No. 96 RT. 04/04 Parigi Lama (Belakang SMA Pembangunan Jaya) Pondok Aren Kota Tangerang Selatan 15227
Banten</t>
  </si>
  <si>
    <t>Cara Praktis Menggunakan Google Classroom</t>
  </si>
  <si>
    <t>Fauziyah dan Minik Rinayanti</t>
  </si>
  <si>
    <t>INV/20210304/XXI/III/769410941</t>
  </si>
  <si>
    <t>BFH28676</t>
  </si>
  <si>
    <t>Aplikasi Office Menggunakan Google Suite</t>
  </si>
  <si>
    <t>Sofiyanti Indriasari</t>
  </si>
  <si>
    <t>Muhammad Lutfi Prakasta</t>
  </si>
  <si>
    <t>Demakan Tr III/723, Rr 46, Rw 07. Tegalrejo Kota Yogyakarta 55244
D.I. Yogyakarta</t>
  </si>
  <si>
    <t>Pengantar Analisis Real</t>
  </si>
  <si>
    <t>Abdillah dan Mahsup</t>
  </si>
  <si>
    <t>INV/20210305/XXI/III/769898222</t>
  </si>
  <si>
    <t>fitri ramadhanty</t>
  </si>
  <si>
    <t>jl.siaga raya no.18 · Pejaten Barat DKI Jakarta Kota Jakarta Selatan Pasar Minggu Indonesia Kota Jakarta Selatan</t>
  </si>
  <si>
    <t>JZ1000248942</t>
  </si>
  <si>
    <t>Bella Azarine</t>
  </si>
  <si>
    <t>Jalan lingkar duren sawit blok L2, no.10. RT/RW.001/008 (Salon Rizki/Jet Express)
Duren Sawit
Kota Jakarta Timur
DKI Jakarta</t>
  </si>
  <si>
    <t>Suhartati Agoes</t>
  </si>
  <si>
    <t xml:space="preserve"> Jl. Kelapa Kopyor 14 No 18, RT 013/RW 07. Pdk Klp. Duren Sawit, Jakarta Timur. JKT 13450
  Kecamatan: Duren Sawit
  Kabupaten/Kota: Jakarta Timur
  Provinsi: DKI</t>
  </si>
  <si>
    <t>Pengolahan Citra Medis</t>
  </si>
  <si>
    <t>Riyanto Sigit, Setiawardhana &amp; Anwar</t>
  </si>
  <si>
    <t>RIYANTO</t>
  </si>
  <si>
    <t>JL. JAYA SETIKA 426 RT.05/RW.02 KEL. SINDANGSARI KEC. KOTABUMI KAB. LAMPUNG UTARA 34517
Kotabumi
Kabupaten Lampung Utara
Lampung
34517</t>
  </si>
  <si>
    <t>JL. JAYA SETIKA 426 RT.05/RW.02 KEL. SINDANGSARI KEC. KOTABUMI KAB. LAMPUNG UTARA 34517
Kotabumi
Kabupaten Lampung Utara
Lampung
34518</t>
  </si>
  <si>
    <t>Benang Merah Manajemen dan Administrasi Pendidikan</t>
  </si>
  <si>
    <t>Legino</t>
  </si>
  <si>
    <t>JL. JAYA SETIKA 426 RT.05/RW.02 KEL. SINDANGSARI KEC. KOTABUMI KAB. LAMPUNG UTARA 34517
Kotabumi
Kabupaten Lampung Utara
Lampung
34519</t>
  </si>
  <si>
    <t>Manajemen Konflik: Suatu Pendekatan Psikologi, Komunikasi, dan Pendidikan</t>
  </si>
  <si>
    <t>JL. JAYA SETIKA 426 RT.05/RW.02 KEL. SINDANGSARI KEC. KOTABUMI KAB. LAMPUNG UTARA 34517
Kotabumi
Kabupaten Lampung Utara
Lampung
34520</t>
  </si>
  <si>
    <t>Manajemen Konflik Mengelola Marah &amp; Stres Secara Bijak</t>
  </si>
  <si>
    <t>Hengki Irawan Setia Budi</t>
  </si>
  <si>
    <t>JL. JAYA SETIKA 426 RT.05/RW.02 KEL. SINDANGSARI KEC. KOTABUMI KAB. LAMPUNG UTARA 34517
Kotabumi
Kabupaten Lampung Utara
Lampung
34521</t>
  </si>
  <si>
    <t>Administrasi dan Supervisi Pendidikan Teori dan Praktek</t>
  </si>
  <si>
    <t>Sri Marmoah</t>
  </si>
  <si>
    <t>JL. JAYA SETIKA 426 RT.05/RW.02 KEL. SINDANGSARI KEC. KOTABUMI KAB. LAMPUNG UTARA 34517
Kotabumi
Kabupaten Lampung Utara
Lampung
34522</t>
  </si>
  <si>
    <t>Pokok–Pokok Administrasi Pendidikan</t>
  </si>
  <si>
    <t>Annastasya Sandra</t>
  </si>
  <si>
    <t xml:space="preserve">Grand Taruma Blok D3A/N3, KAB. KARAWANG, TELUKJAMBE TIMUR, JAWA BARAT, ID, 41361
</t>
  </si>
  <si>
    <t>Hukum Perbankan Dan Surat Berharga</t>
  </si>
  <si>
    <t>Rani Apriani dan Hartanto</t>
  </si>
  <si>
    <t>Icha Purba</t>
  </si>
  <si>
    <t>Jln. Setia Budi, Gg. Gereja Karo No. 9, Tanjung Sari, Medan Selayang, Kota Medan, 20132  Kecamatan: Medan Selayang
  Kabupaten/Kota: Medan
  Provinsi: Sumatera Utara</t>
  </si>
  <si>
    <t>Pembelajaran Berbasis Web Dengan Moodle Versi 3.4</t>
  </si>
  <si>
    <t>Hamdan Husein Batubara</t>
  </si>
  <si>
    <t>akhmad upi</t>
  </si>
  <si>
    <t>Perumahan papan indah, cluster pelangi blok I. 7 No 12, Rt 03, Rw 24, Mangun Jaya, Tambun Selatan, Kab Bekasi
Tambun Selatan
Kabupaten Bekasi
Jawa Barat
17510</t>
  </si>
  <si>
    <t>Implementasi Jaringan Komputer</t>
  </si>
  <si>
    <t>Januar Al Amien &amp; Harun Mukhtar</t>
  </si>
  <si>
    <t>Yudo Baskoro</t>
  </si>
  <si>
    <t>Jl. Pembangunan, Kec. Sukarame, Kota Bandar Lampung, Lampung, 35131 [Tokopedia Note: jl. Pembangunan B no. 68 Way Dadi,Sukarame, B. Lampung] Sukarame Kota Bandar Lampung 35131
Lampung</t>
  </si>
  <si>
    <t>Ana Ahsanul Huda</t>
  </si>
  <si>
    <t>Jl Kenanga RT 05 RW 03 Kav A05 Sumbersekar Dau Malang Dau Kab. Malang 65151
Jawa Timur</t>
  </si>
  <si>
    <t>Darul 'Ahdi Wa Syahadah Tafsir Pancasila Menurut Muhammadiyah</t>
  </si>
  <si>
    <t>Yusron</t>
  </si>
  <si>
    <t>WELLINGGAR</t>
  </si>
  <si>
    <t>Dsn. Simbar 1 RT 02 RW 06 Ds. Tampo Kec. Cluring Kab. Banyuwangi Cluring Kab. Banyuwangi 68482
Jawa Timur</t>
  </si>
  <si>
    <t>Sistem Pembangkit Listrik Tenaga Surya</t>
  </si>
  <si>
    <t>Handrea Bernando Tambunan</t>
  </si>
  <si>
    <t>Ridwan Maulana</t>
  </si>
  <si>
    <t xml:space="preserve">Jl. Amarta, No. 03, RT. 01/04, Kel. Palumbonsari. (Warung Pak Adut, sebelah tower), KAB. KARAWANG, KARAWANG TIMUR, JAWA BARAT, ID, 41351
</t>
  </si>
  <si>
    <t>210305JN6716JC</t>
  </si>
  <si>
    <t>CM35304474230</t>
  </si>
  <si>
    <t>Glory</t>
  </si>
  <si>
    <t>Jalan Griya Wartawan No.7, RT.1/RW.5, Cipinang Besar Selatan, Jatinegara (RUKITA KEBON NANAS), KOTA JAKARTA TIMUR, JATINEGARA, DKI JAKARTA, ID, 13410</t>
  </si>
  <si>
    <t>Pajak Lalu Lintas Barang (Kepabeanan, Ekspor, Impor, dan Cukai)</t>
  </si>
  <si>
    <t>Astri Warih Anjarwi</t>
  </si>
  <si>
    <t>210305K5FWWWU2</t>
  </si>
  <si>
    <t>JP7335364024</t>
  </si>
  <si>
    <t>Ifa Datussa'adah</t>
  </si>
  <si>
    <t>Tobayan RT 02 RW 27 Sendangrejo minggir Sleman Yogyakarta, KAB. SLEMAN, MINGGIR, DI YOGYAKARTA, ID, 55562</t>
  </si>
  <si>
    <t>210306M3WBU1RU</t>
  </si>
  <si>
    <t xml:space="preserve"> JP2197354252</t>
  </si>
  <si>
    <t>Cynthia Dewi Gaina</t>
  </si>
  <si>
    <t>Jl. Sam Ratulangi III, no.16, RT 020/007, kec. Kelapa Lima, Kel. Oesapa selatan (samping sub office "Save the children", Walikot, KOTA KUPANG, KELAPA LIMA, NUSA TENGGARA TIMUR (NTT), ID, 85228</t>
  </si>
  <si>
    <t>Genetika Belajar Genetika dengan Mudah &amp; Komprehensif: (Dilengkapi Data Hasil Riset tentang Kesulitan Memahami Konsep Genetika dan Riset dalam Pembelajaran Genetika)</t>
  </si>
  <si>
    <t>Dr. Elya Nusantari, M.Pd.</t>
  </si>
  <si>
    <t>210305K307HAET</t>
  </si>
  <si>
    <t>JP7265328748</t>
  </si>
  <si>
    <t>Rendy Rafael Segkey</t>
  </si>
  <si>
    <t xml:space="preserve">Kios Rendy Jln.Diponegoro No.49 Mahakeret Barat Link.V, KOTA MANADO, WENANG, SULAWESI UTARA, ID, 95112
</t>
  </si>
  <si>
    <t>210306MK4FJSFG</t>
  </si>
  <si>
    <t>JP2094081964</t>
  </si>
  <si>
    <t>Regita ayu dwietama</t>
  </si>
  <si>
    <t>Perum karawang jaya blok ch 8 rt31/16 klari karawang jawa barat , KAB. KARAWANG, KLARI, JAWA BARAT, ID, 41371</t>
  </si>
  <si>
    <t xml:space="preserve">210306MKPVXBG8
</t>
  </si>
  <si>
    <t>JP1709972498</t>
  </si>
  <si>
    <t>Octavia M Simbolon</t>
  </si>
  <si>
    <t>Kantor yayasan sari asih terminal onan baru pangururan atas, KAB. SAMOSIR, PANGURURAN, SUMATERA UTARA, ID, 22392</t>
  </si>
  <si>
    <t>210306MSSWUPB8</t>
  </si>
  <si>
    <t>JP5316399844</t>
  </si>
  <si>
    <t>Dian anggraini</t>
  </si>
  <si>
    <t>Kosan Haji Jon . Jln jaani nasir No 81 Rt01 Rw 10 Kelurahan cawang ., KOTA JAKARTA TIMUR, KRAMAT JATI, DKI JAKARTA, ID, 13630</t>
  </si>
  <si>
    <t>210307R2FSQPNU</t>
  </si>
  <si>
    <t>CM26817351394</t>
  </si>
  <si>
    <t>SADLI</t>
  </si>
  <si>
    <t xml:space="preserve">Jl. Tegal Binangun Lr. Taruna RT. 19 RW. 05 (Depan Perumahan Puri Bestari Abadi) ( Lr. Pipa(Depan puri bestari abadi)), KOTA PALEMBANG, PLAJU, SUMATERA SELATAN, ID, 30267
</t>
  </si>
  <si>
    <t>Elektronika Pendekatan Praktis dan Aplikasi -</t>
  </si>
  <si>
    <t>Budi Herdiana</t>
  </si>
  <si>
    <t>210308S8SK67V3</t>
  </si>
  <si>
    <t>JP4616192277</t>
  </si>
  <si>
    <t>ocha</t>
  </si>
  <si>
    <t>Jalan Diponegoro RT 009, RW 004 · Kalabahi Kota Nusa Tenggara Timur (Ntt) Kab. Alor Teluk Mutiara Indonesia Kab. Alor</t>
  </si>
  <si>
    <t>Kimia Ajar Ctl Berbasis Entrepreneurship</t>
  </si>
  <si>
    <t>Citra Ayu Dewi</t>
  </si>
  <si>
    <t> 553017436030162</t>
  </si>
  <si>
    <t>ZURIA SUSANTI</t>
  </si>
  <si>
    <t>jl.baturaja no.039 rt 03 rw 01 Sumatera Selatan Kota Prabumulih Prabumulih Selatan Indonesia Kota Prabumulih</t>
  </si>
  <si>
    <t>Ajabar</t>
  </si>
  <si>
    <t>Ayu Chandra</t>
  </si>
  <si>
    <t>Unitri Malang
Jl. Ikan Paus V/6 Malang
Lowokwaru
Kota Malang
Jawa Timur
65142</t>
  </si>
  <si>
    <t xml:space="preserve">Neraca Energi dengan Reaksi Kimia dan Kelembapan: Konsep dan Aplikasi Industri 
</t>
  </si>
  <si>
    <t>Unitri Malang
Jl. Ikan Paus V/6 Malang
Lowokwaru
Kota Malang
Jawa Timur
65143</t>
  </si>
  <si>
    <t>Neraca Energi Tanpa Reaksi Kimia dan Kelembapan: Konsep dan Aplikasi Industri</t>
  </si>
  <si>
    <t>Dhoni Hartanto, S.T., M.T., M.Sc.
Dr. Prima Astuti Handayani, S.T., M.T.</t>
  </si>
  <si>
    <t>Septi Ayuningtias</t>
  </si>
  <si>
    <t xml:space="preserve">Sumberejo, Jalan Serang Sumberejo, RT.3/RW.4, Sumberejo, Batur, KAB. BANJARNEGARA, BATUR, JAWA TENGAH, ID, 53456
</t>
  </si>
  <si>
    <t>Buku Ajar Etika Umum</t>
  </si>
  <si>
    <t>Asmawati Burhan, S.S.T., S.A.P.</t>
  </si>
  <si>
    <t>210307QRJPG97W</t>
  </si>
  <si>
    <t xml:space="preserve">JP8737095070
</t>
  </si>
  <si>
    <t>dwi wijiyanto</t>
  </si>
  <si>
    <t xml:space="preserve"> gang candi no 6 Rt 1. Rw ll
  Kecamatan: karanganyar
  Kabupaten/Kota: Kebumen
  Provinsi: Jawa tengah</t>
  </si>
  <si>
    <t>Rifnie Rahayu</t>
  </si>
  <si>
    <t xml:space="preserve"> Jl. Cumi No. 37, Tanjung Priok, Jakarta Utara (Akademi Keperawatan Harum Jakarta)
  Kecamatan: Tanjung Priok
  Kabupaten/Kota: Jakarta Utara
  Provinsi: DKI Jakarta</t>
  </si>
  <si>
    <t>Manajemen Keperawatan</t>
  </si>
  <si>
    <t>Crishartanto Simanungkalit</t>
  </si>
  <si>
    <t>Ajar Faflul Abror</t>
  </si>
  <si>
    <t>perumahan Bumi Karawang Permai blok D7 No.13
  Kecamatan: Karawang timur
  Kabupaten/Kota: Karawang
  Provinsi: Jawa Barat</t>
  </si>
  <si>
    <t>Emping Melinjo Rendah Purin</t>
  </si>
  <si>
    <t>Etik Agus Tristiyani</t>
  </si>
  <si>
    <t>Amrizal Imawan</t>
  </si>
  <si>
    <t>gang Pache lingkungan Sidokumpul RT 002 RW 012 Kel. Blimbing
  Kecamatan: Paciran
  Kabupaten/Kota: Lamongan
  Provinsi: Jawa Timur</t>
  </si>
  <si>
    <t>Metodologi Penelitian Akuntansi (Teori dan Praktek)</t>
  </si>
  <si>
    <t>Wela widia Ningsih</t>
  </si>
  <si>
    <t>Vina Puspitasari</t>
  </si>
  <si>
    <t>Perum. Pejuang Jaya Jl. Perintis 2 Blok B No. 399 Rt.01/Rw.08
  Kecamatan: Medan Satria
  Kelurahan : Pejuang
  Kota: Bekasi
  Provinsi: Jawa Barat
  Kode Pos : 17131</t>
  </si>
  <si>
    <t>Perilaku Konsumen: Konsep dan Aplikasi</t>
  </si>
  <si>
    <t>Wahyuningsih</t>
  </si>
  <si>
    <t>Zaqi Wahyu Romadhon</t>
  </si>
  <si>
    <t xml:space="preserve"> Karangdadap RT 02/02, Kalibagor, Banyumas
  Kecamatan: Kalibagor
  Kabupaten/Kota: Banyumas
  Provinsi: Jawa Tengah</t>
  </si>
  <si>
    <t>Statistika Dengan R</t>
  </si>
  <si>
    <t>Muhammad Taqwa &amp; Akbar Taufik</t>
  </si>
  <si>
    <t>Irwan Muslim</t>
  </si>
  <si>
    <t>Perumahan Salingka Bungo Permai 1 Blok H/7 kecamatan koto tangah, kelurahan bungo pasang, kota Padang
Koto Tangah
Kota Padang
Sumatera Barat
25171</t>
  </si>
  <si>
    <t>Modal Sosial dan Ekonomi Industri Kecil</t>
  </si>
  <si>
    <t>Dr. Rahel Widiawati Kimbal, M.E.</t>
  </si>
  <si>
    <t>Wella mutiara dsrma</t>
  </si>
  <si>
    <t xml:space="preserve">,griya pantura regency 2 No 33 e
  Kabupaten/Kota:Semarang
  Provinsi:provinsi </t>
  </si>
  <si>
    <t>nanik budiyantoro</t>
  </si>
  <si>
    <t>balai bahasa diy, jalan i dewa nyoman oka 34, kotabaru, yogyakarta 55224
  Kecamatan: kotabaru
  Kabupaten/Kota: kota yogyakarta
  Provinsi: diy</t>
  </si>
  <si>
    <t>Lanskap Linguistik Pengenalan, Pemaparan, Dan Aplikasi</t>
  </si>
  <si>
    <t>Yendra dan Ketut Artawa</t>
  </si>
  <si>
    <t>Ni Nyoman Suarniki</t>
  </si>
  <si>
    <t>JL. kerajinan no. 38, krukut
  Kecamatan: Taman sari
  Kabupaten/Kota: Jakarta barat
  Provinsi: DKI</t>
  </si>
  <si>
    <t>Manajemen Sumber Daya Manusia: Kumpulan Teori MSDM
yang Dilengkapi dengan Hasil Penelitian pada Instansi
Pemerintah</t>
  </si>
  <si>
    <t>Afriza Fitri Mahgfiroh</t>
  </si>
  <si>
    <t>Semali Rt 02 Rw 05 Salamkanci Bandongan Magelang (Rumah Bapak Rodjak &amp; Ibu lilik)
  Kecamatan: Bandongan
  Kabupaten/Kota: Magelang
  Provinsi: Jawa Tengah</t>
  </si>
  <si>
    <t>Ibu Diana</t>
  </si>
  <si>
    <t>IAIN Syaikh Abdurrahman Siddik Babel
Komplek Timah Blok.BB No.49, RT.04 RW.012
Cimanggis
Kota Depok
Jawa Barat
16451</t>
  </si>
  <si>
    <t>Analisa Perancangan Kerja Lanjutan</t>
  </si>
  <si>
    <t>Andry Septianto, S.T., M.M.</t>
  </si>
  <si>
    <t>Wildan Azhar</t>
  </si>
  <si>
    <t>BTN Margalaksana 1 jalan gunung malabar b9 no 7 Margadadi indramayu, KAB. INDRAMAYU, INDRAMAYU, JAWA BARAT, ID, 45211</t>
  </si>
  <si>
    <t xml:space="preserve">210308SXU3DW8F
</t>
  </si>
  <si>
    <t>Nur Annisa Luthfiyyah</t>
  </si>
  <si>
    <t xml:space="preserve">Kp. Cijalu dusun sukamaju Rt001/Rw010 desa Cikampek Timur Gg. Bidan Suyati no rumah 54, KAB. KARAWANG, CIKAMPEK, JAWA BARAT, ID, 41373
</t>
  </si>
  <si>
    <t>210308TCBURXDX</t>
  </si>
  <si>
    <t>Saskia</t>
  </si>
  <si>
    <t>Jl. Saturnus Utara IX, Kec. Rancasari, Kota Bandung, Jawa Barat, 40286[Tokopedia notes: Jl. Saturnus Utara IX No. 2 RT.02 RW.11] Rancasari Kota Bandung 40286
Jawa Barat</t>
  </si>
  <si>
    <t>Pemuliaan dan Budidaya Ubi Jalar Madu</t>
  </si>
  <si>
    <t>Agung Karuniawan, dkk</t>
  </si>
  <si>
    <t>Artha Woro Utami</t>
  </si>
  <si>
    <t>Gang Srikaya No. 02, Tegalmulyo RT 016, Banguntapan, Banguntapan Bantul , KAB. BANTUL, BANGUNTAPAN, DI YOGYAKARTA, ID, 55191</t>
  </si>
  <si>
    <t>210309VA7689YU</t>
  </si>
  <si>
    <t>Nia-Zen (Ketua RT 08)</t>
  </si>
  <si>
    <t>Jl. Keramat Semen Palang RT 08 RW 04 Menur, Kec. Mranggen Kab. Demak Jawa Tengah.</t>
  </si>
  <si>
    <t>Ulifatul Muyassaroh</t>
  </si>
  <si>
    <t xml:space="preserve">Blok pande no.018 RT/Rw:09/02 Desa.Tulungagung , KAB. INDRAMAYU, KERTASEMAYA, JAWA BARAT, ID, 45274
</t>
  </si>
  <si>
    <t>210309VC0QR318</t>
  </si>
  <si>
    <t>masitha aulia</t>
  </si>
  <si>
    <t>Bringin Indah, Jl.Rasamala A2 No.24
Ngaliyan
Kota Semarang
Jawa Tengah
50181</t>
  </si>
  <si>
    <t>Pembangunan Pertanian (Konsep dan Teori)</t>
  </si>
  <si>
    <t>Dr. Ir. Rayuddin, M.P.</t>
  </si>
  <si>
    <t>Jujuk Juhariah</t>
  </si>
  <si>
    <t>Dk. Karangboyo RT 003 RW 006, Ds. Selodoko, KAB. BOYOLALI, AMPEL, JAWA TENGAH, ID, 57352</t>
  </si>
  <si>
    <t>Buku Ajar AgroklimatologI</t>
  </si>
  <si>
    <t>Budy Wiryono</t>
  </si>
  <si>
    <t>210309VGA905Y5</t>
  </si>
  <si>
    <t xml:space="preserve"> JP1377375152</t>
  </si>
  <si>
    <t>Ahmad Fachri</t>
  </si>
  <si>
    <t>Perum puri telukjambe blok b 10 no 8 Rt06 Rw06, KAB. KARAWANG, TELUKJAMBE TIMUR, JAWA BARAT, ID, 41361</t>
  </si>
  <si>
    <t>210309VW9PAF4W</t>
  </si>
  <si>
    <t xml:space="preserve"> JP1399552105</t>
  </si>
  <si>
    <t>ArisBudiman MPd</t>
  </si>
  <si>
    <t>Pesona Laguna 2 Blok K2 No. 7, Kel.Cilangkap, Tapos, Depok, Jawa Barat, 16466</t>
  </si>
  <si>
    <t>Coaching Motivate Star Performer, Coaching Dengan Model Grow</t>
  </si>
  <si>
    <t>Drs. Machmudan Sadik, M.Si.</t>
  </si>
  <si>
    <t>Rama</t>
  </si>
  <si>
    <t xml:space="preserve"> Jl. Talang Ujung no. 33 RT 02 RW 03 · Pegangsaan DKI Jakarta Kota Jakarta Pusat Menteng Indonesia Kota Jakarta Pusat</t>
  </si>
  <si>
    <t>Strategi Pembelajaran Pendidikan Jasmani</t>
  </si>
  <si>
    <t>Dr. Cucu Hidayat, M.Pd. dan Dicky Tri Juniar, M.Pd.</t>
  </si>
  <si>
    <t>Bapa Carmin</t>
  </si>
  <si>
    <t xml:space="preserve"> Lingkungan Kliwon Rt02 Rw06
  Kecamatan: Sumber
  Kabupaten/Kota: Cirebon
  Provinsi: Jawa Barat</t>
  </si>
  <si>
    <t>Maharani Sima</t>
  </si>
  <si>
    <t>Komplek citra batam blok D no.117
Batam Kota
Kota Batam
Kepulauan Riau
29461</t>
  </si>
  <si>
    <t>Penelitian Tindakan Kelas (Classroom Action Research)</t>
  </si>
  <si>
    <t>Afi Parnawi</t>
  </si>
  <si>
    <t>Keberadaan Di Masa Pandemi Covid-19</t>
  </si>
  <si>
    <t>Astono</t>
  </si>
  <si>
    <t>ARI PURWANI</t>
  </si>
  <si>
    <t>d.a. Gang Sadewo Tempel RT 05/RW 07 Banyuanyar Banjarsari Surakarta.</t>
  </si>
  <si>
    <t>RIFAT SYIFA HANUM</t>
  </si>
  <si>
    <t xml:space="preserve">JL. KP KANDANG SAPI, GG.ASEM RAYA NO.72 RT.002 RW.006 (TKIT ASY - SYIFA)
Cakung
Kota Jakarta Timur
DKI Jakarta
</t>
  </si>
  <si>
    <t>Pedoman Penulisan Skripsi Hubungan Internasional</t>
  </si>
  <si>
    <t>Umar Suryadi Bakry</t>
  </si>
  <si>
    <t>Eldaa Crystle Wenno</t>
  </si>
  <si>
    <t>Jl. Nn Saar Sopacua, Osm, RT 006 RW 004
  Kecamatan: Nusaniwe
  Kabupaten/Kota: Ambon
  Provinsi: Maluku</t>
  </si>
  <si>
    <t>Pembelajaran Inovatif Bahasa dan Sastra Mengembalikan Prinsip Bahasa dan Sastra sebagai Cara Berpikir Inovatif</t>
  </si>
  <si>
    <t>Ninuk Lustyantie dan Fernandes Arung</t>
  </si>
  <si>
    <t>Wahyudi</t>
  </si>
  <si>
    <t>jl. Marunda makmur Bidara RT 1 RW 1 kost Ade kamar B 1 Marunda, DKI Jakarta, kota Jakarta utara, Cilincing.
  Kecamatan: Cilincing
  Kabupaten/Kota: Jakarta Utara 
  Provinsi: DKI Jakarta</t>
  </si>
  <si>
    <t>Pengantar Teknologi Informatika dan Komunikasi Data</t>
  </si>
  <si>
    <t>Bagaskoro</t>
  </si>
  <si>
    <t>Sulaiman</t>
  </si>
  <si>
    <t>Jl jatisari rt01 Rw01 no 2. Kel jatisari. Kec buah batu. Bandung , KOTA BANDUNG, BUAHBATU (MARGACINTA), JAWA BARAT, ID, 40292</t>
  </si>
  <si>
    <t>Implementasi Metode Sentra dalam Pengembangan Kecerdasan Majemuk
Anak Usia Dini :
Studi Kasus TK Batutis Al-Ilmi Bekasi</t>
  </si>
  <si>
    <t>M. Zakaria Hanafi, MA. Pd.</t>
  </si>
  <si>
    <t xml:space="preserve">2103101A7STT7W
</t>
  </si>
  <si>
    <t xml:space="preserve"> JP8508833905</t>
  </si>
  <si>
    <t>Zulifa Sifaurrohmah</t>
  </si>
  <si>
    <t xml:space="preserve">Gang Masjid No.21, Jemur Wonosari, Wonocolo, KOTA SURABAYA, WONOCOLO, JAWA TIMUR, ID, 60237
</t>
  </si>
  <si>
    <t>2103101C6GSGVU</t>
  </si>
  <si>
    <t>JP8344846748</t>
  </si>
  <si>
    <t>FENI RISAWANA</t>
  </si>
  <si>
    <t>Jl.Sei Mahakam , Gg.Melon RT 10 No 20 Kampung Empat belakang kantor kecamatan TARTIM, KOTA TARAKAN, TARAKAN TIMUR, KALIMANTAN UTARA, ID, 77124</t>
  </si>
  <si>
    <t>210309VW8F2VVJ</t>
  </si>
  <si>
    <t xml:space="preserve"> JP1106591574</t>
  </si>
  <si>
    <t>Fahrizal Adnan</t>
  </si>
  <si>
    <t>Jl.Sei Mahakam , Gg.Melon RT 10 No 20 Kampung Empat belakang kantor kecamatan TARTIM, KOTA TARAKAN, TARAKAN TIMUR, KALIMANTAN UTARA, ID, 77125</t>
  </si>
  <si>
    <t>Buku Ajar Aljabar Linear Elementer</t>
  </si>
  <si>
    <t>Gandung Sugita dan Anggraini</t>
  </si>
  <si>
    <t>Jl.Sei Mahakam , Gg.Melon RT 10 No 20 Kampung Empat belakang kantor kecamatan TARTIM, KOTA TARAKAN, TARAKAN TIMUR, KALIMANTAN UTARA, ID, 77126</t>
  </si>
  <si>
    <t>Dasar Teknik Listrik</t>
  </si>
  <si>
    <t>Hantje Ponto</t>
  </si>
  <si>
    <t>Jl.Sei Mahakam , Gg.Melon RT 10 No 20 Kampung Empat belakang kantor kecamatan TARTIM, KOTA TARAKAN, TARAKAN TIMUR, KALIMANTAN UTARA, ID, 77127</t>
  </si>
  <si>
    <t>E-Learning Keselamatan dan Kesehatan Kerja (K3)</t>
  </si>
  <si>
    <t>Yuliani HR, Ridhawati, Sri Indriati</t>
  </si>
  <si>
    <t>Jl.Sei Mahakam , Gg.Melon RT 10 No 20 Kampung Empat belakang kantor kecamatan TARTIM, KOTA TARAKAN, TARAKAN TIMUR, KALIMANTAN UTARA, ID, 77128</t>
  </si>
  <si>
    <t>Jl.Sei Mahakam , Gg.Melon RT 10 No 20 Kampung Empat belakang kantor kecamatan TARTIM, KOTA TARAKAN, TARAKAN TIMUR, KALIMANTAN UTARA, ID, 77129</t>
  </si>
  <si>
    <t>English For Electrical Engineering</t>
  </si>
  <si>
    <t>Naely Muchtar &amp; Alimin</t>
  </si>
  <si>
    <t>Jl.Sei Mahakam , Gg.Melon RT 10 No 20 Kampung Empat belakang kantor kecamatan TARTIM, KOTA TARAKAN, TARAKAN TIMUR, KALIMANTAN UTARA, ID, 77130</t>
  </si>
  <si>
    <t>Ilmu dan Teknologi Bahan Kayu, Batu dan Atap</t>
  </si>
  <si>
    <t>Henry Apriyatno</t>
  </si>
  <si>
    <t>Jl.Sei Mahakam , Gg.Melon RT 10 No 20 Kampung Empat belakang kantor kecamatan TARTIM, KOTA TARAKAN, TARAKAN TIMUR, KALIMANTAN UTARA, ID, 77131</t>
  </si>
  <si>
    <t>Jl.Sei Mahakam , Gg.Melon RT 10 No 20 Kampung Empat belakang kantor kecamatan TARTIM, KOTA TARAKAN, TARAKAN TIMUR, KALIMANTAN UTARA, ID, 77132</t>
  </si>
  <si>
    <t>Kimia Teknik Untuk Teknisi Pesawat Udara</t>
  </si>
  <si>
    <t>Haris Puspito Buwono, dkk.</t>
  </si>
  <si>
    <t>Jl.Sei Mahakam , Gg.Melon RT 10 No 20 Kampung Empat belakang kantor kecamatan TARTIM, KOTA TARAKAN, TARAKAN TIMUR, KALIMANTAN UTARA, ID, 77133</t>
  </si>
  <si>
    <t>Jl.Sei Mahakam , Gg.Melon RT 10 No 20 Kampung Empat belakang kantor kecamatan TARTIM, KOTA TARAKAN, TARAKAN TIMUR, KALIMANTAN UTARA, ID, 77134</t>
  </si>
  <si>
    <t>Jl.Sei Mahakam , Gg.Melon RT 10 No 20 Kampung Empat belakang kantor kecamatan TARTIM, KOTA TARAKAN, TARAKAN TIMUR, KALIMANTAN UTARA, ID, 77135</t>
  </si>
  <si>
    <t>Simulasi Model Hibrida Sistem Listrik Tenaga Surya Dan Bayu Terhubung Grid Menggunakan Psim Berbasis Kontrol Cerdas</t>
  </si>
  <si>
    <t>Dr. Ir. Subiyanto, S.T., M.T., dkk.</t>
  </si>
  <si>
    <t>Jl.Sei Mahakam , Gg.Melon RT 10 No 20 Kampung Empat belakang kantor kecamatan TARTIM, KOTA TARAKAN, TARAKAN TIMUR, KALIMANTAN UTARA, ID, 77136</t>
  </si>
  <si>
    <t>Teknis Pelaksana Pekerjaan Instalasi Plambing Pada Bangunan Gedung</t>
  </si>
  <si>
    <t>Salmani, S.T., M.S., M.T.</t>
  </si>
  <si>
    <t>Jl.Sei Mahakam , Gg.Melon RT 10 No 20 Kampung Empat belakang kantor kecamatan TARTIM, KOTA TARAKAN, TARAKAN TIMUR, KALIMANTAN UTARA, ID, 77137</t>
  </si>
  <si>
    <t>Teknologi Hilir Sawit (Limbah Sawit untuk Bioplastik)</t>
  </si>
  <si>
    <t>Lestari Hetalesi Saputri</t>
  </si>
  <si>
    <t>Jl.Sei Mahakam , Gg.Melon RT 10 No 20 Kampung Empat belakang kantor kecamatan TARTIM, KOTA TARAKAN, TARAKAN TIMUR, KALIMANTAN UTARA, ID, 77138</t>
  </si>
  <si>
    <t>Perancangan Mesin-Mesin Industri</t>
  </si>
  <si>
    <t>Rusdi Nur dan Muhammad Arsyad Suyuti</t>
  </si>
  <si>
    <t>Jl.Sei Mahakam , Gg.Melon RT 10 No 20 Kampung Empat belakang kantor kecamatan TARTIM, KOTA TARAKAN, TARAKAN TIMUR, KALIMANTAN UTARA, ID, 77139</t>
  </si>
  <si>
    <t>Perancangan Tata Letak Pabrik</t>
  </si>
  <si>
    <t>Jl.Sei Mahakam , Gg.Melon RT 10 No 20 Kampung Empat belakang kantor kecamatan TARTIM, KOTA TARAKAN, TARAKAN TIMUR, KALIMANTAN UTARA, ID, 77140</t>
  </si>
  <si>
    <t>Prinsip Elektronika Dasar (Teori, Contoh Soal dan Evaluasi)</t>
  </si>
  <si>
    <t>Jaenal Arifin &amp; Rahmat Widadi</t>
  </si>
  <si>
    <t>Jl.Sei Mahakam , Gg.Melon RT 10 No 20 Kampung Empat belakang kantor kecamatan TARTIM, KOTA TARAKAN, TARAKAN TIMUR, KALIMANTAN UTARA, ID, 77141</t>
  </si>
  <si>
    <t>Rekayasa dan Penyediaan Air Bersih</t>
  </si>
  <si>
    <t>Salmani</t>
  </si>
  <si>
    <t>Jl.Sei Mahakam , Gg.Melon RT 10 No 20 Kampung Empat belakang kantor kecamatan TARTIM, KOTA TARAKAN, TARAKAN TIMUR, KALIMANTAN UTARA, ID, 77142</t>
  </si>
  <si>
    <t>Monograf Manajemen Desain: Desain Bangunan Berbasis Kinerja</t>
  </si>
  <si>
    <t>Sulfiah Dwi Astarini dan Christiono Utomo</t>
  </si>
  <si>
    <t>Jl.Sei Mahakam , Gg.Melon RT 10 No 20 Kampung Empat belakang kantor kecamatan TARTIM, KOTA TARAKAN, TARAKAN TIMUR, KALIMANTAN UTARA, ID, 77143</t>
  </si>
  <si>
    <t>Pembangkit Listrik Tenaga Air Skala Kecil</t>
  </si>
  <si>
    <t>Luqman Hakim</t>
  </si>
  <si>
    <t>Jl.Sei Mahakam , Gg.Melon RT 10 No 20 Kampung Empat belakang kantor kecamatan TARTIM, KOTA TARAKAN, TARAKAN TIMUR, KALIMANTAN UTARA, ID, 77144</t>
  </si>
  <si>
    <t>Pengantar Geologi</t>
  </si>
  <si>
    <t>Jl.Sei Mahakam , Gg.Melon RT 10 No 20 Kampung Empat belakang kantor kecamatan TARTIM, KOTA TARAKAN, TARAKAN TIMUR, KALIMANTAN UTARA, ID, 77145</t>
  </si>
  <si>
    <t>Buku Pengantar Praktis Pengelolaan Lingkungan Kota</t>
  </si>
  <si>
    <t>Hafi Munirwan, Wisya Aulia Prayudi, dan Zulfikar Dinar Wahidayat Putra</t>
  </si>
  <si>
    <t>Jl.Sei Mahakam , Gg.Melon RT 10 No 20 Kampung Empat belakang kantor kecamatan TARTIM, KOTA TARAKAN, TARAKAN TIMUR, KALIMANTAN UTARA, ID, 77146</t>
  </si>
  <si>
    <t>Manajemen Teknik (Untuk Praktisi Dan Mahasiswa Teknik)</t>
  </si>
  <si>
    <t>Sriyono D. Siswoyo dan Meutia Sistarani</t>
  </si>
  <si>
    <t>Jl.Sei Mahakam , Gg.Melon RT 10 No 20 Kampung Empat belakang kantor kecamatan TARTIM, KOTA TARAKAN, TARAKAN TIMUR, KALIMANTAN UTARA, ID, 77147</t>
  </si>
  <si>
    <t>Langkah Runtut Menghitung Rencana Anggaran Biaya Bangunan : Contoh Kasus Rumah Tipe 36</t>
  </si>
  <si>
    <t>Anik Rahmawati Wahyuningsih</t>
  </si>
  <si>
    <t>Jl.Sei Mahakam , Gg.Melon RT 10 No 20 Kampung Empat belakang kantor kecamatan TARTIM, KOTA TARAKAN, TARAKAN TIMUR, KALIMANTAN UTARA, ID, 77148</t>
  </si>
  <si>
    <t>Matematika Diskret Teknik</t>
  </si>
  <si>
    <t>Seng Hansun</t>
  </si>
  <si>
    <t>Jl.Sei Mahakam , Gg.Melon RT 10 No 20 Kampung Empat belakang kantor kecamatan TARTIM, KOTA TARAKAN, TARAKAN TIMUR, KALIMANTAN UTARA, ID, 77149</t>
  </si>
  <si>
    <t>Mengenal Proyek Engineering, Procurement &amp; Construction</t>
  </si>
  <si>
    <t>Lukita Priyambodo</t>
  </si>
  <si>
    <t>Jl.Sei Mahakam , Gg.Melon RT 10 No 20 Kampung Empat belakang kantor kecamatan TARTIM, KOTA TARAKAN, TARAKAN TIMUR, KALIMANTAN UTARA, ID, 77150</t>
  </si>
  <si>
    <t>Jl.Sei Mahakam , Gg.Melon RT 10 No 20 Kampung Empat belakang kantor kecamatan TARTIM, KOTA TARAKAN, TARAKAN TIMUR, KALIMANTAN UTARA, ID, 77151</t>
  </si>
  <si>
    <t>Benyamin</t>
  </si>
  <si>
    <t>Jl. Pintu Air IV. Gg. Pasar VIII No. BM
Kecamatan: Medan Johor
Kabupaten/Kota: Medan
Provinsi: Sumatera Utara</t>
  </si>
  <si>
    <t>Perencanaan Pembelajaran Kontemporer Berbasis Penerapan Kurikulum 2013</t>
  </si>
  <si>
    <t>St. Marwiyah, Alauddin &amp; Muh. Khaerul Ummah BK</t>
  </si>
  <si>
    <t>Rifa'i</t>
  </si>
  <si>
    <t>muhammadiyah Bengkulu jln. Bali kota bengkulu</t>
  </si>
  <si>
    <t>Kesehatan Masyarakat dalam Determinan Sosial Budaya</t>
  </si>
  <si>
    <t>Hermien Nugraheni, Tri Wiyatini, &amp; Irmanita Wiradona</t>
  </si>
  <si>
    <t>RA Asy-Syafi'</t>
  </si>
  <si>
    <t>Jalan Sukamanah Jaya III No.17, RT.3/RW.15, Suka Sari, Tangerang (wartel salsa) , KOTA TANGERANG, TANGERANG, BANTEN, ID, 15118</t>
  </si>
  <si>
    <t>2103101JHXDPB0</t>
  </si>
  <si>
    <t>CM75830499077</t>
  </si>
  <si>
    <t>Najwa Aulani Zahroh</t>
  </si>
  <si>
    <t xml:space="preserve">Perumahan Griya panorama indah Blok F5 no33 jalan mangga 1,RT/RW:04/11,desa purwasari , KAB. KARAWANG, PURWASARI, JAWA BARAT, ID, 41373
</t>
  </si>
  <si>
    <t xml:space="preserve">21031029DQVS1X
</t>
  </si>
  <si>
    <t xml:space="preserve"> JP5949062106</t>
  </si>
  <si>
    <t>Meylida Ayuningtiyas</t>
  </si>
  <si>
    <t>Karangnongko RT.1/RW.5, Dadirejo, Bagelen, KAB. PURWOREJO, BAGELEN, JAWA TENGAH, ID, 54174</t>
  </si>
  <si>
    <t>Kiat Percepatan Kinerja UMKM dengan Model Strategi Orientasi Berbasis 
Lingkungaan</t>
  </si>
  <si>
    <t>Darmanto, FX. Sri Wardaya, &amp; Lilis sulistyani</t>
  </si>
  <si>
    <t>210311406WGR0G</t>
  </si>
  <si>
    <t>JP9488234810</t>
  </si>
  <si>
    <t>Rianti</t>
  </si>
  <si>
    <t>Lrg. Hibah I no. 1921, RT/RW 25/09, Kel. Bukit Lama, Kec. Ilir Barat I, Kota Palembang , KOTA PALEMBANG, ILIR BARAT I, SUMATERA SELATAN, ID, 30139</t>
  </si>
  <si>
    <t>21031147S51R9V</t>
  </si>
  <si>
    <t>JP5094979776</t>
  </si>
  <si>
    <t>Shofyah assunny</t>
  </si>
  <si>
    <t xml:space="preserve">Villa Mutiara Cikarang blok H11/10, Rt. 24 Rw.10 kec. Cikarang Selatan, kab. kota Bekasi , KAB. BEKASI, CIKARANG SELATAN, JAWA BARAT, ID, 17853
</t>
  </si>
  <si>
    <t>2103114VVBBADY</t>
  </si>
  <si>
    <t xml:space="preserve"> CM66366204290</t>
  </si>
  <si>
    <t>Annisa ghina</t>
  </si>
  <si>
    <t xml:space="preserve">Kp. Rawa palangan RT/RW. 02/06 Des. Telaga Murni, Kec. Cikarang Barat, Kab. Bekasi, KAB. BEKASI, CIKARANG BARAT, JAWA BARAT, ID, 17849
</t>
  </si>
  <si>
    <t>2103125EPPYJ98</t>
  </si>
  <si>
    <t>JP1917387055</t>
  </si>
  <si>
    <t>Hanik Rofi'ah</t>
  </si>
  <si>
    <t>DS. Minggirsari RT.02 RW.03 kec. Kanigoro kab. Blitar (timur Pondok Pesantren Roudlotul Muta'allimin), Kanigoro, Kab. Blitar, Jawa Timur, 66171</t>
  </si>
  <si>
    <t>001438612171</t>
  </si>
  <si>
    <t>Arsyad</t>
  </si>
  <si>
    <t>Kalanganyar Banten Kab. Lebak Kalanganyar Indonesia Kab. Leba</t>
  </si>
  <si>
    <t>fenny tjiawie</t>
  </si>
  <si>
    <t>PT Mujur Timber
Jl Kolonel Sugiono no 10DEF (Belakang BNi Pemuda)
Medan Maimun
Kota Medan
Sumatera Utara</t>
  </si>
  <si>
    <t>venty hartiny</t>
  </si>
  <si>
    <t xml:space="preserve">Jl.  Jatipadang raya gg nurul iman rt 06 rw 03 no 52 pasar minggu Jakarta Selatan 12540 </t>
  </si>
  <si>
    <t>Jl.  Jatipadang raya gg nurul iman rt 06 rw 03 no 52 pasar minggu Jakarta Selatan 12541</t>
  </si>
  <si>
    <t>BASO AND BASSE (Drama Inggris-Indonesia)</t>
  </si>
  <si>
    <t>Suri Bau Dj</t>
  </si>
  <si>
    <t>Jl.  Jatipadang raya gg nurul iman rt 06 rw 03 no 52 pasar minggu Jakarta Selatan 12542</t>
  </si>
  <si>
    <t>#dirumahaja</t>
  </si>
  <si>
    <t>Ririn Novianti, dkk.</t>
  </si>
  <si>
    <t>Jl.  Jatipadang raya gg nurul iman rt 06 rw 03 no 52 pasar minggu Jakarta Selatan 12543</t>
  </si>
  <si>
    <t>Sepucuk Surat Di Penghujung Malam</t>
  </si>
  <si>
    <t>Fitrah Hayani</t>
  </si>
  <si>
    <t>Jl.  Jatipadang raya gg nurul iman rt 06 rw 03 no 52 pasar minggu Jakarta Selatan 12544</t>
  </si>
  <si>
    <t>Kataku</t>
  </si>
  <si>
    <t>Cecilia Magdalena</t>
  </si>
  <si>
    <t>Jl.  Jatipadang raya gg nurul iman rt 06 rw 03 no 52 pasar minggu Jakarta Selatan 12545</t>
  </si>
  <si>
    <t>Karattas kummu bungkus kelampuri</t>
  </si>
  <si>
    <t>Surya darma</t>
  </si>
  <si>
    <t>Jl.  Jatipadang raya gg nurul iman rt 06 rw 03 no 52 pasar minggu Jakarta Selatan 12546</t>
  </si>
  <si>
    <t>Epilogi Artikel Opini Kebangsaan (Dari Pancasila Hingga Corona Mengurai Kembali Arah Perjalanan Bangsa)</t>
  </si>
  <si>
    <t>Teddy Khumaedi</t>
  </si>
  <si>
    <t>Jl.  Jatipadang raya gg nurul iman rt 06 rw 03 no 52 pasar minggu Jakarta Selatan 12547</t>
  </si>
  <si>
    <t>Fatwa Dewan Syariah Nasional Majelis Ulama Indonesia (Kontribusi Fatwa dalam Peraturan Perundang-undangan dan Penyelesaian Sengketa Ekonomi Syariah di Indonesia)</t>
  </si>
  <si>
    <t>Endang Samsul Arifin</t>
  </si>
  <si>
    <t>Anwar Najmi</t>
  </si>
  <si>
    <t>Cukir Gang 2 No 121 RT 07 RW 02, CUKIR, DIWEK, JOMBANG
Diwek
Kabupaten Jombang
Jawa Timur
61471</t>
  </si>
  <si>
    <t>Cukir Gang 2 No 121 RT 07 RW 02, CUKIR, DIWEK, JOMBANG
Diwek
Kabupaten Jombang
Jawa Timur
61472</t>
  </si>
  <si>
    <t>Nur Azifah</t>
  </si>
  <si>
    <t>Jl. Perjuangan 6 Kos Gayatri (Plang Hitam KAY)
Samarinda Utara
Kota Samarinda
Kalimantan Timur
75119</t>
  </si>
  <si>
    <t>Ekosistem dan Sumber Daya Alam Pesisir</t>
  </si>
  <si>
    <t>Ramli Utina, Elya Nusantari, Abubakar
Sidik Katili, &amp; Yowan Tamu</t>
  </si>
  <si>
    <t>Jl. Perjuangan 6 Kos Gayatri (Plang Hitam KAY)
Samarinda Utara
Kota Samarinda
Kalimantan Timur
75120</t>
  </si>
  <si>
    <t>Jl. Perjuangan 6 Kos Gayatri (Plang Hitam KAY)
Samarinda Utara
Kota Samarinda
Kalimantan Timur
75121</t>
  </si>
  <si>
    <t>Hutan Mangrove Dan Pemanfaatannya</t>
  </si>
  <si>
    <t>Sukirman Rahim &amp; Dewi Wahyuni K. Baderan</t>
  </si>
  <si>
    <t>Ilham Chandra Putra</t>
  </si>
  <si>
    <t>Jl. Kemboja Gg. Hikmah No.22a RT. 003 RW. 001, KOTA PEKANBARU, PEKANBARU KOTA, RIAU, ID, 28111</t>
  </si>
  <si>
    <t>Organisasi Industri</t>
  </si>
  <si>
    <t>Syaiful Anwar</t>
  </si>
  <si>
    <t>2103126G30C44U</t>
  </si>
  <si>
    <t xml:space="preserve"> JP6729494505</t>
  </si>
  <si>
    <t>Lathifah Siti Nur Azizah</t>
  </si>
  <si>
    <t xml:space="preserve">Corongan Maguwoharjo Depok Sleman Yogyakarta RT.05 RW.23 Belakang SD N Corongan, KAB. SLEMAN, DEPOK, DI YOGYAKARTA, ID, 55598
</t>
  </si>
  <si>
    <t>2103126H4Q230E</t>
  </si>
  <si>
    <t xml:space="preserve"> JP8681456023</t>
  </si>
  <si>
    <t>keysha mila agnesia</t>
  </si>
  <si>
    <t>Perumahan Permata Biru, Blok AF NO. 111, rt 06 rw 24 ,cinunuk Jawa Barat Kab. Bandung Cileunyi Indonesia Kab. Bandung</t>
  </si>
  <si>
    <t>Birokrasi, Akuntabilitas, Kinerja</t>
  </si>
  <si>
    <t>Amir Imbaruddin</t>
  </si>
  <si>
    <t>Noer Faqih Gh</t>
  </si>
  <si>
    <t>jl. Imam Bonjol Gg MTs Negeri 1 nomor 9C, Tegalbesar 
  Kecamatan: Kaliwates 
  Kabupaten/Kota: Jember
  Provinsi: Jatim</t>
  </si>
  <si>
    <t>Jl.  Jatipadang raya gg nurul iman rt 06 rw 03 no 52 pasar minggu Jakarta Selatan 12548</t>
  </si>
  <si>
    <t>Jalan Terjal dan Mendaki “Islam Berkemajuan” Potret Buram PDM Kota Kediri 2016-2017</t>
  </si>
  <si>
    <t>Jl.  Jatipadang raya gg nurul iman rt 06 rw 03 no 52 pasar minggu Jakarta Selatan 12549</t>
  </si>
  <si>
    <t>Jl.  Jatipadang raya gg nurul iman rt 06 rw 03 no 52 pasar minggu Jakarta Selatan 12550</t>
  </si>
  <si>
    <t>Mengupas Problema Kota Semarang Metropolitan</t>
  </si>
  <si>
    <t>Mohammad Agung Ridlo</t>
  </si>
  <si>
    <t>Jl.  Jatipadang raya gg nurul iman rt 06 rw 03 no 52 pasar minggu Jakarta Selatan 12551</t>
  </si>
  <si>
    <t>Jl.  Jatipadang raya gg nurul iman rt 06 rw 03 no 52 pasar minggu Jakarta Selatan 12552</t>
  </si>
  <si>
    <t>Jl.  Jatipadang raya gg nurul iman rt 06 rw 03 no 52 pasar minggu Jakarta Selatan 12553</t>
  </si>
  <si>
    <t>Sumut Bangga, 21 Tokoh yang Memotivasi</t>
  </si>
  <si>
    <t>Denny S. Batubara, dkk.</t>
  </si>
  <si>
    <t>Farida Kartini (Bidan)</t>
  </si>
  <si>
    <t>Sidorejo RT 06 Ngestiharjo
  Kecamatan: Kasihan
  Kabupaten/Kota: Bantul
  Provinsi: DIY</t>
  </si>
  <si>
    <t>Filosofi Asuhan Kebidanan “Women Centered Care”</t>
  </si>
  <si>
    <t>Rr. Sri Nuriaty Masdiputri</t>
  </si>
  <si>
    <t>Dadang Dwi P</t>
  </si>
  <si>
    <t xml:space="preserve"> Kampus Politeknik Negeri Banyuwangi, Jl Raya Jember km 13, Labanasem
  Kecamatan: Kabat
  Kabupaten/Kota: Banyuwangi
  Provinsi: Jawa Timur</t>
  </si>
  <si>
    <t>Sistem Utilitas Bangunan: untuk Arsitek</t>
  </si>
  <si>
    <t>Sugeng Triyadi &amp; Andi Harapan</t>
  </si>
  <si>
    <t>Rahayu Febrianti</t>
  </si>
  <si>
    <t xml:space="preserve">Dawukan RT 04 RW 04 Sendangtirto Berbah Sleman Yogyakarta, KAB. SLEMAN, BERBAH, DI YOGYAKARTA, ID, 55573
</t>
  </si>
  <si>
    <t>2103126SWHCQAF</t>
  </si>
  <si>
    <t>JP3379894041</t>
  </si>
  <si>
    <t>Lalu Abdurrahman Zulfan</t>
  </si>
  <si>
    <t>Jln. Basuki Rahmat no.17 Praya
Praya
Kabupaten Lombok Tengah
Nusa Tenggara Barat
83511</t>
  </si>
  <si>
    <t>Pengantar Ilmu Kelautan dan Perikanan</t>
  </si>
  <si>
    <t>Andi Iqbal Burhanuddin &amp; H. M. 
Natsir Nessa</t>
  </si>
  <si>
    <t>Fitra Arsy Nur Cory'ah</t>
  </si>
  <si>
    <t>Poltekkes Kemenkes Mataram Jurusan Kebidanan, Jalan Kesehatan V/ 10, Pejanggik, Mataram, KOTA MATARAM, MATARAM, NUSA TENGGARA BARAT (NTB), ID, 83127</t>
  </si>
  <si>
    <t>2103114RE8MAUP</t>
  </si>
  <si>
    <t xml:space="preserve"> JP5442547026</t>
  </si>
  <si>
    <t xml:space="preserve">Perumahan Sumput asri blok BD-31 JL.chery3 RT:32 RW:06 driyorejo gresik, KAB. GRESIK, DRIYOREJO, JAWA TIMUR, ID, 61177
</t>
  </si>
  <si>
    <t>21031275YESSW7</t>
  </si>
  <si>
    <t>CM98181474584</t>
  </si>
  <si>
    <t>Nia Tresniati</t>
  </si>
  <si>
    <t>Dekat Kantor RW 07 Kp. Bojong Cibodas No. 8 RT 02 RW 07 DS Malakasari, KAB. BANDUNG, BALEENDAH, JAWA BARAT, ID, 40375</t>
  </si>
  <si>
    <t>Kepemimpinan Pemerintahan Indonesia: Teori dan Prakteknya</t>
  </si>
  <si>
    <t>Rendy Adiwilaga</t>
  </si>
  <si>
    <t>2103138TJM76B6</t>
  </si>
  <si>
    <t>JP1558205650</t>
  </si>
  <si>
    <t>Fajar Isnantyo</t>
  </si>
  <si>
    <t>Jl Busukan Timur No 2A, Mojosongo, KOTA SURAKARTA (SOLO), JEBRES, JAWA TENGAH, ID, 57127</t>
  </si>
  <si>
    <t>Instrumen Pembelajaran Pendekatan Teaching Factory Manajemen Usaha Restoran</t>
  </si>
  <si>
    <t>Lina Mufidah &amp; Eka Rachmawati</t>
  </si>
  <si>
    <t>2103138X19W7V0</t>
  </si>
  <si>
    <t xml:space="preserve"> JP3739685151</t>
  </si>
  <si>
    <t>2103139X246C70</t>
  </si>
  <si>
    <t>JP1026881197</t>
  </si>
  <si>
    <t>Aziz</t>
  </si>
  <si>
    <t xml:space="preserve">Sumpung RT 04 dekat mesjid Islahuddin sumpung, KAB. BALANGAN, PARINGIN, KALIMANTAN SELATAN, ID, 71611
</t>
  </si>
  <si>
    <t>Pangan, Gizi, Dan Kesehatan</t>
  </si>
  <si>
    <t>210314C4GFP9GA</t>
  </si>
  <si>
    <t>JP6390074660</t>
  </si>
  <si>
    <t>Anis Nurhayati</t>
  </si>
  <si>
    <t>Jalan Raya Warung Dowo Area Perkantoran PCNU, KAB. PASURUAN, POHJENTREK, JAWA TIMUR, ID, 67171</t>
  </si>
  <si>
    <t>210315DN7T0R2N</t>
  </si>
  <si>
    <t>JP1191222863</t>
  </si>
  <si>
    <t>Ahmad Atsari Sujud</t>
  </si>
  <si>
    <t>Jl. Terusan Sudimoro III, Kec. Lowokwaru, Kota Malang, Jawa Timur [Tokopedia Note: Jl. Terusan Sudimoro III, nomor 10, Kel. Mojolangu, 65142] Lowokwaru Kota Malang 65142
Jawa Timur</t>
  </si>
  <si>
    <t>INV/20210313/MPL/1101046402</t>
  </si>
  <si>
    <t>setriana Buntubatu</t>
  </si>
  <si>
    <t xml:space="preserve"> jalan poros palopo (to'bewa) rumah kedua setelah pertamini arah dari jembatan tagari (pagar biru putih) No.140 · Pasale (Pasele) Sulawesi Selatan Kab. Toraja Utara Rantepao Kab. Toraja Utara Indonesia</t>
  </si>
  <si>
    <t>mnurwahyudi</t>
  </si>
  <si>
    <t>LEBAK JAYA UTARA 4/22 · Tambaksari Jawa Timur Kota Surabaya Tambaksari Kota Surabaya Tambaksari Indonesia</t>
  </si>
  <si>
    <t>Metode Penelitian Teknik Informatika</t>
  </si>
  <si>
    <t>Ade Djohar Maturidi</t>
  </si>
  <si>
    <t>budi lastomo</t>
  </si>
  <si>
    <t xml:space="preserve"> WM. WAROENG CERDAS (Ceker Pedas),desa sidomulyo rt 03 rw 02,karanggeneng,boyolali,jawa tengah · Karanggeneng Jawa Tengah Kab. Boyolali Boyolali Indonesia Kab. Boyolali</t>
  </si>
  <si>
    <t>PENINGKATAN PRODUKSI IKAN NILA MELALUI PEMANFAATAN PEKARANGAN RUMAH NONPRODUKTIF DAN PENENTUAN JENIS MEDIA BUDIDAYA YANG SESUAI</t>
  </si>
  <si>
    <t>Nanang Samsu, S.ST.</t>
  </si>
  <si>
    <t>Tri Utaminingsih</t>
  </si>
  <si>
    <t>Taman Rahayu Regency,JL.Angsana Raya A6 no.116 Jawa Barat Kota Bekasi Bantar Gebang Indonesia Kota Bekasi</t>
  </si>
  <si>
    <t>Tasya Putri</t>
  </si>
  <si>
    <t xml:space="preserve">Dusun krajan RT003/RW001, Desa Kalangsari, Kecamatan Rengasdengklok, KAB. KARAWANG, RENGASDENGKLOK, JAWA BARAT, ID, 41352
</t>
  </si>
  <si>
    <t>210315DYSH3PN7</t>
  </si>
  <si>
    <t xml:space="preserve"> JP3008426177</t>
  </si>
  <si>
    <t>Roy Zebua</t>
  </si>
  <si>
    <t xml:space="preserve">Jalan arah nalua sawo, Dekat samping Rumah sakit Pratama, Nias Utara (Rumah warna Hijau), KAB. NIAS UTARA, LOTU, SUMATERA UTARA, ID, 22856
</t>
  </si>
  <si>
    <t>210315EQ3JHX2X</t>
  </si>
  <si>
    <t xml:space="preserve"> JP9982694766</t>
  </si>
  <si>
    <t>Ovi alhamdini</t>
  </si>
  <si>
    <t>Bakan Sewi RT 04 Rw 05 Patokan Deket Pos Ronda Plang Yayasan Ponpes Al-wafaa , KAB. KARAWANG, JATISARI, JAWA BARAT, ID, 41374</t>
  </si>
  <si>
    <t>210315EU8NM223</t>
  </si>
  <si>
    <t xml:space="preserve"> JP4519581812</t>
  </si>
  <si>
    <t>Dinita choirunnisa</t>
  </si>
  <si>
    <t>Perumahan perum milennia puri fatmawati 1 C9 no 13, KAB. JEMBER, KALIWATES, JAWA TIMUR, ID, 68131</t>
  </si>
  <si>
    <t>Pengantar Bioteknologi (Teori dan Aplikasi)</t>
  </si>
  <si>
    <t>Endik Deni Nugroho dan Dwi Anggorowati Rahayu</t>
  </si>
  <si>
    <t>210315EXBMPQFX</t>
  </si>
  <si>
    <t>CM89503735785</t>
  </si>
  <si>
    <t>Dyta Silvia Mayasari</t>
  </si>
  <si>
    <t>Gondang RT 03/RW 04, Candi, Ampel, Boyolali, Jawa Tengah
  Kecamatan: Ampel
  Kabupaten/Kota: Boyolali
  Provinsi: Jawa Tengah</t>
  </si>
  <si>
    <t>Jimmi Aritonang</t>
  </si>
  <si>
    <t>Jl.karya wisata komplek johor indah permai blok VI no.20
Medan Johor
Kota Medan
Sumatera Utara
20144</t>
  </si>
  <si>
    <t>Jl.karya wisata komplek johor indah permai blok VI no.20
Medan Johor
Kota Medan
Sumatera Utara
20145</t>
  </si>
  <si>
    <t>Jl.karya wisata komplek johor indah permai blok VI no.20
Medan Johor
Kota Medan
Sumatera Utara
20146</t>
  </si>
  <si>
    <t>Jl.karya wisata komplek johor indah permai blok VI no.20
Medan Johor
Kota Medan
Sumatera Utara
20147</t>
  </si>
  <si>
    <t>Kepemimpinan Politik Perspektif Komunikasi</t>
  </si>
  <si>
    <t>Dr. Muhammad Qadaruddin, M.Sos.I.</t>
  </si>
  <si>
    <t>Jl.karya wisata komplek johor indah permai blok VI no.20
Medan Johor
Kota Medan
Sumatera Utara
20148</t>
  </si>
  <si>
    <t>Lucy Pujasari Supratman dan Adi Bayu mahadian</t>
  </si>
  <si>
    <t>Jl.karya wisata komplek johor indah permai blok VI no.20
Medan Johor
Kota Medan
Sumatera Utara
20149</t>
  </si>
  <si>
    <t>Storytelling And Digital Storytelling (Theory And Practice For Educators)</t>
  </si>
  <si>
    <t>Intan Satriani</t>
  </si>
  <si>
    <t>Fitrianingsih</t>
  </si>
  <si>
    <t>Dusun III Rt 02 Rw 08
Rawalo
Kabupaten Banyumas
Jawa Tengah
53173</t>
  </si>
  <si>
    <t>Mengelola Taman Baca dengan Mudah</t>
  </si>
  <si>
    <t>Abdul Holik</t>
  </si>
  <si>
    <t>Rifki Priyambodo</t>
  </si>
  <si>
    <t xml:space="preserve"> Jl. Raya Pondok Aren Gg Musholla Nurul Huda 1 No.67 Rt.004/01, Pondok Aren, Tangerang Selatan, Banten 15224</t>
  </si>
  <si>
    <t>Manajemen Alat Berat</t>
  </si>
  <si>
    <t>Kadek Adi Suryawan</t>
  </si>
  <si>
    <t>Ainun Nadliroh</t>
  </si>
  <si>
    <t>Perum TAS II Blok M5/52 RT 02 RW 06
Tanggulangin
Kabupaten Sidoarjo
Jawa Timur
61272</t>
  </si>
  <si>
    <t>Perum TAS II Blok M5/52 RT 02 RW 06
Tanggulangin
Kabupaten Sidoarjo
Jawa Timur
61273</t>
  </si>
  <si>
    <t>Perum TAS II Blok M5/52 RT 02 RW 06
Tanggulangin
Kabupaten Sidoarjo
Jawa Timur
61274</t>
  </si>
  <si>
    <t>Masyitah Masyitah</t>
  </si>
  <si>
    <t>Jalan Raya Dramaga No.6 RT 003 RW 01 Babakan Raya 1 Dramaga Bogor
Dramaga
Kabupaten Bogor
Jawa Barat
16680</t>
  </si>
  <si>
    <t>Susy</t>
  </si>
  <si>
    <t>Sakura Regency, Jl. Bunga Sakura III no A16, Jatiasih, Bekasi 17423</t>
  </si>
  <si>
    <t>Buku Bahan Ajar Pastry and Bakery</t>
  </si>
  <si>
    <t>Emmita Devi Hari Putri</t>
  </si>
  <si>
    <t>Nadia Roro Anggraeni</t>
  </si>
  <si>
    <t>002/005 jalan triu ,kampung Srimulyo
Kalirejo
Kabupaten Lampung Tengah
Lampung</t>
  </si>
  <si>
    <t>Sistem Informasi Manajemen</t>
  </si>
  <si>
    <t>Jaluanto Sunu Punjul Tyoso</t>
  </si>
  <si>
    <t>Andi Irma Sarjani</t>
  </si>
  <si>
    <t xml:space="preserve">Jl. Ampera II Komp.ANRI Kav.A2 Ragunan 
  Kecamatan: Ps Minggu 
  Kabupaten/Kota: Jakarta Selatan 
  Provinsi: DKI Jakarta </t>
  </si>
  <si>
    <t>Hartono</t>
  </si>
  <si>
    <t>Stikes Nasional
Jl. Solo-Baki, Kwarasan, Grogol, Sukoharjo, Jateng
  Kecamatan: Grogol
  Kabupaten/Kota: Sukoharjo
  Provinsi:Jawa Tengah</t>
  </si>
  <si>
    <t>Vidya</t>
  </si>
  <si>
    <t>Jl. Bambu Petung No.66-69
  Kecamatan: Cipayung
  Kabupaten/Kota: Jakarta Timur
  Provinsi: DKI Jakarta</t>
  </si>
  <si>
    <t>Perancangan Database Sistem Informasi Akuntansi</t>
  </si>
  <si>
    <t>Trisye Natalia Kilay dan Stephanie Astrid Ayu</t>
  </si>
  <si>
    <t>Fetty F</t>
  </si>
  <si>
    <t>Green Hanjuang A2 Cihanjuang
  Kecamatan: Parongpong
  Kabupaten/Kota: Bandung Barat
  Provinsi: Jawa Barat</t>
  </si>
  <si>
    <t>Naufal Ramadhan</t>
  </si>
  <si>
    <t>Perumahan Jatijajar Blok D19/21 Tapos Depok
Tapos
Kota Depok
Jawa Barat
16455</t>
  </si>
  <si>
    <t>Manajemen Pengadaan Barang dan Jasa</t>
  </si>
  <si>
    <t>Hertin Indira Utojo</t>
  </si>
  <si>
    <t>Muflihatul Qirimah</t>
  </si>
  <si>
    <t>Jl. Raya buntu gombong km 2
Kebarongan rt 02/05 kec. Kemranjen. Kab. Banyumas 53194</t>
  </si>
  <si>
    <t>Buku Model Problem Based Learning (PBL), Mata Kuliah Pengetahuan Bahan Makanan</t>
  </si>
  <si>
    <t>Syamsidah dan Hamidah Suryani</t>
  </si>
  <si>
    <t>Naufal Ganisha</t>
  </si>
  <si>
    <t>Kp. CIBANDAWA RT/RW 004/007
Cigombong
Kabupaten Bogor
Jawa Barat
16740</t>
  </si>
  <si>
    <t>Kp. CIBANDAWA RT/RW 004/007
Cigombong
Kabupaten Bogor
Jawa Barat
16741</t>
  </si>
  <si>
    <t>Iman Jauhari</t>
  </si>
  <si>
    <t>STIKes HOLISTIK. Jl. Veteran No.272.
  Kecamatan: Purwakarta
  Kabupaten: Purwakarta
  Provinsi: Jawa Barat (41118)</t>
  </si>
  <si>
    <t>Lonnol Bhrahmantio</t>
  </si>
  <si>
    <t xml:space="preserve"> Villa Bogor Indah blok GG2, Ciparigi-Bogor
  Kecamatan: Bogor-Utara
  Kabupaten/Kota: Kota Bogor
  Provinsi: Jawa Barat</t>
  </si>
  <si>
    <t>Nasionalisme Syiah Indonesia (Sebuah Kajian Komprehensif)</t>
  </si>
  <si>
    <t>Muhammad Reza</t>
  </si>
  <si>
    <t>bukakapak</t>
  </si>
  <si>
    <t>ahlan ismono</t>
  </si>
  <si>
    <t>Jl. Sektor 13, Rt 01/10, Sudimara Jaya, Ciledug, Kota Tangerang, Ciledug, Tangerang, Banten, 15151</t>
  </si>
  <si>
    <t>BLJC213120783991</t>
  </si>
  <si>
    <t>DERADA</t>
  </si>
  <si>
    <t>Jl. Manggis II .Gang 2000 Kos khusus putri Mirza · Tanjung Selor Ilir/Hilir Kalimantan Utara Kab. Bulungan (Bulongan) Tanjung Selor Indonesia Kab. Bulungan (Bulongan)</t>
  </si>
  <si>
    <t>Yunus Fadhil</t>
  </si>
  <si>
    <t>jl. tandipau no.1 RT/RW.002/002. kelurahan Sakti (Belakan Kantor Camat Bua)
  Kecamatan: Bua
  Kabupaten/Kota:Luwu
  Provinsi:Sulawesi Selatan</t>
  </si>
  <si>
    <t>Penguatan Pendidikan karakter Melalui Kearifan Lokal Berbasis Al-Qur’an (Implementasi di SMAN Kabupaten Purwakarta)</t>
  </si>
  <si>
    <t>H. Cece</t>
  </si>
  <si>
    <t>Amalia ayu nurandini</t>
  </si>
  <si>
    <t>Griya panorama indah blok A2 no 67, RT.03 RW.10, KEC.PURWASARI,KAB.KARAWANG, KAB. KARAWANG, PURWASARI, JAWA BARAT, ID, 41376</t>
  </si>
  <si>
    <t>210316H0AM7K0K</t>
  </si>
  <si>
    <t>JP7872462083</t>
  </si>
  <si>
    <t>Yonalisa</t>
  </si>
  <si>
    <t>Firdaus Estate Blok J No.11, Sokaraja,Banyumas,Jawa Tengah., KAB. BANYUMAS, SOKARAJA, JAWA TENGAH, ID, 53181</t>
  </si>
  <si>
    <t>210316H67FU7NH</t>
  </si>
  <si>
    <t xml:space="preserve"> JP1636986070</t>
  </si>
  <si>
    <t>Muhtarudin. M. Pd.</t>
  </si>
  <si>
    <t>Nurul Fikri Boarding School Lembang Bandung, Jl. Maribaya, Lembang, Kabupaten Bandung Barat, Jawa Barat, 40391 [Tokopedia Note: RT 01/ RW 05] Lembang Kab. Bandung Barat 40391
Jawa Barat</t>
  </si>
  <si>
    <t>Rizky Farhan</t>
  </si>
  <si>
    <t>Jalan Patimura Gg. Guntur No. 27, Teluk Betung Utara, Bandar Lampung (paud manggis), Teluk Betung Utara, Bandar Lampung, Lampung, 35211</t>
  </si>
  <si>
    <t>What is Expert System</t>
  </si>
  <si>
    <t>B. Herawan Hayadi &amp; Kasman Rukun</t>
  </si>
  <si>
    <t>ambon</t>
  </si>
  <si>
    <t>Buku Ajar Hukum Perdata</t>
  </si>
  <si>
    <t>Ronald Saija dan Roger F.X.V. Letsoin</t>
  </si>
  <si>
    <t>lion parcel</t>
  </si>
  <si>
    <t>Etnobotani; Tumbuhan Obat Tradisional Masyarakat Sekitar Tahura Wan Abdul Rachman Lampung</t>
  </si>
  <si>
    <t>Gunardi Djoko Winarno, dkk</t>
  </si>
  <si>
    <t>Teknik Pembelajaran E-Learning dengan LMS Moodle (untuk Pemula)</t>
  </si>
  <si>
    <t>Onwardono Rit Riyanto</t>
  </si>
  <si>
    <t>Panduan Praktis Membuat &amp; Memublikasi Video Bahan Ajar</t>
  </si>
  <si>
    <t>Didiek Hari Nugroho</t>
  </si>
  <si>
    <t>wijaya books -</t>
  </si>
  <si>
    <t>pancakarya blok 32 no167 A RT 3 RW 6 kelurahan REJOSARI, Semarang Timur, Semarang, Jawa Tengah, 5012</t>
  </si>
  <si>
    <t>Sarif Mahpudin</t>
  </si>
  <si>
    <t>Dsn Krajan RT 07/02 Dsa Bolang Kec.Tirtajaya Kab.Karawang - Jawa - Barat.( seberang mesjid Hidayatullfatah )</t>
  </si>
  <si>
    <t>Bahasa Indonesia (Pengantar Dasar Menulis Di Perguruan Tinggi)</t>
  </si>
  <si>
    <t>Nina &amp; Ahyati Kurniamala Niswariyana</t>
  </si>
  <si>
    <t>vivian</t>
  </si>
  <si>
    <t>jln pukat 7 gg murni no 7 medan 
  Kecamatan: medan tembung
  Kabupaten/Kota:medan
  Provinsi:sumatera utara
No telepon : 081377413405</t>
  </si>
  <si>
    <t>Pengantar Manajemen Sarana dan Prasarana Sekolah</t>
  </si>
  <si>
    <t>Irjus Indrawan, S.Pd.I., M.Pd.I.</t>
  </si>
  <si>
    <t>Pengantar Manajemen Pemasaran</t>
  </si>
  <si>
    <t>Miguna Astuti dan Agni Rizkita Amanda</t>
  </si>
  <si>
    <t>Rian jagat</t>
  </si>
  <si>
    <t xml:space="preserve"> Jl. Kampung Baru 1 GG. Mawar 2, RT.14/09 No.31, kelurahan kelapa dua wetan kecamatan Ciracas Jakarta Timur
  Kecamatan: Ciracas
  Kabupaten/Kota: Jakarta Timur
  Provinsi: DkI. Jakarta</t>
  </si>
  <si>
    <t>Desi Sukma Melati</t>
  </si>
  <si>
    <t xml:space="preserve">Jl. Kemang Raya No.28 D Rt.001 Rw.002, Jaticempaka Kecamatan Pondokgede, KOTA BEKASI, PONDOK GEDE, JAWA BARAT, ID, 17411
</t>
  </si>
  <si>
    <t>Metode Diagnosa Parasit Veteriner</t>
  </si>
  <si>
    <t>Penny Humaidah Hamid</t>
  </si>
  <si>
    <t>210318PF41N17Y</t>
  </si>
  <si>
    <t>002508997502</t>
  </si>
  <si>
    <t>Aqiila Paramesti</t>
  </si>
  <si>
    <t xml:space="preserve">Perumahan Citra Gran, Cluster The Tarn, Blok O7 no. 5, Cibubur, KOTA BEKASI, JATI SAMPURNA, JAWA BARAT, ID, 17435
</t>
  </si>
  <si>
    <t>Maslahah Performa (MaP): Sistem Kinerja untuk Mewujudkan Organisasi Berkemaslahatan</t>
  </si>
  <si>
    <t>Dr. Achmad Firdaus, M.Si.</t>
  </si>
  <si>
    <t>210319Q0EX9JJ8</t>
  </si>
  <si>
    <t>002508998019</t>
  </si>
  <si>
    <t>salamun</t>
  </si>
  <si>
    <t>berlian motor sambas JL.gusti hamzah no.167 sambas Kalimantan Barat Kab. Sambas Sambas Indonesia Kab. Sambas</t>
  </si>
  <si>
    <t>Strategi Pemasaran Pariwisata dalam Perspektif Sistem Kepariwisataan Belajar dari Negara Thailand</t>
  </si>
  <si>
    <t>Pemasaran Pariwisata Menuju Festival Sail Daerah</t>
  </si>
  <si>
    <t>Manajemen Pemasaran Pariwisata Model Brand Loyalty Pengembangan Potensi Wisata Di Kawasan Pedesaan</t>
  </si>
  <si>
    <t>I Made Bayu Wisnawa, Putu Agus Prayogi dan I Ketut Sutapa</t>
  </si>
  <si>
    <t>Hariman</t>
  </si>
  <si>
    <t>Jalan. KL Yos Sudarso No. 19, Tanjung Mulia seberang unibis masuk gang yang ada tangki kuning
Medan Deli
Kota Medan
Sumatera Utara</t>
  </si>
  <si>
    <t>Manajemen Pemasaran: Suatu Strategi dalam Meningkatkan Loyalitas Pelanggan</t>
  </si>
  <si>
    <t>Dr. Lili Suryati, S.E, M.M., AMA., CITA.</t>
  </si>
  <si>
    <t>Metsa Aprita</t>
  </si>
  <si>
    <t>PT Pengerukan Indonesia
Gedung Rukindo, Jalan Raya Ancol Baru, Ancol Timur, Jakarta 14430
Pademangan
Kota Jakarta Utara
DKI Jakarta
14430</t>
  </si>
  <si>
    <t>Pengukuran Kinerja: Teori dan Aplikasi</t>
  </si>
  <si>
    <t>Yuniaristanto</t>
  </si>
  <si>
    <t>Megarani Tri.S</t>
  </si>
  <si>
    <t>jl.Mina Bumi Bahari, Gg.Istiqomah,Blok.Petoran Rt 03/Rw 01, KAB. CIREBON, GEBANG, JAWA BARAT, ID, 45191</t>
  </si>
  <si>
    <t>Buku Ajar Survey dan Pemetaan</t>
  </si>
  <si>
    <t>Hamzah Yusuf dan Hasmar Halim</t>
  </si>
  <si>
    <t>hiqmah</t>
  </si>
  <si>
    <t>Perum Bhumi Purwantoro Agung Jl. Sulfat Agung Blok 8 no 31. Kode pos 65122
  Kecamatan: Blimbing
  Kota: Malang
  Provinsi: Jawa Timur</t>
  </si>
  <si>
    <t>Marhamah</t>
  </si>
  <si>
    <t>Jl. Bromo No. 29. Kel. Binjai
  Kecamatan: Medan Denai
  Kabupaten/Kota: Medan
  Provinsi: Sumatera Utara</t>
  </si>
  <si>
    <t>Tri Hanifawati</t>
  </si>
  <si>
    <t>Jl. Teratai 7 No. 11, Cipadung Kidul, Kecamatan Panyileukan, Kota Bandung
Panyileukan
Kota Bandung
Jawa Barat</t>
  </si>
  <si>
    <t>Buku Ajar Manajemen Pemasaran Di Era Masyarakat Industri 4.0</t>
  </si>
  <si>
    <t>Achmad Rizal</t>
  </si>
  <si>
    <t>Jalan ikan kapasan RT/RW 035/000 gang sanjun nomor 56, KOTA BANDAR LAMPUNG, BUMI WARAS, LAMPUNG, ID, 35224</t>
  </si>
  <si>
    <t>210319S28B5W0N</t>
  </si>
  <si>
    <t>JP0951617669</t>
  </si>
  <si>
    <t>Yanulia handayani</t>
  </si>
  <si>
    <t>Apotek Baitus Syifa Ruko Jember Permai no.1 jl.jepara kudus, Kudus Jawa Tengah, KAB. KUDUS, KUDUS KOTA, JAWA TENGAH, ID, 59316</t>
  </si>
  <si>
    <t>Lena Nuraini</t>
  </si>
  <si>
    <t>Central park jl dahlia blok a 1 no 29 karngraharja, KAB. BEKASI, CIKARANG UTARA, JAWA BARAT, ID, 17831</t>
  </si>
  <si>
    <t>210320TGHKP4GP</t>
  </si>
  <si>
    <t>Central park jl dahlia blok a 1 no 29 karngraharja, KAB. BEKASI, CIKARANG UTARA, JAWA BARAT, ID, 17832</t>
  </si>
  <si>
    <t>Dulu Dia Gusku</t>
  </si>
  <si>
    <t>Niswatun Hasanah</t>
  </si>
  <si>
    <t>Central park jl dahlia blok a 1 no 29 karngraharja, KAB. BEKASI, CIKARANG UTARA, JAWA BARAT, ID, 17833</t>
  </si>
  <si>
    <t>Nurul ismi</t>
  </si>
  <si>
    <t>Jl cendana Flamboyan 7. , KAB. KAMPAR, TAPUNG, RIAU, ID, 28464</t>
  </si>
  <si>
    <t>210320U32BFFAU</t>
  </si>
  <si>
    <t xml:space="preserve"> JP1245938973</t>
  </si>
  <si>
    <t>Dahlia Rezza Ananda Putri</t>
  </si>
  <si>
    <t xml:space="preserve">Jln nusa jaya no20,way dadi , Sukarame kosan wisma pagar embun, KOTA BANDAR LAMPUNG, SUKARAME, LAMPUNG, ID, 35131
</t>
  </si>
  <si>
    <t>210320U5Q3XR1P</t>
  </si>
  <si>
    <t>JP3995030615</t>
  </si>
  <si>
    <t>Rizal Simatupang</t>
  </si>
  <si>
    <t>Pasar Batu Gerigis, Jalan R A Kartini lrg.2 Pasar Batu Gerigis, Barus, KAB. TAPANULI TENGAH, BARUS, SUMATERA UTARA, ID, 22564</t>
  </si>
  <si>
    <t>210320UHEM29V1</t>
  </si>
  <si>
    <t xml:space="preserve">JP3518392439
</t>
  </si>
  <si>
    <t>Ismail Nur Rahman</t>
  </si>
  <si>
    <t xml:space="preserve">Jalan Kebon Kacang 2 No.61, RW.2, Kebon Kacang Kel., Tanah Abang (Penginapan Rahim), KOTA JAKARTA PUSAT, TANAH ABANG, DKI JAKARTA, ID, 10240
</t>
  </si>
  <si>
    <t>Bisnis Dalam Perspektif Ilmu Administrasi</t>
  </si>
  <si>
    <t>Mukhammad Kholid Mawardi</t>
  </si>
  <si>
    <t>2103221JAB0GQQ</t>
  </si>
  <si>
    <t>JP1853192487</t>
  </si>
  <si>
    <t>Novita</t>
  </si>
  <si>
    <t>Pratama Lestari Residence II, Gg. Musholla Nurul Huda IV, Kec. Pd. Aren, Kota Tangerang Selatan, Banten, 15224 [Tokopedia Note: Blok C 2 Rt.6 Rw.1] Pondok Aren Kota Tangerang Selatan 15224
Banten</t>
  </si>
  <si>
    <t>Kapita Selekta Perlindungan Hukum bagi Anak</t>
  </si>
  <si>
    <t>Beniharmoni Harefa</t>
  </si>
  <si>
    <t>INV/20210320/MPL/1115728137</t>
  </si>
  <si>
    <t>Apriansyah</t>
  </si>
  <si>
    <t>rumah hijau no 169 rt 22 rw 06 · Cemplang Jawa Barat Kab. Bogor Cibungbulang Indonesia Kab. Bogor</t>
  </si>
  <si>
    <t>Sofwa Zahrotul Humaira</t>
  </si>
  <si>
    <t xml:space="preserve">Jl. KH. Hasyim Asyari RT 05 RW 04 Krajan Lor Kelurahan Ploso
  Kecamatan: Pacitan
  Kabupaten/Kota: Pacitan
  Provinsi: Jawa Timur </t>
  </si>
  <si>
    <t>Manajemen Pengembangan Program Pendidikan Nonformal</t>
  </si>
  <si>
    <t>Entoh Tohani</t>
  </si>
  <si>
    <t>Yunita Iriani Syarief</t>
  </si>
  <si>
    <t>Bunga Rampai Pendidikan (Formal, Non Formal, dan Informal)</t>
  </si>
  <si>
    <t>Urip Triyono dan Mufarohah</t>
  </si>
  <si>
    <t>Inovasi Pendidikan Islam</t>
  </si>
  <si>
    <t>Prof. Dr. Armai Arief, M.A., Prof. Dr. Armai Arief, M.A</t>
  </si>
  <si>
    <t>Cindy Siswandi</t>
  </si>
  <si>
    <t>Jl merbabu no 23H. Toko Bintang Plastik &amp; Laut
Medan Kota
Kota Medan
Sumatera Utara
20211</t>
  </si>
  <si>
    <t>Jl merbabu no 23H. Toko Bintang Plastik &amp; Laut
Medan Kota
Kota Medan
Sumatera Utara
20212</t>
  </si>
  <si>
    <t>Wirausaha dan Daya Saing</t>
  </si>
  <si>
    <t>Susi Desmaryani</t>
  </si>
  <si>
    <t>Achmad Junaidi</t>
  </si>
  <si>
    <t xml:space="preserve"> BNN KOTA PRABUMULIH
JL. JEND. SUDIRMAN NO 136 RT 003 DEPAN YON ZIPUR. KEL GUNUNG IBUL PRABUMULIH TIMUR KOTA PRABUMULIH</t>
  </si>
  <si>
    <t>Trigonometri Dasar</t>
  </si>
  <si>
    <t>Ali Syahbana</t>
  </si>
  <si>
    <t>Yeni Rosa Damayanti</t>
  </si>
  <si>
    <t>Perumahan Keboncandi Permai Blok DD-31
Gondang Wetan
Kabupaten Pasuruan
Jawa Timur
67174</t>
  </si>
  <si>
    <t>Sikap Dan Kinerja Guru Profesional</t>
  </si>
  <si>
    <t>Shilphy Afiattresna Octavia</t>
  </si>
  <si>
    <t>Ilham Maulana / Bpk Ervan</t>
  </si>
  <si>
    <t xml:space="preserve">Jl. Medokan Asri Barat MA-1F No.16, KOTA SURABAYA, RUNGKUT, JAWA TIMUR, ID, 60295
</t>
  </si>
  <si>
    <t>2103223JR5CM69</t>
  </si>
  <si>
    <t xml:space="preserve"> JP6055623957</t>
  </si>
  <si>
    <t>winda sulistyowati</t>
  </si>
  <si>
    <t>Jl. Sunan Giri no 2A Tuban Kab. Tuban 62314
Jawa Timur</t>
  </si>
  <si>
    <t>Arsitektur Kota, Perancangan Kota, Dan Ruang Terbuka Hijau</t>
  </si>
  <si>
    <t>Noor Hamidah &amp; Mahdi Santoso</t>
  </si>
  <si>
    <t>INV/20210322/MPL/1120487314</t>
  </si>
  <si>
    <t>adrian benedict wijaya</t>
  </si>
  <si>
    <t>Jl. Pegadaian Bolu (Klinik kinaya) Rantepao, toraja utara Tallunglipu Kab. Toraja Utara 91832
Sulawesi Selatan</t>
  </si>
  <si>
    <t>Nuri Fitriyani</t>
  </si>
  <si>
    <t>Kp. jati Rt 001/003 kontrakan haji jayadi Banten Kota Tangerang Cibodas Indonesia Kota Tangerang</t>
  </si>
  <si>
    <t>paulus mendrofa</t>
  </si>
  <si>
    <t>Jl. Adisucipto blok aa no.9 008/009 · Jatisari Jawa Barat Kota Bekasi Jatiasih Indonesia Kota Bekasi</t>
  </si>
  <si>
    <t>Idham</t>
  </si>
  <si>
    <t>Grand Depok City Sektor Melati Blok B1/7
  Kecamatan: Jatimulya
  Kabupaten/Kota: Cilodong, Depok
  Provinsi: Jawa Barat</t>
  </si>
  <si>
    <t>Analisis Dan Desain Penyearah DC Dengan Simulasi PSPICE</t>
  </si>
  <si>
    <t>Sudirman Syam &amp; Sri Kurniati A.</t>
  </si>
  <si>
    <t>arvianto Eko nugroho</t>
  </si>
  <si>
    <t xml:space="preserve">jl. Puspiptek raya, komplek Puri Serpong 1, blok c2 nomor 8, Kota tangerang selatan.
  Kecamatan: setu
  Kabupaten/Kota: Tangerang selatan
  Provinsi: Banten </t>
  </si>
  <si>
    <t>Milenia Safitri</t>
  </si>
  <si>
    <t>Jl.Tutul No.10 RT 12 RW 04 Papringan Caturtunggal Depok Sleman Yogyakarta 55281 , KAB. SLEMAN, DEPOK, DI YOGYAKARTA, ID, 55282</t>
  </si>
  <si>
    <t>Produk dari Generasi ke Generasi</t>
  </si>
  <si>
    <t>Tatbita Titin Suhariyanto &amp; Muhammad Faishal</t>
  </si>
  <si>
    <t>Metode Riset Penelitian Kuantitatif Penelitian Di Bidang Manajemen, Teknik, Pendidikan Dan Eksperimen</t>
  </si>
  <si>
    <t>Slamet Riyanto &amp; Aglis Andhita Hatmawan</t>
  </si>
  <si>
    <t>Ulwa Gandes</t>
  </si>
  <si>
    <t>SLB YPAC surakarta, jl Slamet Riyadi 364A
  Kecamatan: Penumping
  Kabupaten/Kota: Laweyan
  Provinsi: Surakarta</t>
  </si>
  <si>
    <t>Sukran</t>
  </si>
  <si>
    <t>Jln bogowonto RT 11 no 4a Padang harapan kelurahan Padang harapan kecamatan gading Cempaka, KOTA BENGKULU, GADING CEMPAKA, BENGKULU, ID, 38225</t>
  </si>
  <si>
    <t>“Say It” Basic Pronounciation: Melatih Pengucapan Bahasa Inggris dari Dasa</t>
  </si>
  <si>
    <t>Gunawan Tambunsaribu, S.S., M.Hum.</t>
  </si>
  <si>
    <t>Hayatullah Kurniadi</t>
  </si>
  <si>
    <t xml:space="preserve">Jl. Uka, garuda Sakti, Panam Perumahan Green Tsabita Blok O9, KOTA PEKANBARU, TAMPAN, RIAU, ID, 28296
</t>
  </si>
  <si>
    <t>Rima Mardiyani Yunita</t>
  </si>
  <si>
    <t>Ko. Cisereh RT/RW 02/06 Desa Kadu Jaya Kecamatan Curug Kabupaten Tangerang ID 15810
Curug
Kabupaten Tangerang
Banten</t>
  </si>
  <si>
    <t>Keterampilan Menulis</t>
  </si>
  <si>
    <t>Aryanti Agustina dan Dewi Lestari</t>
  </si>
  <si>
    <t>Analisis Kesalahan Berbahasa (Sebuah Pendekatan dalam Pengajaran Bahasa)</t>
  </si>
  <si>
    <t>Mantasiah R. dan Yusri</t>
  </si>
  <si>
    <t>Perumahan Salingka Bungo Permai 1 Blok H/7 kecamatan koto tangah, kelurahan bungo pasang, kota Padang
Koto Tangah
Kota Padang
Sumatera Bara</t>
  </si>
  <si>
    <t>Ekonomi Sumber Daya Manusia, Kemiskinan dan Kesehatan Perspektif di Indonesia</t>
  </si>
  <si>
    <t>Dr. Sitti Rahmawati, S.E., M.Si.</t>
  </si>
  <si>
    <t>Sugeng Widodo</t>
  </si>
  <si>
    <t>FISIP Universitas Kadiri Jln. Selomangleng no 1. Desa Pojok, Kec. Mojoroto Kota Kediri. Jatim</t>
  </si>
  <si>
    <t>Gheasandra</t>
  </si>
  <si>
    <t>Perum citalang indah blok B no 13 RT/RW 19/05, KAB. PURWAKARTA, PURWAKARTA, JAWA BARAT, ID, 41115</t>
  </si>
  <si>
    <t>Ratna Al Mungalimah</t>
  </si>
  <si>
    <t>Rumah ibu eneng marfuah Kp.ciloasari Rt 01 Rw 01 Ds.Cibening Kec.Bungursari Kab.Purwakarta Kode pos 41182
Bungursari
Kabupaten Purwakarta
Jawa Barat</t>
  </si>
  <si>
    <t>Ibu ana</t>
  </si>
  <si>
    <t>Apa Yang Harus Ditanyakan Kepada Ahli Digital Forensics ? (Panduan Bagi Praktisi Hukum)</t>
  </si>
  <si>
    <t>Rizky Aulia Cahyadri</t>
  </si>
  <si>
    <t>arif</t>
  </si>
  <si>
    <t>venty Hartiny</t>
  </si>
  <si>
    <t>Panca in Dira</t>
  </si>
  <si>
    <t>Robby Fibrianto Sirait</t>
  </si>
  <si>
    <t>JTR</t>
  </si>
  <si>
    <t>63 Tokoh Inspiratif Riau 2020</t>
  </si>
  <si>
    <t>Mhd. Himsar</t>
  </si>
  <si>
    <t>Antologi Puisi Menanti dalam Sepi</t>
  </si>
  <si>
    <t>Muslihat</t>
  </si>
  <si>
    <t>Hatiku Terbagi</t>
  </si>
  <si>
    <t>Susiyati</t>
  </si>
  <si>
    <t>Bulan dalam Cangkir</t>
  </si>
  <si>
    <t>Indrayani Indra</t>
  </si>
  <si>
    <t xml:space="preserve">Semiotika Orang-Orang Proyek (Simbol Konflik Novel Orang-Orang Proyek Karya Ahmad Tohari Perspektif Semiotika Peirce) 
</t>
  </si>
  <si>
    <t>Ma’mun</t>
  </si>
  <si>
    <t>TO LETTA KISAH DARI PINRANG UTARA EDISI REVISI</t>
  </si>
  <si>
    <t>Sukri Sikin</t>
  </si>
  <si>
    <t>Konsep To Jolo</t>
  </si>
  <si>
    <t>Sukri Sikki</t>
  </si>
  <si>
    <t xml:space="preserve">Tradisi Katoba Pada Masyarakat Etnis Muna: Makna, Nilai, Dan Strategi Pelestariannya 
</t>
  </si>
  <si>
    <t>Ardianto, Rukmina Gonibala, &amp; Hadirman</t>
  </si>
  <si>
    <t xml:space="preserve">Format Masa Depan (Catatan Hukum Dan Demokrasi Indonesia) 
</t>
  </si>
  <si>
    <t>Muammar Arafat Yusmad</t>
  </si>
  <si>
    <t xml:space="preserve">Inventarisasi dan Model Pemanfaatan Kulong di Bangka Belitung 
</t>
  </si>
  <si>
    <t>Fadillah Sabri, Taufik Aulia &amp; M. Novriyansyah</t>
  </si>
  <si>
    <t xml:space="preserve">Pengembangan Kawasan Penyangga Eksploitasi Blok Masela di Kabupaten Maluku Barat Daya Edisi Revisi
</t>
  </si>
  <si>
    <t>Steven Siaila, dkk</t>
  </si>
  <si>
    <t xml:space="preserve">Perspektif Pendidikan dalam Bingkai Ilmu dan Tokoh 
</t>
  </si>
  <si>
    <t xml:space="preserve">Paraplegia Romansa di Balik Peristiwa Penyerangan DI/TII 
</t>
  </si>
  <si>
    <t xml:space="preserve">Harmita Sari dan Suhardi M. Anwar 
</t>
  </si>
  <si>
    <t>Jl.  Jatipadang raya gg nurul iman rt 06 rw 03 no 52 pasar minggu Jakarta Selatan 12554</t>
  </si>
  <si>
    <t>Otak Rote: Perspektif Kehidupan Sosial Politik Orang Rote</t>
  </si>
  <si>
    <t>Leksi S.Y. Ingguoe</t>
  </si>
  <si>
    <t>Jl.  Jatipadang raya gg nurul iman rt 06 rw 03 no 52 pasar minggu Jakarta Selatan 12555</t>
  </si>
  <si>
    <t>Intan Arum Sari</t>
  </si>
  <si>
    <t>Dharma Wacana Metro, Jalan Kenanga No.3, Mulyojati, Metro Barat (Gedung Perpustakaan), KOTA METRO, METRO BARAT, LAMPUNG, ID, 34125</t>
  </si>
  <si>
    <t>Manajemen Perpustakaan</t>
  </si>
  <si>
    <t>Lubis</t>
  </si>
  <si>
    <t>sasa</t>
  </si>
  <si>
    <t>Sidokepung graha duta A-3 (Nomor 3dari depan) , KAB. SIDOARJO, BUDURAN, JAWA TIMUR, ID, 61252</t>
  </si>
  <si>
    <t>Padang Tri Handoyo</t>
  </si>
  <si>
    <t>JL.Raya Ciporos Rt 04/Rw 05 Kec.Karangpucung,Kab.Cilacap, Jawa Tengah, 53255, KAB. CILACAP, KARANGPUCUNG, JAWA TENGAH, ID, 53255</t>
  </si>
  <si>
    <t>Panduan Praktis Penulisan Resep Bagi Dokter</t>
  </si>
  <si>
    <t>dr. Trully D.R. Sitorus., M.Si., Sp.FK, Istriati, Kuswinarti, Muhammad Hasan Bashari</t>
  </si>
  <si>
    <t>Yeni Sugianti,</t>
  </si>
  <si>
    <t>Pematang Reba Gerbang Sari, Gang Mayang Sari, RT.1/RW.3, Pematang Reba, Rengat Barat , KAB. INDRAGIRI HULU, RENGAT BARAT, RIAU, ID, 29351</t>
  </si>
  <si>
    <t>Buku English Fast Zero to Hero </t>
  </si>
  <si>
    <t>Nurul Fitriainul Hayat</t>
  </si>
  <si>
    <t>Dsn Cimalela, RT.1/RW.6, Mulyajaya, Wado , KAB. SUMEDANG, WADO, JAWA BARAT, ID, 45373</t>
  </si>
  <si>
    <t>Bustanul Arifin Noer</t>
  </si>
  <si>
    <t>Teknik Hidrodinamika II blok T-30 Perumahan ITS, Sukolilo, Surabaya, Jawa Timur, 60111</t>
  </si>
  <si>
    <t>Buku Belajar Microsoft Office (Word, Excel, Powerpoint) 2019 Dengan Mudah Dan Menyenangkan</t>
  </si>
  <si>
    <t>Johnie Rogers Swanda Pasaribu, S.Kom., M.Kom.</t>
  </si>
  <si>
    <t>Ram</t>
  </si>
  <si>
    <t>Perum Taman Melati, Jl Melati timur raya , blok BE no. 3A, pengasinan ,sawangan,kota depok, Sawangan, Depok, Jawa Barat, 16518</t>
  </si>
  <si>
    <t>Ilham M</t>
  </si>
  <si>
    <t>JL. RHS SANCA KUSUMA NO. 73 RT. 08/16 DESA/KEL. SANGKALI/TANJUNG PURA KEC. KARAWANG BARAT KAB/KOTA. KARAWANG JAWA BARAT, Karawang Barat, Karawang, Jawa Barat, 41316</t>
  </si>
  <si>
    <t>Limbah Bahan Berbahaya dan Beracun</t>
  </si>
  <si>
    <t>juliana</t>
  </si>
  <si>
    <t>ark. cluster platinum 2 no 50 · Lengkong Karya Banten Kota Tangerang Selatan Serpong Utara Indonesia Kota Tangerang Selatan</t>
  </si>
  <si>
    <t>Ngobrol Bareng Semar (Pitutur Romo Semar Kepada Bagong)</t>
  </si>
  <si>
    <t>Yuda, Jack &amp; Wisnu</t>
  </si>
  <si>
    <t>Putri Munggarani Rahayu</t>
  </si>
  <si>
    <t xml:space="preserve"> SMK Pertiwi Sukamandi Dusun Margamulya Gg.10 Kompleks BTN Sukamandi · Ciasem Girang Jawa Barat Kab. Subang Ciasem Indonesia Kab. Subang</t>
  </si>
  <si>
    <t>Shopee</t>
  </si>
  <si>
    <t>Akbar wahyudi</t>
  </si>
  <si>
    <t xml:space="preserve">Jl. Perintis kemerdekaan No. 149, Tj. Gading, Kec. Tj. Karang Timur, Kota Bandar Lampung., KOTA BANDAR LAMPUNG, TANJUNG KARANG TIMUR, LAMPUNG, ID, 35121
</t>
  </si>
  <si>
    <t>SEPTYA ARYA Arsita</t>
  </si>
  <si>
    <t xml:space="preserve">Guyangan RT 06 RW 01 , KAB. GROBOGAN, GODONG, JAWA TENGAH, ID, 58162
</t>
  </si>
  <si>
    <t>Eka Komalasari</t>
  </si>
  <si>
    <t>Jalan Setia Sari no. 10A. (Pagar warna coklat kuning). Kelurahan Tangkerang Selatan, KOTA PEKANBARU, BUKIT RAYA, RIAU, ID, 28282</t>
  </si>
  <si>
    <t>Bela syafariyah</t>
  </si>
  <si>
    <t>Jl. Suterejo no 21b, kebarat masjid Al ikhsan rumah putih samping warkop, KOTA SURABAYA, MULYOREJO, JAWA TIMUR, ID, 60113</t>
  </si>
  <si>
    <t>Firman Agustriandri</t>
  </si>
  <si>
    <t>Jl. Piere Tendean, Kec. Bondowoso, Kabupaten Bondowoso, Jawa Timur [Tokopedia Note: No. 7 RT. 28 RW. 04 Kelurahan Badean] Bondowoso Kab. Bondowoso 68214
Jawa Timur</t>
  </si>
  <si>
    <t>Perum Taman Melati, Jl Melati timur raya , blok BE no. 3A, pengasinan ,sawangan,kota depok, Sawangan, Depok, Jawa Barat, 16519</t>
  </si>
  <si>
    <t>Penerapan Algoritma C4.5 untuk Prediksi Kepuasan Mahasiswa Tahun 2020</t>
  </si>
  <si>
    <t>Anief Rufiyanto, Muhammad Rochcham &amp; Abdul Rohman</t>
  </si>
  <si>
    <t>Siti fatimah</t>
  </si>
  <si>
    <t xml:space="preserve"> Jl kalimutu, No 1 trans bangun ( rumah pertama cat biru) RT 9 09/000 · Bebanir (Sei Bebanir Bangun) Kalimantan Timur Kab. Berau Sambaliung Indonesia Kab. Berau</t>
  </si>
  <si>
    <t>Tatag Bagus Narendra</t>
  </si>
  <si>
    <t>Kanwil BPN Prov Bengkulu
Jl. Basuki Rahmat No. 7
Ratu Agung
Kota Bengkulu
Bengkulu
38229</t>
  </si>
  <si>
    <t>Pemberdayaan Masyarakat</t>
  </si>
  <si>
    <t>Dedeh Maryani dan Ruth Roselin E. Nainggolan</t>
  </si>
  <si>
    <t>Kanwil BPN Prov Bengkulu
Jl. Basuki Rahmat No. 7
Ratu Agung
Kota Bengkulu
Bengkulu
38230</t>
  </si>
  <si>
    <t>Kanwil BPN Prov Bengkulu
Jl. Basuki Rahmat No. 7
Ratu Agung
Kota Bengkulu
Bengkulu
38231</t>
  </si>
  <si>
    <t>Penanggulangan Kemiskinan dan Pemberdayaan Masyarakat</t>
  </si>
  <si>
    <t>Ardito Bhinadi</t>
  </si>
  <si>
    <t>Kanwil BPN Prov Bengkulu
Jl. Basuki Rahmat No. 7
Ratu Agung
Kota Bengkulu
Bengkulu
38232</t>
  </si>
  <si>
    <t>Program-Program Pemberdayaan Masyarakat di Provinsi Sulawesi Tengah Membangun Paradigma Berbasis Modal dan Paradigma Berbasis Nilai</t>
  </si>
  <si>
    <t>Moh. Ahlis Djirimu</t>
  </si>
  <si>
    <t>UPT PERPUSTAKAAN Universitas Negeri Yogyakarta</t>
  </si>
  <si>
    <t xml:space="preserve">
Jalan Colombo No. 1 Kampus Karangmalang, Sleman, Daerah Istimewa Yogyakarta
Depok
Kabupaten Sleman
Daerah Istimewa Yogyakarta</t>
  </si>
  <si>
    <t>Metode Penelitian Kuantitatif</t>
  </si>
  <si>
    <t>Adhi Kusumastuti, Ahmad Mustamil Khoiron &amp; Taofan Ali Achmadi</t>
  </si>
  <si>
    <t>Hj.Rosdiyana</t>
  </si>
  <si>
    <t>TOKO BUKU PADANG ARAFAH JLN SERAYU RAYA NMR 9 BTN KEKALEK MATARAM .,KECAMATAN MATARAM KOTA MATARAM LOMBOK</t>
  </si>
  <si>
    <t>Buku Ajar Konsep-Konsep Dasar Dalam Keperawatan Komunitas</t>
  </si>
  <si>
    <t>M. Agung Akbar</t>
  </si>
  <si>
    <t>indah cargo</t>
  </si>
  <si>
    <t>Dasar–Dasar Penginderaan Jauh Dan Aplikasinya Pada Bidang Pertanian</t>
  </si>
  <si>
    <t>Tinjauan Psikologi Hukum dalam Perlindungan Anak</t>
  </si>
  <si>
    <t>Vilta Biljana Bernadethe Lefaan dan Yana Suryana</t>
  </si>
  <si>
    <t>Teknologi Papan Komposit Diperkuat Serat Kulit Jagung</t>
  </si>
  <si>
    <t>Nasmi Herlina Sari</t>
  </si>
  <si>
    <t>Oxygen To Live</t>
  </si>
  <si>
    <t>Endah Kurniati</t>
  </si>
  <si>
    <t>Awal Mula Muslim Di Bali Kampung Loloan Jembrana Sebuah Entitas Kuno</t>
  </si>
  <si>
    <t>H. Bagenda Ali</t>
  </si>
  <si>
    <t>R. Widodo Dwi Pramono &amp; Ratna Eka Suminar</t>
  </si>
  <si>
    <t>Perancangan Alat Proses Tekuk (Teori Dan Aplikasi)</t>
  </si>
  <si>
    <t>Muhammad Arsyad Suyuti, Rusdi Nur &amp; Muhammad Iswar</t>
  </si>
  <si>
    <t>Rama's Story : Gita Death Sentence</t>
  </si>
  <si>
    <t>Cancan Ramadhan</t>
  </si>
  <si>
    <t>Skenario Pengelolaan Sumber Daya Lahan Kering: Menuju Pertanian Berkelanjutan</t>
  </si>
  <si>
    <t>Rupa Matheus</t>
  </si>
  <si>
    <t>Penilaian Berbasis Perangkat Lunak Menuju Paperless Assessment</t>
  </si>
  <si>
    <t>Ibnu Fazar</t>
  </si>
  <si>
    <t>Regulasi Desa</t>
  </si>
  <si>
    <t>R. Widodo Triputro</t>
  </si>
  <si>
    <t>Interpretasi Wisata Alam: Perencanaan Interpretasi Wisata Alam Terpandu dan Mandiri</t>
  </si>
  <si>
    <t>Purwoko Agung Nugroho</t>
  </si>
  <si>
    <t>Tanaman Tembakau Pada Cekaman Genangan</t>
  </si>
  <si>
    <t>Tutik Nurhidayati, Hery Purnobasuki dan Sucipto Hariyanto</t>
  </si>
  <si>
    <t>Langkah Demi Langkah Membangun Penjaminan Mutu Perguruan Tinggi</t>
  </si>
  <si>
    <t>Dwi Cahyono dan Ismail Suardi Wekke</t>
  </si>
  <si>
    <t>Manajemen Bisnis Purnabakti</t>
  </si>
  <si>
    <t>Anggono Raras</t>
  </si>
  <si>
    <t>Pendidikan Karakter FAST (Fathonah, Amanah, Shiddiq, Tabligh) Dan Implementasinya Di Sekolah</t>
  </si>
  <si>
    <t>Eni Setyowati</t>
  </si>
  <si>
    <t>Teori Dan Praktik Rangkaian Digital Dan Gelombang</t>
  </si>
  <si>
    <t>Estu Sinduningrum</t>
  </si>
  <si>
    <t>Papua Memanggil (Sepenggal Kisah Dari Pedalaman Papua)</t>
  </si>
  <si>
    <t>I Made Suarbawa Diasa</t>
  </si>
  <si>
    <t>Bahasa Anak Usia Dini</t>
  </si>
  <si>
    <t>Rita Kurnia</t>
  </si>
  <si>
    <t>Jabon Merah</t>
  </si>
  <si>
    <t>Faisal Danu Tuheteru, Husna dan Wa Ode Yusria</t>
  </si>
  <si>
    <t>Penelitian Tindakan Kelas (Sebagai Upaya Peningkatan Kualitas Pembelajaran, Profesionalisme Guru Dan Kompetensi Belajar Siswa)</t>
  </si>
  <si>
    <t>Anjani Putri Belawati Pandiangan</t>
  </si>
  <si>
    <t>Pendidikan Masyarakat Berbasis Masjid</t>
  </si>
  <si>
    <t>Suhairi Umar</t>
  </si>
  <si>
    <t>Programme For International Students Assessments (PISA): Pembahasan Proses Penyelesaian Dan Contoh Penyelesaian Guru, Mahasiswa Pendidikan Matematika, Dan Siswa</t>
  </si>
  <si>
    <t>Pengaruh Hutan Dan Pengelolaan Daerah Aliran Sungai</t>
  </si>
  <si>
    <t>Ria Rosdiana Hutagaol</t>
  </si>
  <si>
    <t>Epidemiologi Kesehatan Lingkungan</t>
  </si>
  <si>
    <t>Odi R. Pinontoan, Oksfriani J. Sumampouw &amp; Jeini E. Nelwan</t>
  </si>
  <si>
    <t>Kami Peternakan Kami Bangga: Kisah Inspiratif Mahasiswa Peternakan UNHAS Berprestasi</t>
  </si>
  <si>
    <t>Ed: Arsan Fitri</t>
  </si>
  <si>
    <t>Jangan Takut Kuliah Sambil Berorganisasi</t>
  </si>
  <si>
    <t>Muliadi Anangkota</t>
  </si>
  <si>
    <t>Kelor Tanaman Ajaib Untuk Kehidupan Yang Lebih Sehat</t>
  </si>
  <si>
    <t>Nurrochmat Nadjib Affandi</t>
  </si>
  <si>
    <t>Mekanika Rekayasa Ilmu Dasar Teknik Sipil</t>
  </si>
  <si>
    <t>Moh Nur Sholeh</t>
  </si>
  <si>
    <t>Manajemen Sumber Daya Pembelajaran Bahasa Berbantuan Komputer (Computer Assisted Language Learning)</t>
  </si>
  <si>
    <t>Amri Tanduklangi &amp; Carlina Amri</t>
  </si>
  <si>
    <t>Buku Ajar Kesehatan Masyarakat Pesisir Dan Kelautan</t>
  </si>
  <si>
    <t>Oksfriani Jufri Sumampouw</t>
  </si>
  <si>
    <t>Buku Ajar Sosiologi Politik Seri : Pemilihan Umum Serentak Di Indonesia</t>
  </si>
  <si>
    <t>Yusnedi dan Sabrina Utami</t>
  </si>
  <si>
    <t>Business Ethics And Entrepreneurship (Etika Bisnis Dan Kewirausahaan)</t>
  </si>
  <si>
    <t>Saban Echdar dan Maryadi</t>
  </si>
  <si>
    <t>Bisnis dan Perencanaan Bisnis Baru “3PNR Dayak Onion Cookies” Kue Kering Berbasis Bawang Dayak (Tanaman Obat Endemik Kalimantan)</t>
  </si>
  <si>
    <t>Dian Masita Dewi dan Anis Wahdi</t>
  </si>
  <si>
    <t>Kumpulan Esai Anak-Anak Sungai: Sketsa Masyarakat Bantaran Sungai Dalam Perspektif Bimbingan dan Konseling</t>
  </si>
  <si>
    <t>Audra Maidah Hasanah, dkk</t>
  </si>
  <si>
    <t>Merakit Sendiri Generator Radial Tiga Fasa Skala Rumah Tangga Daerah Terpencil</t>
  </si>
  <si>
    <t>Ronny Dwi Agusulistyo, dkk</t>
  </si>
  <si>
    <t>Penerapan Teknologi Augmented Reality Dan GPS Tracking Untuk Deteksi Jalan Rusak</t>
  </si>
  <si>
    <t>Siti Asmiatun, Nur Wakhidah dan Astrid Novita Putri</t>
  </si>
  <si>
    <t>Yanli Oktapia V.</t>
  </si>
  <si>
    <t>Jln. Tamanggung Panji Ruko IV Gereja Estomihi (depan Gereja Estomihi) Kurun Kab. Gunung Mas 74511
Kalimantan Tengah</t>
  </si>
  <si>
    <t>Riset Dan Pengembangan Sediaan Obat Nanopartikel Penyembuhan Ulkus Diabetikum Yang Mengandung Hegf Hasil Teknologi Protein Rekombinan Menggunakan E. Coli BL21 Secara Ekstraseluler</t>
  </si>
  <si>
    <t>Sriwidodo, dkk</t>
  </si>
  <si>
    <t>Buku Ajar Kelainan Tiroid</t>
  </si>
  <si>
    <t>Prof. dr. Azamris, Sp.B(K)Onk.</t>
  </si>
  <si>
    <t>Dayak Ngaju &amp; Kritik Hukum Agraria Di Indonesia</t>
  </si>
  <si>
    <t>Ainun Aslamiah</t>
  </si>
  <si>
    <t>Agus Isdiyanto</t>
  </si>
  <si>
    <t>Okta Azhari</t>
  </si>
  <si>
    <t>Jalan Cibarengkok No 24 Rt 04 Rw 06 kel Sukabungah Kec Sukajadi , KOTA BANDUNG, SUKAJADI, JAWA BARAT, ID, 40162</t>
  </si>
  <si>
    <t>Manajemen Arsip Statis</t>
  </si>
  <si>
    <t>Sattar, S.E., M.Si.</t>
  </si>
  <si>
    <t>Dedy</t>
  </si>
  <si>
    <t>Widya Group
Jl. Palagan Tentara Pelajar KM 7.5 No.31A, Mudal, Sariharjo
Ngaglik
Kabupaten Sleman
Daerah Istimewa Yogyakarta</t>
  </si>
  <si>
    <t>PEMBELAJARAN MEKATRONIKA BERBASIS PROYEK</t>
  </si>
  <si>
    <t>Noor Cholis Basjaruddin</t>
  </si>
  <si>
    <t>Ibu Dian</t>
  </si>
  <si>
    <t>Jl bukit firdaus no 8 gerlong Permai ciwaruga bandung barat 40559</t>
  </si>
  <si>
    <t>Model Reward Dan Punishment Perspektif Pendidikan Islam</t>
  </si>
  <si>
    <t>Halim Purnomo, Husnul Khotimah Abdi</t>
  </si>
  <si>
    <t>ismadi</t>
  </si>
  <si>
    <t>Asri Blok G7 no 11 Rajeg Tangerang Banten Banten Kab. Tangerang Rajeg Indonesia Kab. Tangerang</t>
  </si>
  <si>
    <t>Pemasaran Jasa (Strategi, Mengukur Kepuasan Dan Loyalitas Pelanggan)</t>
  </si>
  <si>
    <t>Didin Fatihudin &amp; Anang Firmansyah</t>
  </si>
  <si>
    <t>. Jln puteri kembang dadar rt 51 rw 01 no. 279 tanjung pulai kelurahan bukit lama kec ilir barat I palembang 30139</t>
  </si>
  <si>
    <t>Vivi Dian Pratiwi</t>
  </si>
  <si>
    <t>Asrama Polri Pasar Baru, Jalan Ks Tubun, RT.4/RW.4, Pasarbaru, Karawaci, KOTA TANGERANG, KARAWACI, BANTEN, ID, 15112</t>
  </si>
  <si>
    <t>Hesti Wulandari</t>
  </si>
  <si>
    <t xml:space="preserve">Jln Bkp bukit kemiling permai blok T 18 kecamatan kemiling 35153 (SALSABILA KOST), KOTA BANDAR LAMPUNG, KEMILING, LAMPUNG, ID, 35153
</t>
  </si>
  <si>
    <t>Nisa najwa</t>
  </si>
  <si>
    <t>Samping SDN 02 morokono, KOTA SEMARANG, GUNUNGPATI, JAWA TENGAH, ID, 50225</t>
  </si>
  <si>
    <t xml:space="preserve">Warung Makan Mawar ( Ibu Halimah) , Jl. Gn. Kelir RT 07 RW 03, Kec. Tugu, Kota Semarang, Jawa Tengah, 50152 </t>
  </si>
  <si>
    <t>Annisa Ritasari</t>
  </si>
  <si>
    <t>Universitas Islam Indonesia
Kaliurang Street No. 14,5, Ngemplak, Sleman
Ngaglik
Kabupaten Sleman
Daerah Istimewa Yogyakarta
55584</t>
  </si>
  <si>
    <t>Teori N-Green : Mempertemukan Psikologi Hijau dan Arsitektur Hijau di Ruang Publik Perkotaan</t>
  </si>
  <si>
    <t>Deddy Kurniawan Halim, Ph.D.</t>
  </si>
  <si>
    <t>Universitas Islam Indonesia
Kaliurang Street No. 14,5, Ngemplak, Sleman
Ngaglik
Kabupaten Sleman
Daerah Istimewa Yogyakarta
55585</t>
  </si>
  <si>
    <t>Universitas Islam Indonesia
Kaliurang Street No. 14,5, Ngemplak, Sleman
Ngaglik
Kabupaten Sleman
Daerah Istimewa Yogyakarta
55586</t>
  </si>
  <si>
    <t>Arsitektur, Urbanitas, dan Pendidikan Budaya Berkota dari Surabaya menuju Bandung</t>
  </si>
  <si>
    <t>M. Syaom Barliana dan Diah Cahyani</t>
  </si>
  <si>
    <t>Universitas Islam Indonesia
Kaliurang Street No. 14,5, Ngemplak, Sleman
Ngaglik
Kabupaten Sleman
Daerah Istimewa Yogyakarta
55587</t>
  </si>
  <si>
    <t>Hutan Kota: Ruang Interaksi, Edukasi, Dan Rekreasi Masyarakat Kota</t>
  </si>
  <si>
    <t>Yulia Nurliani Lukito</t>
  </si>
  <si>
    <t>Universitas Islam Indonesia
Kaliurang Street No. 14,5, Ngemplak, Sleman
Ngaglik
Kabupaten Sleman
Daerah Istimewa Yogyakarta
55588</t>
  </si>
  <si>
    <t>Muhamad Septa</t>
  </si>
  <si>
    <t xml:space="preserve">Jl. Dr. Semeru Blok 54 RT001/002 kostan Pak Gur Kamar ujung kanan. Menteng Bogor Barat, KOTA BOGOR, BOGOR BARAT - KOTA, JAWA BARAT, ID, 16111
</t>
  </si>
  <si>
    <t>Pengantar Jaringan Komputer Pendekatan Praktis Untuk Pemula</t>
  </si>
  <si>
    <t>Agung Suprapto</t>
  </si>
  <si>
    <t>boy hidayat</t>
  </si>
  <si>
    <t>Perumahan Grabn Riscon Padjajaran
Blok E8 no. 24, Cimanggis, Bojong Gede kabupaten bogor</t>
  </si>
  <si>
    <t>Perlindungan Hukum Justice Collaborator Dalam Sistem Peradilan Pidana di Indonesia: Studi Perkara Tindak Pidana Narkotika</t>
  </si>
  <si>
    <t>Seniman Dakwah Potret Da’i Berwawasan Sosio-Antropologi</t>
  </si>
  <si>
    <t>Agus Ahmad Safei</t>
  </si>
  <si>
    <t>Archipelagic Tourism Dengan Pendekatan Pentaheli : 5 Pulau Dalam Kawasan Taman Nasional Bunaken Provinsi Sulawesi Utara</t>
  </si>
  <si>
    <t>Bet El Silisna Lagarense dan Agustinus Walansendow</t>
  </si>
  <si>
    <t>Denting Hening Antologi Puisi</t>
  </si>
  <si>
    <t>Marsidah</t>
  </si>
  <si>
    <t>Hujan Malam Ini</t>
  </si>
  <si>
    <t>Esti Suryani</t>
  </si>
  <si>
    <t>Barisan Kisah Kumpulan Puisi Karya Sutami</t>
  </si>
  <si>
    <t>Sutami</t>
  </si>
  <si>
    <t>Kesejahteraan Hidup Masyarakat Suku Laut Pulau Bertam</t>
  </si>
  <si>
    <t>Abd Rahman Ahmad, Khairunesa Isa dan Meri Enita Puspita Sari</t>
  </si>
  <si>
    <t>Identifikasi Kerentanan dan Inventarisasi Sumber Daya Pesisir Di Pesisir Barat Pulau Sumatera Studi Kasus : Kabupaten Agam Dan Kabupaten Pasaman Barat</t>
  </si>
  <si>
    <t>Herdiana Mutmainah dan Novi Andhi Setyo Purwono</t>
  </si>
  <si>
    <t>hafilda Rifa</t>
  </si>
  <si>
    <t>Komplek Pasir Pogor Indah Blok AA No. 12 RT/RW 003/008, KOTA BANDUNG, RANCASARI, JAWA BARAT, ID, 40292</t>
  </si>
  <si>
    <t>Akbar Ramadhan</t>
  </si>
  <si>
    <t>Kp.Babakan Saputra RT03 RW05 Ds.Cikalong, KAB. BANDUNG, CIMAUNG, JAWA BARAT, ID, 40374</t>
  </si>
  <si>
    <t>Pena permana</t>
  </si>
  <si>
    <t>kp babakan rt 02/02 ds.cipinang kec.cimaung, KAB. BANDUNG, CIMAUNG, JAWA BARAT, ID, 40374</t>
  </si>
  <si>
    <t>Ester Mookaya</t>
  </si>
  <si>
    <t>Jalan Taman Jaya 1. Gadog Cianjur · Cipanas Jawa Barat Kab. Cianjur Cipanas Indonesia Kab. Cianjur</t>
  </si>
  <si>
    <t>Ujang Burhanudin</t>
  </si>
  <si>
    <t>DD3/10 rumah · Baloi Permai Kepulauan Riau Kota Batam Batam Kota Indonesia Kota Batam</t>
  </si>
  <si>
    <t>Kualitas Laporan Keuangan Dilengkapi dengan Hasil Penelitian Pada Lembaga Pemerintahan -</t>
  </si>
  <si>
    <t>Winna Roswinna</t>
  </si>
  <si>
    <t>INDRA PRAMANA</t>
  </si>
  <si>
    <t>Buana Residence Blok A no 2 RT 03 RW 21 Margawati Jawa Barat Kab. Garut Garut Kota Indonesia Kab. Garut</t>
  </si>
  <si>
    <t>Buku Ajar Energi dan Oprasi Tenaga Listrik Aplikasi ETAP</t>
  </si>
  <si>
    <t>Hestikah Eirene Patoding &amp; Matius Sau</t>
  </si>
  <si>
    <t>Deta permata cipta</t>
  </si>
  <si>
    <t xml:space="preserve">Villa bekasi indah 2 blok A4 no 23, KAB. BEKASI, TAMBUN SELATAN, JAWA BARAT, ID, 17510
</t>
  </si>
  <si>
    <t>Arief Fahmie</t>
  </si>
  <si>
    <t>Perumahan UII (blok 2 no 6), Jl Rejodani Prumpung, Sardonoharjo, Ngaglik, KAB. SLEMAN, NGAGLIK, DI YOGYAKARTA, ID, 55581</t>
  </si>
  <si>
    <t>Biblio Therapy Dua</t>
  </si>
  <si>
    <t>Dra. Sri Narti, M.Pd.</t>
  </si>
  <si>
    <t>panggi</t>
  </si>
  <si>
    <t xml:space="preserve">dsn.kedungwinong rt.03 rw.05 ds.jintel kec.rejoso kab.nganjuk, KAB. NGANJUK, REJOSO, JAWA TIMUR, ID, 64453
</t>
  </si>
  <si>
    <t>Model Pembelajaran Bahasa Arab</t>
  </si>
  <si>
    <t>Ismail Suardi Wekke, Ph.D.</t>
  </si>
  <si>
    <t>Fiqri Nurhadi</t>
  </si>
  <si>
    <t>l kesehatan gg sumber agung 2 sebelah kanan rumah ke 7
  Kecamatan: kota baru
  Kabupaten/Kota: pontianak
  Provinsi: kalimantan Barat</t>
  </si>
  <si>
    <t>mas Luki (gomex)</t>
  </si>
  <si>
    <t>Komplek Pondok Pesantren Miftahul Huda Pesawahan
  Kecamatan: Rawalo
  Kabupaten/Kota: Banyumas
  Provinsi: Jawa tengah</t>
  </si>
  <si>
    <t>Asruddin/ninik dp</t>
  </si>
  <si>
    <t>Jl. Provinsi KM. 50, RT 20 Ruko 4 Pintu, Babulu darat, Kec. Babulu, Kab. Penajam Paser Utara-Kaltim kode pos 76285</t>
  </si>
  <si>
    <t>Teori dan Aplikasi Penelitian Tindakan Kelas (PTK) + CD</t>
  </si>
  <si>
    <t>Zainal Aqib &amp; 
M. Chotibuddin</t>
  </si>
  <si>
    <t>Rizwandra Akbar</t>
  </si>
  <si>
    <t>Jalan DMC 4 no. 17, Jatiwaringin
  Kecamatan: Pondok gede
  Kabupaten/Kota: Kota Bekasi
  Provinsi: Jawa Barat</t>
  </si>
  <si>
    <t>Mega Silvia</t>
  </si>
  <si>
    <t xml:space="preserve">Jalan rachmadsyah gg karya no 9 kotamatsum III
Medan Kota
Kota Medan
Sumatera Utara
20215
</t>
  </si>
  <si>
    <t>Sales wan</t>
  </si>
  <si>
    <t xml:space="preserve">Desa Lawang Agung, KAB. MUSI RAWAS UTARA, RUPIT, SUMATERA SELATAN, ID, 31654
</t>
  </si>
  <si>
    <t>RT/RW:002/002.Kelurahan Sakti, Kec.Bua.(Belakang Kantor Camat Bua).Kabupaten Luwu. Provinsi Sulawesi Selatan.Kode Pos 91991.🙏</t>
  </si>
  <si>
    <t>Zakat dan Problematika Distribusi (Pola Efektif untuk Menyejahterakan Mustahiq dan Muzakki)</t>
  </si>
  <si>
    <t>Muh. Yusuf Qamaruddin &amp; Herman</t>
  </si>
  <si>
    <t>Rini</t>
  </si>
  <si>
    <t>Perumahan Debang Taman Sari, blok katlya no 84
  Kecamatan: Tanjung Sari
  Kabupaten/Kota: Medan
  Provinsi: Sumatera Utara</t>
  </si>
  <si>
    <t>Sel Kultur Dasar</t>
  </si>
  <si>
    <t>James</t>
  </si>
  <si>
    <t xml:space="preserve"> Jl.Buton No.1
  Kecamatan: Sumur Bandung
  Kabupaten/Kota: Bandung
  Provinsi: Jawa Barat</t>
  </si>
  <si>
    <t>sindy</t>
  </si>
  <si>
    <t xml:space="preserve"> jl. Yos sudarso no 58 km.10,5 samping PT. Apindo jaya (bengkel dinamo acui) 
  Kecamatan: medan deli
  Kabupaten/Kota: medan
  Provinsi: sumatera utara</t>
  </si>
  <si>
    <t>Komunikasi Pemasaran melalui Desain Visual</t>
  </si>
  <si>
    <t>Maria Fitriah</t>
  </si>
  <si>
    <t>Loyalitas PelangganPemasang Iklan Televisi dalam Acara Tembang Pantura</t>
  </si>
  <si>
    <t>Dr. Junaedi, S.E, M.M.</t>
  </si>
  <si>
    <t>Megawati</t>
  </si>
  <si>
    <t>Jln.Bengkalis I no.13 (ket : Seberang Bengkel KJM (pintu coklat kemerahan)), KOTA MEDAN, MEDAN TIMUR, SUMATERA UTARA, ID, 20231</t>
  </si>
  <si>
    <t>Akuntansi Dasar Buku Pintar Untuk Pemula</t>
  </si>
  <si>
    <t>Irmah Halimah Bachtiar &amp; Nurfadila</t>
  </si>
  <si>
    <t>Marjohan, M.Pd</t>
  </si>
  <si>
    <t>The Power of Three</t>
  </si>
  <si>
    <t>Saepurohman Udung</t>
  </si>
  <si>
    <t>Naily / Anwar</t>
  </si>
  <si>
    <t xml:space="preserve">Jl. H Muchtar Raya Gg.H Riyan RT.12/011, Petukangan Utara (Sebelah Warung Hijau) , KOTA JAKARTA SELATAN, PESANGGRAHAN, DKI JAKARTA, ID, 12260
</t>
  </si>
  <si>
    <t>DWI MUKTI OKTAVIANTO K</t>
  </si>
  <si>
    <t>dsn. Sukotirto Rt/Rw 003/001,Badang
  Kecamatan: Ngoro
  Kabupaten/Kota: Jombang
  Provinsi: Jawa timur</t>
  </si>
  <si>
    <t>Analisis Struktur Statis Tertentu</t>
  </si>
  <si>
    <t>Triono Subagio</t>
  </si>
  <si>
    <t>Alvin Jessen</t>
  </si>
  <si>
    <t>Jl. Sibolga Baru no 5C ( rumah didalam gang , rumah ke 3) lokasi di google maps di jalan terusan sibolga
  Kecamatan: medan timur
  Kabupaten/Kota: medan
  Provinsi: Sumatera Utara</t>
  </si>
  <si>
    <t>Ananda Mahardika</t>
  </si>
  <si>
    <t>Jalan Lintas Sumatera km.130 Dusun 3 Desa Petatal (Pecel Lele Lamongan Nasya)
  Kecamatan: Talawi
  Kabupaten/Kota: Batu Bara
  Provinsi: Sumatera Utara</t>
  </si>
  <si>
    <t xml:space="preserve">Memahami Advokasi Kebijakan: Konsep, Teori, dan Praktik dalam Mewujudkan Kebijakan yang Berpihak pada Publik 
</t>
  </si>
  <si>
    <t>Prama Magrawan Adimiharja</t>
  </si>
  <si>
    <t>Jl. Maleber Utara No. 43/287b Rt06 Rw07 Maleber, 40184
  Kecamatan: Andir
  Kabupaten/Kota:Bandung
  Provinsi: Bandung</t>
  </si>
  <si>
    <t>Mamberamo Foja Dari Suaka Margasatwa Menuju Taman Nasional</t>
  </si>
  <si>
    <t>Meilisa.O</t>
  </si>
  <si>
    <t>Jl. Bukit Barisan No. 3 GHI (dua rumah disebelah YES248,  mohon telepon dahulu) 
  Kecamatan: Medan Barat
  Kabupaten/Kota: Kota Medan
  Provinsi: Sumatera Utara</t>
  </si>
  <si>
    <t>taufik</t>
  </si>
  <si>
    <t>Toko Buku Diskon BBC PALASARI 2. Gd Bbc . Jalan Palasari no 40
  Kecamatan: malabar
  Kabupaten/Kota: bandung
  Provinsi: jabar</t>
  </si>
  <si>
    <t>Riski</t>
  </si>
  <si>
    <t>Jalan Pasar VII Tengah Gang Keluarga No.4, Percut Sei Tuann , KAB. DELI SERDANG, PERCUT SEI TUAN, SUMATERA UTARA, ID, 20371</t>
  </si>
  <si>
    <t xml:space="preserve">Manajemen Pendidikan (Teori Dan Praktik Dalam Penyelenggaraan Sistem Pendidikan Nasional) 
</t>
  </si>
  <si>
    <t>waridi</t>
  </si>
  <si>
    <t>rumah rt 01 rw 01 sukorame gandusari trenggalek · Sukorame Jawa Timur Kab. Trenggalek Gandusari Indonesia Kab. Trenggalek</t>
  </si>
  <si>
    <t>Cinta dan Perjuangan</t>
  </si>
  <si>
    <t>Aristo Lamboru Landukati</t>
  </si>
  <si>
    <t>Lely</t>
  </si>
  <si>
    <t>Jl. Cilenggang 1 (Pemancingan Ranca gadung) RT 04/RW 02 (RUMAH BAPAK JAHIMAN PEMANCINGAN RANCA GADUNG) Banten Kota Tangerang Selatan Serpong Indonesia Kota Tangerang Selatan</t>
  </si>
  <si>
    <t xml:space="preserve">Pembelajaran Sastra Indonesia Sebagai Wadah Pendidikan Budaya dan Karakter Bangsa 
</t>
  </si>
  <si>
    <t>Dra. Rosnawati, M.Hum.</t>
  </si>
  <si>
    <t>Sri Prabandari</t>
  </si>
  <si>
    <t>Desa Karangmulyo, rt 03 rw 01
  Kecamatan: Purwodadi
  Kabupaten/Kota: Purworejo
  Provinsi: Jawa Tengah</t>
  </si>
  <si>
    <t xml:space="preserve">Kiat Sukses Meningkatkan Disiplin Siswa
</t>
  </si>
  <si>
    <t>Helmi Purnama</t>
  </si>
  <si>
    <t>Bukit Cimanggu City, Cluster Hills Park View Blok EE5/5 Kelurahan Suka Damai
  Kecamatan: Tanah Sareal
  Kota: Bogor
  Provinsi: Jawa Barat</t>
  </si>
  <si>
    <t>Manajemen Konflik Sumber Daya Alam Penanganan Konflik Secara Detail Cepat dan Tepat Berbasis Pengalaman 13 Tahun</t>
  </si>
  <si>
    <t>M. Rawa El Amady</t>
  </si>
  <si>
    <t>Sekilas Tentang Hukum Jaminan (Hak Jaminan, Hak Tanggungan dan Eksekusi Hak
Tanggungan)</t>
  </si>
  <si>
    <t>Hukum Pidana Pajak Indonesia (Materiil dan Formil)</t>
  </si>
  <si>
    <t>Timbo Mangaranap Sirait</t>
  </si>
  <si>
    <t>Ulhaq</t>
  </si>
  <si>
    <t xml:space="preserve">Gedongarum kanor Bojonegoro rt.01 rw.03 depan MI, KAB. BOJONEGORO, KANOR, JAWA TIMUR, ID, 62193
</t>
  </si>
  <si>
    <t>210411RGNHDVMH</t>
  </si>
  <si>
    <t> JP8838894461</t>
  </si>
  <si>
    <t>Jalan rachmadsyah gg karya no 9 kotamatsum III
Medan Kota
Kota Medan
Sumatera Utara
20215</t>
  </si>
  <si>
    <t xml:space="preserve">Loyalitas Nasabah Bank Syariah: Studi Atas Religitas, Kualitas Layanan, Trust, Dan Loyalitas
</t>
  </si>
  <si>
    <t>Soegeng Wahyoedi &amp; Saparso</t>
  </si>
  <si>
    <t>Pengaturan Kewenangan KPK dan Polri dalam Penyidikan Tindak Pidana Korupsi di Indonesia</t>
  </si>
  <si>
    <t>Adithya Lesmana</t>
  </si>
  <si>
    <t>Taman Palem Lestari blok A11 No. 68
  Kecamatan: Cengkareng
  Kabupaten/Kota: Jakarta Barat
  Provinsi: DKI Jakarta</t>
  </si>
  <si>
    <t>COLREG 1972 dan Dinas Jaga Anjungan</t>
  </si>
  <si>
    <t>Feny Wijaya</t>
  </si>
  <si>
    <t xml:space="preserve"> Jln. Inspeksi Komplek Greenland Residence Blok A No. 3, titipapan
  Kecamatan: Medan Marelan
  Kabupaten/Kota: Medan
  Provinsi: Sumatera Utara</t>
  </si>
  <si>
    <t>Manajemen Keuangan Fundamental</t>
  </si>
  <si>
    <t>Prof. Dr. Bambang Sugeng</t>
  </si>
  <si>
    <t>Anwar Subianto</t>
  </si>
  <si>
    <t>jl. Baruna Timur Raya no. 273 perum griya tegalasri rt 06 rw 16 kel. Tegalkamulyan
  Kecamatan: cilacap Selatan
  Kabupaten/Kota: cilacap
  Provinsi: jawa Tengah</t>
  </si>
  <si>
    <t>Dasar Manajemen Konstruksi Proyek Jalan (Tahapan Pre-Start)</t>
  </si>
  <si>
    <t>Derry Perdana Munsil</t>
  </si>
  <si>
    <t>Karunia Shella Wardhany</t>
  </si>
  <si>
    <t xml:space="preserve"> Jl.Garuda II No.56 
  Kecamatan: Sawah Lama-Ciputat
  Kabupaten/Kota: Tangerang Selatan
  Provinsi: Banten</t>
  </si>
  <si>
    <t>Merajut Dua Jalan</t>
  </si>
  <si>
    <t>Kusumawati</t>
  </si>
  <si>
    <t>Herry Yogaswara</t>
  </si>
  <si>
    <t>Bukit Permata Sari A5 No 42 Ciluar
  Kecamatan: Bogor Utara
  Kabupaten/Kota: Kota Bogor
  Provinsi: Jawa Barat</t>
  </si>
  <si>
    <t>Khusnul Hidayati</t>
  </si>
  <si>
    <t>Margatiga surya mataram dusun.4 RT. 19/ RW. 4 (Warung ( kedai mamiku) ), KAB. LAMPUNG TIMUR, MARGATIGA, LAMPUNG, ID, 34386</t>
  </si>
  <si>
    <t>RIZKY EKO SETIAWAN</t>
  </si>
  <si>
    <t>Jln. musholah no 9 RT 06/01, Kelapa dua, Kebon Jeruk, Jakarta Barat, Kebon Jeruk, Jakarta Barat, DKI Jak</t>
  </si>
  <si>
    <t xml:space="preserve">Model dan Simulasi Sistem Dinamik 
</t>
  </si>
  <si>
    <t xml:space="preserve">Erma Suryani, Rully Agus Hendrawan dan Ulfa Emi Rahmawati
</t>
  </si>
  <si>
    <t>MUHAMMAD IQBAL</t>
  </si>
  <si>
    <t xml:space="preserve"> MUHAMMAD IQBAL PERUMAHAN TAMAN CIKARANG INDAH 3 (TCI 3) BLOK A8 NO 3 Jawa Barat Kab. Bekasi Cikarang Selatan Indonesia Kab. Bekasi</t>
  </si>
  <si>
    <t>Keselamatan Dan Kesehatan Kerja</t>
  </si>
  <si>
    <t>Suharti Sartika</t>
  </si>
  <si>
    <t>Unit BRI Mengkendek · Rante Kalua' (Rante Kalua) Sulawesi Selatan Kab. Tana Toraja Mengkendek Indonesia Kab. Tana Toraja</t>
  </si>
  <si>
    <t>Ahmad Sadariskar</t>
  </si>
  <si>
    <t>l. Flamboyan No. 5 Kompleks PP, Cipinang Muara RT 016/02
Jatinegara
Kota Jakarta Timur
DKI Jakarta</t>
  </si>
  <si>
    <t>Muhammad Zulqarnain Sang Pemilik Strategi Global</t>
  </si>
  <si>
    <t>Arwani Hasan</t>
  </si>
  <si>
    <t>PAPPATAMMA: Perlindungan Perempuan dan Anak Berbasis Kearifan Lokal di Indonesia</t>
  </si>
  <si>
    <t>Tim Penulis Agupena</t>
  </si>
  <si>
    <t>Politik Hukum Perlindungan Anak</t>
  </si>
  <si>
    <t>Laurensius Arliman S.dan Gokma Toni Parlindungan S</t>
  </si>
  <si>
    <t>Perlindungan Anak terhadap Tindak Perkosaan</t>
  </si>
  <si>
    <t>Dr. Juju Samsudin Saputra, S.H., M.H.</t>
  </si>
  <si>
    <t>Reintegrasi: Praktek Pekerjaan Sosial dengan Anak yang Berkonflik Dengan Hukum
Berkonflik Dengan Hukum</t>
  </si>
  <si>
    <t>Hari Harjanto Setiawan</t>
  </si>
  <si>
    <t>Hukum Perlindungan Anak: Panduan Memahami Anak yang Berkonflik dengan Hukum</t>
  </si>
  <si>
    <t>Liza Agnesta Krisna</t>
  </si>
  <si>
    <t xml:space="preserve">Perlindungan Hukum Anak Jalanan (Kajian Perspektif Hak Asasi Manusia)
</t>
  </si>
  <si>
    <t>Nur Cholidah Fitriana</t>
  </si>
  <si>
    <t>Jl. Kemang raya no.53 Rt. 05/05 Kel. Kalibaru, kec,Cilodong Depok 16414 (depan Raza barbershop)
Cilodong
Kota Depok
Jawa Barat</t>
  </si>
  <si>
    <t>Komputer Grafis Konsep Dasar Menggambar 2 Dimensi dengan Autocad</t>
  </si>
  <si>
    <t>Wahyuni Aprilia</t>
  </si>
  <si>
    <t>Jl. Warung Tipung RT 02/012. No. 83 Bojongsari
  Kecamatan: Bojongsari
  Kabupaten/Kota: Depok
  Provinsi: Jawa Barat</t>
  </si>
  <si>
    <t>Perpustakaan Simbol Peradaban</t>
  </si>
  <si>
    <t>Muhamad Mahfud</t>
  </si>
  <si>
    <t>jl Oscar 03 RT 03 RW 02 No 14 ( Rumah bapak tuin tukang pisang )
Kecamatan: Pamulang
Kabupaten/Kota: Tangerang Selatan
Provinsi: Banten</t>
  </si>
  <si>
    <t>Giwa Giwangkara</t>
  </si>
  <si>
    <t>Jln. Bambu Ori 1 nmr 11. Taman Yasmin Sektor 7. Kota Bogor 16112.
  Kecamatan:
  Kabupaten/Kota: Kota Bogor
  Provinsi: Jawa Barat</t>
  </si>
  <si>
    <t>zainul arifin</t>
  </si>
  <si>
    <t>jl.malikussaleh No 103, Lamlagang
  Kecamatan: bandaraya
  Kabupaten/Kota:banda aceh
  Provinsi:aceh</t>
  </si>
  <si>
    <t>Nur azifah</t>
  </si>
  <si>
    <t>Jl perjuangan 6 kos/pondok gayatri lantai 1.no 103, KOTA SAMARINDA, SAMARINDA UTARA, KALIMANTAN TIMUR, ID, 75119</t>
  </si>
  <si>
    <t>Pengelolaan dan Pola Pemanfaatan Ekosistem Lamun untuk Perikanan Baronang Lingkis Berkelanjutan</t>
  </si>
  <si>
    <t>Marhayana S. ... [et al.]</t>
  </si>
  <si>
    <t>Jl perjuangan 6 kos/pondok gayatri lantai 1.no 103, KOTA SAMARINDA, SAMARINDA UTARA, KALIMANTAN TIMUR, ID, 75120</t>
  </si>
  <si>
    <t>Teknologi Pengolahan Limbah</t>
  </si>
  <si>
    <t>Citra Ayu Dewi, Yeti Kurniasih &amp; Yusran Khery</t>
  </si>
  <si>
    <t>Jl perjuangan 6 kos/pondok gayatri lantai 1.no 103, KOTA SAMARINDA, SAMARINDA UTARA, KALIMANTAN TIMUR, ID, 75121</t>
  </si>
  <si>
    <t>Hari sugiharto</t>
  </si>
  <si>
    <t xml:space="preserve">Balai diklat kepemimpinan, Jl. Alun alum Utara No. 2, kota Magelang, Jawa Tengah, KOTA MAGELANG, MAGELANG TENGAH, JAWA TENGAH, ID, 56111
</t>
  </si>
  <si>
    <t>Jayanudi Sutia</t>
  </si>
  <si>
    <t>Jalan Cabe 1 Dalam No 48, RT 005 RW 04, Pondok Cabe Ilir Tangerang Selatan Pamulang Kota Tangerang Selatan 15418
Banten</t>
  </si>
  <si>
    <t>princess candle</t>
  </si>
  <si>
    <t>komplek the large garden city blpk west 70 nomor 1 parak laweh
  Kecamatan:lubuk begalung
  Kabupaten/Kota: padang
  Provinsi: sumatera barat</t>
  </si>
  <si>
    <t>Bahasa Inggris Untuk Pemula Dengan Metode Komik</t>
  </si>
  <si>
    <t>Edy Suseno</t>
  </si>
  <si>
    <t>Praktik Penelitian Linguistik</t>
  </si>
  <si>
    <t>Mulyani</t>
  </si>
  <si>
    <t>Asesmen Autentik dalam Pembelajaran</t>
  </si>
  <si>
    <t>Patta Bundu</t>
  </si>
  <si>
    <t>Natalia Lengkong</t>
  </si>
  <si>
    <t>jl.Santo Joseph bo.43 Kleak
  Kecamatan: Malalayang
  Kabupaten/Kota: Manado
  Provinsi: Sulawesi Utara</t>
  </si>
  <si>
    <t xml:space="preserve">Pengetahuan Kepasifikan
</t>
  </si>
  <si>
    <t>Matheos Talakua,S.Pi.,M.Sc.</t>
  </si>
  <si>
    <t>Jl.Jetis Pasiraman No 21 RT.033 RW 07
Kelurahan Cokrodiningratan
Kecamatan Jetis
Kota Yogyakarta 55233
Provinsi DIY</t>
  </si>
  <si>
    <t>Ikhtiologi, Ikan dan Segala Aspek Kehidupannya</t>
  </si>
  <si>
    <t>Andi Iqbal
Burhanuddin</t>
  </si>
  <si>
    <t>Rudy Harmanda ato Hj Ipin Supini</t>
  </si>
  <si>
    <t>Dusun Gintung Tengah no 2 Rt 019/Rw 005
Desa Gintungkerta
  Kecamatan: Klari
  Kabupaten/Kota: Karawang
  Provinsi: Jawa Barat 41371</t>
  </si>
  <si>
    <t>Charis Maulana</t>
  </si>
  <si>
    <t>Kost D'Orange Jln. Meruya Selatan Gg. Mushola (belakang sop ayam pak min) No. 19 RT. 003 RW. 02
Kembangan
Kota Jakarta Barat
DKI Jakarta
11650</t>
  </si>
  <si>
    <t>Teori dan Praktik Evaluasi Struktur Beton Bertulang Berbasis Desain Kinerja</t>
  </si>
  <si>
    <t>Adrian Ulza</t>
  </si>
  <si>
    <t>Eddi Novra</t>
  </si>
  <si>
    <t xml:space="preserve">Fakultas Pariwisata Universitas Muhammadiyah Sumatra Barat 
Jl Bypass km 1 nomor 09 Aurkuning Bukittinggi 
  Kecamatan: ABTB
  Kabupaten/Kota: Bukittinggi 
  Provinsi: Sumatra Barat </t>
  </si>
  <si>
    <t xml:space="preserve">Interpretasi Wisata Alam : Perencanaan Interpretasi Wisata Alam Terpandu Dan Mandiri
</t>
  </si>
  <si>
    <t>Yuni Chotimawati</t>
  </si>
  <si>
    <t>Gama Permai Jl. Jenggala Rt 001 Rw 008 No 92, KOTA PEKALONGAN, PEKALONGAN BARAT, JAWA TENGAH, ID, 51111</t>
  </si>
  <si>
    <t>M Syehan assagaf</t>
  </si>
  <si>
    <t>Falajawa Dua Bastiong Karance, Jalan Falajawa II, Bastiong Karance, Ternate Selatan (kota) gang Alqomar Samping yakesma
  Kecamatan: Bastiong karance
  Kabupaten/Kota: Ternate
  Provinsi: Maluku utara</t>
  </si>
  <si>
    <t>Sosiologi, Gender dan Semiotika</t>
  </si>
  <si>
    <t>Made Ferry Kurniawan, S.Pd.</t>
  </si>
  <si>
    <t>Muhamad Taufik Hidayat</t>
  </si>
  <si>
    <t>DAMKAR JP
Jl Raya Cipayung Komp. Depok Country Blok G No. 5
Cipayung
Kota Depok
Jawa Barat
16438</t>
  </si>
  <si>
    <t>Kevin Sambora Chaniago</t>
  </si>
  <si>
    <t xml:space="preserve">Jl. Banten 03, No.12, RT.09, Marga Rahayu, Lubukinggau Selatan II, KOTA LUBUK LINGGAU, LUBUK LINGGAU SELATAN DUA (II), SUMATERA SELATAN, ID, 31626
</t>
  </si>
  <si>
    <t>Peningkatan Kinerja Sumber Daya Manusia Melalui Motivasi, Disiplin, Lingkungan Kerja, dan Komitmen</t>
  </si>
  <si>
    <t>Virginia Ainurridlo</t>
  </si>
  <si>
    <t>jl. Teluk Etna V kav 79 No 1 , kelurahan Arjosari , kecamatan Blimbing Malang, KOTA MALANG, BLIMBING, JAWA TIMUR, ID, 65125</t>
  </si>
  <si>
    <t>Herry Setiawan</t>
  </si>
  <si>
    <t>Balandongan hills Blok D6 No. 1 Jl. Mayjen HE. Sukma KM 15, Kp. Balandongan, Ds. Ciherang Pondok, Kec. Caringin, Ciherang Pd., Caringin, Bogor, Jawa Barat, Caringin, Kab. Bogor, Jawa Barat, 16730</t>
  </si>
  <si>
    <t>Balandongan hills Blok D6 No. 1 Jl. Mayjen HE. Sukma KM 15, Kp. Balandongan, Ds. Ciherang Pondok, Kec. Caringin, Ciherang Pd., Caringin, Bogor, Jawa Barat, Caringin, Kab. Bogor, Jawa Barat, 16731</t>
  </si>
  <si>
    <t>Balandongan hills Blok D6 No. 1 Jl. Mayjen HE. Sukma KM 15, Kp. Balandongan, Ds. Ciherang Pondok, Kec. Caringin, Ciherang Pd., Caringin, Bogor, Jawa Barat, Caringin, Kab. Bogor, Jawa Barat, 16732</t>
  </si>
  <si>
    <t>muhammad khoerudin alfath</t>
  </si>
  <si>
    <t xml:space="preserve"> JL. kecapi III No.23 Rt.013/005 Jagakarsa Jakarta Selatan 12620 DKI Jakarta Kota Jakarta Selatan Jagakarsa Indonesia Kota Jakarta Selatan</t>
  </si>
  <si>
    <t>Nur rohfitta</t>
  </si>
  <si>
    <t>Jl raya kresnomulyo, sukodadi, rumah ke 3 dari sawah warna kuning depannya ada warungnya , KAB. PRINGSEWU, PARDASUKA, LAMPUNG, ID, 35782</t>
  </si>
  <si>
    <t>Feiby Toliu</t>
  </si>
  <si>
    <t>Jl. B. W. Lapian no. 11 Kelurahan Tikala Kumaraka Lingkungan 1 Manado, KOTA MANADO, WENANG, SULAWESI UTARA, ID, 95124</t>
  </si>
  <si>
    <t>Minu Fitriyana</t>
  </si>
  <si>
    <t xml:space="preserve">Desa Peneket RT02/02, Ambal, Kebumen, KAB. KEBUMEN, AMBAL, JAWA TENGAH, ID, 54392
</t>
  </si>
  <si>
    <t>Agata Melati</t>
  </si>
  <si>
    <t>Jl. Lantana Blok D4 No. 18, Perumahan Regency
Bekasi Barat
Kota Bekasi
Jawa Barat
17133</t>
  </si>
  <si>
    <t>Integritas Auditor Pengaruhnya dengan Kualitas Hasil Audit</t>
  </si>
  <si>
    <t>Ferdiansyah Ali</t>
  </si>
  <si>
    <t>Trisakti School of Multimedia
Kampus C Trisakti, Jl. Jend. Ahmad Yani, Kav. 85
Pulo Gadung
Kota Jakarta Timur
DKI Jakarta
13210</t>
  </si>
  <si>
    <t>Membangun Ruang Kreatif di Era Digital Memberdayakan Ide, Kreativitas, Dan Potensi</t>
  </si>
  <si>
    <t>I Gede Wyana Lokantara</t>
  </si>
  <si>
    <t>Yogi Pratama Putra</t>
  </si>
  <si>
    <t>Jl. Jaha Gg H. Rais RT 004 RW 01 NO. 22B
Pasar Minggu
Kota Jakarta Selatan
DKI Jakarta
12560</t>
  </si>
  <si>
    <t>Gufron</t>
  </si>
  <si>
    <t xml:space="preserve">Dusun Guwah Desa Batokorogan Kecamatan Kokop Kabupaten Bangkalan, KAB. BANGKALAN, KOKOP, JAWA TIMUR, ID, 69155
</t>
  </si>
  <si>
    <t>Al-Islam Studi Al-Qur’an (Kajian Tafsir Tarbawi)</t>
  </si>
  <si>
    <t>Arief Hidayat Afendi, M.Ag.</t>
  </si>
  <si>
    <t>Lia fitriah</t>
  </si>
  <si>
    <t>jln. raya Serang km 4,5 no 2 RT RW 01/01 kp bangun masjid desa cadasari Kec cadasari depan Puri salakanagara Banten Kab. Pandeglang Cadasari Indonesia Kab. Pandeglang</t>
  </si>
  <si>
    <t>Rajab Temongmere</t>
  </si>
  <si>
    <t>Ganesha IV A No.5 Di Yogyakarta Kota Yogyakarta Umbulharjo Indonesia Kota Yogyakarta</t>
  </si>
  <si>
    <t>Fatayati ulfah</t>
  </si>
  <si>
    <t>Jl.Ki fatoni No 24 Rt 01 Rw 07 Lingkungan Pegantungan Masjid agung (jalan menuju korem depannya ada gang jln lurus samping kantor baznas provinsi banten) Kelurahan Cimuncang Kecamatan Serang Kota Serang Provinsi Banten Kode Pos 42111 · Cimuncang Banten Kota Serang Serang Indonesia 42111 Kota Serang</t>
  </si>
  <si>
    <t>Pengantar Ilmu Pertanian</t>
  </si>
  <si>
    <t>Luluk Sulistiyo Budi … [et al.]</t>
  </si>
  <si>
    <t>Dicki Kurniawan</t>
  </si>
  <si>
    <t>Jl H Sersan Abdullah/ Kp Cipayung No.C143 RT 03 RW01
Sukmajaya
Kota Depok
Jawa Barat</t>
  </si>
  <si>
    <t>Fraud Auditing Kajian Teoretis dan Empiris</t>
  </si>
  <si>
    <t>Dr. Dien Noviany Rahmatika, S.E., M.M., Ak, CA.</t>
  </si>
  <si>
    <t>Iva lufnatul khoir</t>
  </si>
  <si>
    <t>Desa Sidomulyo, RT 005, RW 002, Dusun Curah Damar
  Kecamatan: Silo
  Kabupaten/Kota: Jember
  Provinsi: Jawa Timur</t>
  </si>
  <si>
    <t>Buku Ajar Konsep Dasar Keperawatan</t>
  </si>
  <si>
    <t>Imelda Liana Ritonga, Sarida Surya Manurung dan Hamonangan Damanik</t>
  </si>
  <si>
    <t>Rendi Nurcahyo</t>
  </si>
  <si>
    <t>Jl. Dukuh II No.1B
  Kecamatan: Kramat Jati
  Kabupaten/Kota: Jakarta Timur
  Provinsi: DKI Jakarta</t>
  </si>
  <si>
    <t>Mesin Freis 5 Sumbu Pemodelan Geometri Tatal dan Optimasi Pemesinan</t>
  </si>
  <si>
    <t>Hendriko</t>
  </si>
  <si>
    <t>Perlindungan Hukum Terhadap Hak-Hak Anak Angkat</t>
  </si>
  <si>
    <t>Hukum Tindak Pidana Khusus</t>
  </si>
  <si>
    <t>Hartanto, Margo Hadi Pura, Oci Senjaya</t>
  </si>
  <si>
    <t>WIDODO Suwardianto</t>
  </si>
  <si>
    <t>Jl.Mangga Blok.D2 no.6 Rt.004/Rw.010 Kel.Lagoa Kec.Koja Jakarta Utara
Koja
Kota Jakarta Utara
DKI Jakarta</t>
  </si>
  <si>
    <t>Bisma Rero Alfaritsi</t>
  </si>
  <si>
    <t xml:space="preserve"> jalan kartini raya no 28 (PT Konsalten Solusi Indonesia)
Kecamatan: pancoran mas
Kabupaten/Kota: Kota depok
Provinsi: Jawa Barat</t>
  </si>
  <si>
    <t>Estimasi Konstruksi, Inventori Budaya dan Simulasi Komputasi dengan Metode Parametrik</t>
  </si>
  <si>
    <t>Atthaillah, dkk</t>
  </si>
  <si>
    <t>Dadi Oslar Sitinjak</t>
  </si>
  <si>
    <t>Komplek Herman, Jalan Tombak Ujung, Sidorejo Hilir, Medan Tembung
Medan Tembung
Kota Medan
Sumatera Utara
20222</t>
  </si>
  <si>
    <t>Pertanggungjawaban Pidana Korporasi Dari Masa Ke Masa</t>
  </si>
  <si>
    <t>Kurnia Rarung</t>
  </si>
  <si>
    <t xml:space="preserve"> Jl. Bukit Kasih, Bagian Depan Gereja KGPM Bethel Bukut Kasih, Desa Kanonang 2 Jaga III
  Kecamatan: Kawangkoan Barat
  Kabupaten/Kota: Minahasa
  Provinsi: Sulawesi Utara</t>
  </si>
  <si>
    <t>Oksfriani Jufri Sumampouw, dkk</t>
  </si>
  <si>
    <t>Bala Arizalu</t>
  </si>
  <si>
    <t>Institut Teknologi Sepuluh Nopember
Kamar Kos 1, Rumah No. 39 (Tepat di sebelah Timur No. 37), Manyar Sabrangan IV
Mulyorejo
Kota Surabaya
Jawa Timur</t>
  </si>
  <si>
    <t>Hilda Puspasari</t>
  </si>
  <si>
    <t>Bank BTN KCP Cimone Komplek Pertokoan Sentra Blok A3-A5 Jl. Gatot Subroto Cimone Tangerang
Karawaci</t>
  </si>
  <si>
    <t>Collaborative Governance dalam Penyediaan Infrastruktur</t>
  </si>
  <si>
    <t>Dr. Ir. Kurniadi, M.M., M.Si., CQM.</t>
  </si>
  <si>
    <t>La Ode Syaiful Islamy H</t>
  </si>
  <si>
    <t>Gilang BATAVIA COFFEE</t>
  </si>
  <si>
    <t xml:space="preserve">Jl. Letjen S. Parman - Atelir, Pasirkareumbi, Kec. Subang, Kabupaten Subang, Jawa Barat 41, KAB. SUBANG, SUBANG, JAWA BARAT, ID, 41211
</t>
  </si>
  <si>
    <t>partogi</t>
  </si>
  <si>
    <t>Lelang Indonesia (Serba Serbi Lelang dan Pelaksanaannya di Indonesia)</t>
  </si>
  <si>
    <t>Yudha Cahya Kumala</t>
  </si>
  <si>
    <t>Dwi S</t>
  </si>
  <si>
    <t>Jl. Sinabung V No. 21 Depok
Sukmajaya
Kota Depok
Jawa Barat</t>
  </si>
  <si>
    <t>Marthen Kadepa</t>
  </si>
  <si>
    <t>Jl. Sekar Mirah, Blok VII, No.17A, Joho, RT 07, RW 60, Condongcatur, Depok, Sleman - Yogyakarta 55281 · Condongcatur (Condong Catur) Di Yogyakarta Kab. Sleman Depok Indonesia Kab. Sleman</t>
  </si>
  <si>
    <t>Sociolinguistics And Understanding Society In Language</t>
  </si>
  <si>
    <t>Ramlan, dkk</t>
  </si>
  <si>
    <t>Arsy Husnanda</t>
  </si>
  <si>
    <t>Condong Catur Kel. · Condongcatur (Condong Catur) Di Yogyakarta Kab. Sleman Depok Indonesia Kab. Sleman</t>
  </si>
  <si>
    <t>Nono Prihantono</t>
  </si>
  <si>
    <t>Bogor Raya Permai FA VI No. 6 RT 001/011 Kel. Curug Kec. Bogor Barat, Kota Bogor, Jawa Barat, Indonesia.</t>
  </si>
  <si>
    <t>Catatan Kritis Omnibus Law UU Cipta Kerja dalam Sudut Pandang Hukum Administrasi Pemerintahan</t>
  </si>
  <si>
    <t>Aldwin Rahadian Megantara</t>
  </si>
  <si>
    <t>Resolusi Konflik Kawasan Hutan: Antara Peran Negara dan KPH</t>
  </si>
  <si>
    <t xml:space="preserve"> Dusun Gintung Tengah no 2 Rt 019/Rw 005
Desa Gintungkerta
  Kecamatan: Klari
  Kabupaten/Kota: Karawang
  Provinsi: Jawa Barat 41371</t>
  </si>
  <si>
    <t>Pemodelan Implementasi Hukum: Peranan Manajemen Strategis dalam Implementasi Hukum</t>
  </si>
  <si>
    <t>Nugraha Pranadita</t>
  </si>
  <si>
    <t>Dhiana zein</t>
  </si>
  <si>
    <t xml:space="preserve">Firqoh HM Jl. KH Mansyur No.14, Cemandi, kunir, wonodadi, blitar, jawa timur 66155, KAB. BLITAR, WONODADI, JAWA TIMUR, ID, 66155
</t>
  </si>
  <si>
    <t>Viktimologi dan Sistem Peradilan Pidana</t>
  </si>
  <si>
    <t>Amira Paripurna … [et al.]</t>
  </si>
  <si>
    <t>Shinta Oktarina</t>
  </si>
  <si>
    <t>Dusun Paloh Paya, Gampong Ulee Gampong, Mutiara Timur, KAB. PIDIE, MUTIARA TIMUR, NANGGROE ACEH DARUSSALAM (NAD), ID, 24176</t>
  </si>
  <si>
    <t>Studi tentang Muatan Isi Pesan Penelitian Pariwisata</t>
  </si>
  <si>
    <t>Ohim Irwansyah</t>
  </si>
  <si>
    <t>Serpong Garden Green Valley E-7 No. 12 A, Cibogo, Cisauk, Tangerang, Cisauk, Kab. Tangerang, Banten, 15841</t>
  </si>
  <si>
    <t>marinus pandapotan simbolon</t>
  </si>
  <si>
    <t>Apartemen BELLAGIO RESIDENCE TOWER A Unit 22AF6
Setia Budi
Kota Jakarta Selatan
DKI Jakarta
12950</t>
  </si>
  <si>
    <t>Isna</t>
  </si>
  <si>
    <t>Bronggalan Sawah 4J No. 22 , KOTA SURABAYA, TAMBAKSARI, JAWA TIMUR, ID, 60131</t>
  </si>
  <si>
    <t>Bronggalan Sawah 4J No. 22 , KOTA SURABAYA, TAMBAKSARI, JAWA TIMUR, ID, 60132</t>
  </si>
  <si>
    <t>Bronggalan Sawah 4J No. 22 , KOTA SURABAYA, TAMBAKSARI, JAWA TIMUR, ID, 60133</t>
  </si>
  <si>
    <t>Stephanus Alexsander</t>
  </si>
  <si>
    <t>Jl. Lawu No 18 Bukit Hindu Palangka Raya, Jekan Raya, Palangkaraya, Kalimantan Tengah, 73112</t>
  </si>
  <si>
    <t>Geofisika Terapan Dan Lingkungan Suatu Studi Kasus Di Sekitar Sungai Banyuputih Asembagus Situbondo Jawa Timur</t>
  </si>
  <si>
    <t>Wiyono</t>
  </si>
  <si>
    <t>RENA ADILA</t>
  </si>
  <si>
    <t>AKADEMI KEBIDANAN HUSADA GEMILANG
Jl. Pendidikan, Tembilahan
Tembilahan
Kabupaten Indragiri Hilir
Riau
29212</t>
  </si>
  <si>
    <t>AKADEMI KEBIDANAN HUSADA GEMILANG
Jl. Pendidikan, Tembilahan
Tembilahan
Kabupaten Indragiri Hilir
Riau
29213</t>
  </si>
  <si>
    <t>Hukum Dan Bioetik Dalam Perspektif Etika Dan Hukum Kesehatan</t>
  </si>
  <si>
    <t>Indar, dkk</t>
  </si>
  <si>
    <t>AKADEMI KEBIDANAN HUSADA GEMILANG
Jl. Pendidikan, Tembilahan
Tembilahan
Kabupaten Indragiri Hilir
Riau
29214</t>
  </si>
  <si>
    <t>Deteksi Dini Faktor Risiko Penyakit Tidak Menular (PTM)</t>
  </si>
  <si>
    <t>Dr. Demsa Simbolon, SKM, MKM. Dkk</t>
  </si>
  <si>
    <t>AKADEMI KEBIDANAN HUSADA GEMILANG
Jl. Pendidikan, Tembilahan
Tembilahan
Kabupaten Indragiri Hilir
Riau
29215</t>
  </si>
  <si>
    <t>Metabolisme</t>
  </si>
  <si>
    <t>Nurhamudin</t>
  </si>
  <si>
    <t>AKADEMI KEBIDANAN HUSADA GEMILANG
Jl. Pendidikan, Tembilahan
Tembilahan
Kabupaten Indragiri Hilir
Riau
29216</t>
  </si>
  <si>
    <t>MONOGRAF Konsumsi Pangan dan Kejadian Stunting pada Balita di Wilayah Dataran Rendah</t>
  </si>
  <si>
    <t>AKADEMI KEBIDANAN HUSADA GEMILANG
Jl. Pendidikan, Tembilahan
Tembilahan
Kabupaten Indragiri Hilir
Riau
29217</t>
  </si>
  <si>
    <t>AKADEMI KEBIDANAN HUSADA GEMILANG
Jl. Pendidikan, Tembilahan
Tembilahan
Kabupaten Indragiri Hilir
Riau
29218</t>
  </si>
  <si>
    <t>Pangan, Gizi dan Kesehatan</t>
  </si>
  <si>
    <t>bobby ( donal )</t>
  </si>
  <si>
    <t>Jl. Poros singki alang alang, Pangrante, bengkel motor depan agleris souvenir, 
Kabupaten toraja utara, sulawesi selatan</t>
  </si>
  <si>
    <t>Ibu Dewi Suriyani</t>
  </si>
  <si>
    <t>Jl. Raya Situpete
Gg. Masjid Jami' Baiturrohmah (Rumah 3 lantai warna ungu)
Kp. Situpete RT 01/RW 10 Kel. Sukadamai, Kec.Tanah Sareal, 
Kota Bogor Kp.16162</t>
  </si>
  <si>
    <t>Arjulayana</t>
  </si>
  <si>
    <t xml:space="preserve"> komplek Taman Yasmin,sektor 7. Jln. Bambu apus 3 No.11
  Kecamatan: cilendek
  Kabupaten/Kota: Bogor kota
  Provinsi: jawa barat</t>
  </si>
  <si>
    <t>Yurisdiksi Asas Oportunitas dalam Sistem Peradilan Pidana Di Indonesia</t>
  </si>
  <si>
    <t>Dr. Dudung Indra Ariska, S.H., M.H.</t>
  </si>
  <si>
    <t>Syifa Auliya Zulfa</t>
  </si>
  <si>
    <t>Kp. Cikalong 02/10 ( Depan POM Cikalong ) Desa Cipinang
Kecamatan : Cimaung
Kabupaten/Kota : Kab. Bandung
Provinsi : Jawa Barat</t>
  </si>
  <si>
    <t>Sorai Padika Bait-Bait Rindu Rainas XI 2017 (Sebuah Antologi Bersama)</t>
  </si>
  <si>
    <t>Ananda Dewin Ikhtiarin … [et al.]</t>
  </si>
  <si>
    <t>Randa Hidayat</t>
  </si>
  <si>
    <t xml:space="preserve"> Jl. Masjid Ciater RT 006 RW 010 
  Kecamatan: Serpong
  Kabupaten/Kota: Tangerang Selatan
  Provinsi: Banten</t>
  </si>
  <si>
    <t>Puji Rahayu</t>
  </si>
  <si>
    <t>Jl. Musium Gg. H. Nazir no 93 rt.09 rw.03,tanah patah,kec. Ratu agung, kota Bengkulu
  Kecamatan: Ratu agung
  Kabupaten/Kota: Bengkulu
  Provinsi: Sumatra</t>
  </si>
  <si>
    <t>Tadarus Sunyi Ibadah Puisi</t>
  </si>
  <si>
    <t>Yuni Afifaturrahmah</t>
  </si>
  <si>
    <t>Pelakor</t>
  </si>
  <si>
    <t>Seto yudiargo</t>
  </si>
  <si>
    <t>jln. Sawunggaling 2 Sambisari RT 31 RW 06 sambibulu
  Kecamatan: taman
  Kabupaten/Kota: sidoarjo
  Provinsi: Jawa timur</t>
  </si>
  <si>
    <t>Advanced Translation</t>
  </si>
  <si>
    <t>Ira Maisarah, dkk</t>
  </si>
  <si>
    <t>Dedi Hidayat</t>
  </si>
  <si>
    <t>Pemprov kalsel
Jl.mangga IV lama no 73 rt.33 rw.2
Banjarmasin Timur
Kota Banjarmasin
Kalimantan Selatan
70235</t>
  </si>
  <si>
    <t>Pemprov kalsel
Jl.mangga IV lama no 73 rt.33 rw.2
Banjarmasin Timur
Kota Banjarmasin
Kalimantan Selatan
70236</t>
  </si>
  <si>
    <t>Perencanaan Pembangunan Terintegrasi dan Terdesentralisasi Perspektif Reposisi Perencanaan Pembangunan Pertanian</t>
  </si>
  <si>
    <t>Kusno Hadiutomo</t>
  </si>
  <si>
    <t>Pemprov kalsel
Jl.mangga IV lama no 73 rt.33 rw.2
Banjarmasin Timur
Kota Banjarmasin
Kalimantan Selatan
70237</t>
  </si>
  <si>
    <t>Pengelolaan Hutan Secara Partisipatif Menuju KPH Hijau untuk Mendukung Tujuan Pembangunan Berkelanjutan</t>
  </si>
  <si>
    <t xml:space="preserve">Dona Octavia, Irma Yeny dan Kirsfianti L. Ginoga
</t>
  </si>
  <si>
    <t>Pemprov kalsel
Jl.mangga IV lama no 73 rt.33 rw.2
Banjarmasin Timur
Kota Banjarmasin
Kalimantan Selatan
70238</t>
  </si>
  <si>
    <t>Strategi Perencanaan Pembangunan Daerah</t>
  </si>
  <si>
    <t>Alsar Andri dan Khotami</t>
  </si>
  <si>
    <t>Fitrotul Mufaridah</t>
  </si>
  <si>
    <t>Perum Pesona Wirolegi Blok BB no. 3 Kelurahan Karangrejo
  Kecamatan: Sumbersari
  Kabupaten/Kota: Jember 
  Provinsi: Jawa Timur</t>
  </si>
  <si>
    <t>Haryandarujati</t>
  </si>
  <si>
    <t>Apartemen Robinson Lantai G A9 , Jl. Jembatan dua raya no.2
  Kecamatan: Penjaringan
  Kabupaten/Kota: Jakarta Utara
  Provinsi: DKI JAKARTA</t>
  </si>
  <si>
    <t>Hukum Hak Kekayaan Intelektual Di Indonesia (Intellectual Property Rights Law In Indonesia)</t>
  </si>
  <si>
    <t>prasetyo amanda</t>
  </si>
  <si>
    <t>jl marelan ii pasar 4 timur nomor 19b, KOTA MEDAN, MEDAN MARELAN, SUMATERA UTARA, ID, 20255</t>
  </si>
  <si>
    <t>Meida Susanty</t>
  </si>
  <si>
    <t>Jalan Andalas Timur No 125 C Rt 001 Rw 001 kecamatan Padang Timur, KOTA PADANG, PADANG TIMUR, SUMATERA BARAT, ID, 27511</t>
  </si>
  <si>
    <t>Albert Halim</t>
  </si>
  <si>
    <t>Jl pukat 8, No:9c Medan
Medan Tembung
Kota Medan
Sumatera Utara
20224</t>
  </si>
  <si>
    <t>Jl pukat 8, No:9c Medan
Medan Tembung
Kota Medan
Sumatera Utara
20225</t>
  </si>
  <si>
    <t>Robie angga pratama</t>
  </si>
  <si>
    <t>Perumahan Taman Ria Persada blok C2 no.19,RT02 RW13 Pasir Angin, Kec. Cileungsi, Bogor, Jawa Barat 16820 Cileungsi Kab. Bogor 16820
Jawa Barat</t>
  </si>
  <si>
    <t>ILHAM LISTA HAMZAH</t>
  </si>
  <si>
    <t>PT. ETEX BUILDING PERFORMANCE INDONESIA (KALSI) Jl. Surya Cipta Utama Kav. I 65 B1 Kawasan industri Surya Cipta I Karawang, KAB. KARAWANG, CIAMPEL, JAWA BARAT, ID, 41363</t>
  </si>
  <si>
    <t>Implementasi Enterprise Resource Planning Menggunakan Web Erp Untuk Usaha Kecil Maupun Menengah</t>
  </si>
  <si>
    <t>Ibu nanik</t>
  </si>
  <si>
    <t>Desa sidokerto rt04 rw05 gg10 Toko SRC PutraAkbar, KAB. SIDOARJO, BUDURAN, JAWA TIMUR, ID, 61252</t>
  </si>
  <si>
    <t xml:space="preserve">ENGLISH FAST Zero to Hero
</t>
  </si>
  <si>
    <t>Reza92</t>
  </si>
  <si>
    <t>Permata muktiwari residance Blok J1 no.9, Cibitung, Kab. Bekasi, Jawa Barat, 17520</t>
  </si>
  <si>
    <t>Agnes Amalia</t>
  </si>
  <si>
    <t xml:space="preserve"> kawasan Industri dan Pergudangan Cikupamas, Jl Mitramas No. 02 RT 011/RW 04, Telagasari, Cikupa Tangerang 15710
Kabupaten/Kota: Tangerang
Provinsi: Banten
</t>
  </si>
  <si>
    <t>Dasar-Dasar Perpajakan</t>
  </si>
  <si>
    <t>Hervy Akay</t>
  </si>
  <si>
    <t>(Rumah Ongki Pinontoan) ulawesi utara
Kabupaten: minahasa utara
Kecamatan: likupang barat
Desa: paputungan, Jaga 3</t>
  </si>
  <si>
    <t>(Rumah Ongki Pinontoan) ulawesi utara
Kabupaten: minahasa utara
Kecamatan: likupang barat
Desa: paputungan, Jaga 4</t>
  </si>
  <si>
    <t>Buku Ajar Hukum Perdata Internasional</t>
  </si>
  <si>
    <t>(Rumah Ongki Pinontoan) ulawesi utara
Kabupaten: minahasa utara
Kecamatan: likupang barat
Desa: paputungan, Jaga 5</t>
  </si>
  <si>
    <t>Hukum Tata Negara dan Sistem Politik: Kombinasi Presidensial dengan Multipartai di Indonesia</t>
  </si>
  <si>
    <t>Dody Nur Andriyan</t>
  </si>
  <si>
    <t>akhmad zakariyah</t>
  </si>
  <si>
    <t>Jl. Thoyib Hadiwijaya
  Kecamatan:Samarinda Utara
  Kabupaten/Kota: Samarinda 
  Provinsi: kalimantanTimur</t>
  </si>
  <si>
    <t>A. Bayu Adi Pratama</t>
  </si>
  <si>
    <t>Jl. Betawi Raya Komplek Charitas Blok A2 No. 1896, keL. Lebung Gajah
  Kecamatan: Sematang Borang
  Kabupaten/Kota: Palembang
  Provinsi: Sumatera Selatan</t>
  </si>
  <si>
    <t>Implementasi Kebijakan Persampahan : Pengaruh Sosialisasi, Koordinasi dan Kontrol dalam Penanganan Sampah</t>
  </si>
  <si>
    <t>Alwi Smith</t>
  </si>
  <si>
    <t>Nur Amalia</t>
  </si>
  <si>
    <t>Yusi Asnidar</t>
  </si>
  <si>
    <t>Komp Permata Puri Laguna jln. Danau Semayang Blok c5/1b, kel mekarsari kec. Cimanggis, Depok Jawa Barat  16452</t>
  </si>
  <si>
    <t>SY. ABDUL AJID</t>
  </si>
  <si>
    <t>REKTORAT UNIVERSITAS KHAIRUN Jln Raya Pertamina Kel. Gambesi
  Kecamatan: Kota Ternate Selatan
  Kabupaten/Kota: Kota Ternate
  Provinsi: Provinsi Maluku Utara</t>
  </si>
  <si>
    <t>Tiara Saputri Darlis</t>
  </si>
  <si>
    <t>Cyber Orchid Town House Blok B2, RT 6/RW 15, Kelurahan Kukusan.
  Kecamatan: Beji
  Kabupaten/Kota: Depok
  Provinsi: Jawa Barat</t>
  </si>
  <si>
    <t>Diky Siswanto</t>
  </si>
  <si>
    <t>Fakultas Teknik-Univ. Widyagama Malang
Jl. Taman Borobudur Indah no. 3
  Kecamatan: Lowokwaru
  Kabupaten/Kota: Malang
  Provinsi: Jawa Timur</t>
  </si>
  <si>
    <t>NOOR RAHMA SAFIRA</t>
  </si>
  <si>
    <t>Jalan Yos Sudarso No 49, RT 01 Betulo Bangunsari Pacitan, KAB. PACITAN, PACITAN, JAWA TIMUR, ID, 63518</t>
  </si>
  <si>
    <t>Statistika Terapan dan Indikator Kesehatan</t>
  </si>
  <si>
    <t>Tri Cahyono</t>
  </si>
  <si>
    <t>Roli Deltapina</t>
  </si>
  <si>
    <t>Jl. Kuala lempuing no 35 rt.10 rw.02 kel.lempuing kec.ratu agung kota bengkulu..</t>
  </si>
  <si>
    <t>Ali Syahbana, S.Si., M.Pd.</t>
  </si>
  <si>
    <t>Adi Prayoga (Oga)</t>
  </si>
  <si>
    <t xml:space="preserve">Merasi Srimulyo, Jalan Dusun 7 Dekat Lapangan, Sri Mulyo, Suku Tengah Lakitan Ulu Terawas, KAB. MUSI RAWAS, SUKU TENGAH LAKITAN ULU TERAWAS, SUMATERA SELATAN, ID, 30771
</t>
  </si>
  <si>
    <t>Model Pembelajaran Teams Games Tournament (TGT) dan Jigsaw melalui Pendekatan Saintifik</t>
  </si>
  <si>
    <t>FX. Agus Hariyanto</t>
  </si>
  <si>
    <t>Wayan</t>
  </si>
  <si>
    <t>Apartemen Puslabfor Sentul, KAB. BOGOR, BABAKAN MADANG, JAWA BARAT, ID, 16370</t>
  </si>
  <si>
    <t>Marisha Pertiwi</t>
  </si>
  <si>
    <t xml:space="preserve">Perumahan Taman Cipta Indah 2 Blok D No. 22 RT 001 RW 021 Kel. Tanjung Uncang , KOTA BATAM, BATU AJI, KEPULAUAN RIAU, ID, 29438
</t>
  </si>
  <si>
    <t>Probo Wuryantoro Kimia</t>
  </si>
  <si>
    <t xml:space="preserve">Jl. RTA Milono Km 3.5 Ruko Apotek Kimia Farma, KOTA PALANGKA RAYA, JEKAN RAYA, KALIMANTAN TENGAH, ID, 73112
</t>
  </si>
  <si>
    <t>Muhammad Nurdiansyah</t>
  </si>
  <si>
    <t>Jl. Petua hamzah. Lr. Cempaka, Gg. perdamaian 1, No.2 paya bujok teungoh , KOTA LANGSA, LANGSA BARAT, NANGGROE ACEH DARUSSALAM (NAD), ID, 24415</t>
  </si>
  <si>
    <t>Agus Setiyadi</t>
  </si>
  <si>
    <t>Perumahan Wisma Jaya Jl. Kusuma Utara IV Blok 26 No 37 Bekasi Timur Kota Bekasi 17111
Jawa Barat</t>
  </si>
  <si>
    <t>Smara Bhumi</t>
  </si>
  <si>
    <t>Batan Indah blok P-43, Kademangan, Setu, Tangerang Selatan, Setu, Tangerang Selatan, Banten, 1531</t>
  </si>
  <si>
    <t>Desi Novia Duwi Rupika Sari</t>
  </si>
  <si>
    <t>Jl. Robyong Rt. 004 Rw.001 
Pondok Pesantren Fadhlul Fadhlan
  Kecamatan: Mijen
  Kabupaten/Kota: Semarang Barat
  Provinsi:  Jateng</t>
  </si>
  <si>
    <t>Peningkatan Kemandirian Santri Melalui Penyelenggaraab Life Skill di Pesantren</t>
  </si>
  <si>
    <t>Farida Hanun</t>
  </si>
  <si>
    <t>Affandy Hamid</t>
  </si>
  <si>
    <t>Yermika Tamunete</t>
  </si>
  <si>
    <t>Jl.kapten rusdiyat, RT/RW 005/002, Danyang Utara, Purwodadi, kab.grobogan jawa tengah, 58111
  Kecamatan: Purwodadi
  Kabupaten/Kota: Grobogan
  Provinsi: Jawa tengah</t>
  </si>
  <si>
    <t>Mega Febriani Sya</t>
  </si>
  <si>
    <t xml:space="preserve"> Taman Kenari Jagorawi blok 5C no 23 Puspasari citereup </t>
  </si>
  <si>
    <t>Perumahan Greenland Healthful Living, Jalan Mawar Blok O Nomor 4 Jawa Barat Kota Depok Bojongsari Indonesia Kota Depok</t>
  </si>
  <si>
    <t>Langkah Praktis untuk Membantu Penyusunan Laporan Penelitian (Skripsi dan Thesis)</t>
  </si>
  <si>
    <t>Dr. Miguna Astuti, S.Si., M.M., MOS., CPM., Agni Rizkita Amanda, S.E., M.M.</t>
  </si>
  <si>
    <t>Tiara Ayudhya putri</t>
  </si>
  <si>
    <t>Pekalongan Kabupaten 51156 RT/RW:07/08 · Kalipancur Jawa Tengah Kab. Pekalongan Bojong Indonesia Kab. Pekalongan</t>
  </si>
  <si>
    <t>Yusri dan Mantasiah R</t>
  </si>
  <si>
    <t>cahyo</t>
  </si>
  <si>
    <t>jalan. piranha 3 e. 6 no. 8 rt. 06 rw. 04 pondok permai. kutabaru. tangerang Banten Kab. Tangerang Pasar Kemis Indonesia Kab. Tangerang</t>
  </si>
  <si>
    <t>Keselamatan dan Kesehatan Kerja</t>
  </si>
  <si>
    <t>Riswan Dwi Djatmiko</t>
  </si>
  <si>
    <t>Agus Purwanto</t>
  </si>
  <si>
    <t>PT Tritunggal Sentra Buana (Pk.TSB 1)Jln. Ahmad Yani Ruko Mitramas 8 No.16, KOTA SAMARINDA, SUNGAI PINANG, KALIMANTAN TIMUR, ID, 75117</t>
  </si>
  <si>
    <t>Ekspor Impor: Teori dan Praktikum Kegiatan Ekspoor Impor untuk Praktisi Logistik dan Bisnis</t>
  </si>
  <si>
    <t>Edi Supardi</t>
  </si>
  <si>
    <t>Mutmainah</t>
  </si>
  <si>
    <t>Jl. Serayu 79, Fakultas Ekonomi Universitas Merdeka Madiun
Taman
Kota Madiun
Jawa Timur
63133</t>
  </si>
  <si>
    <t>Personality, Employee Engagement, Emotional Intellegence, Job Burnout Pendekatan dalam Melihat Turnover Intention</t>
  </si>
  <si>
    <t>Jl. Serayu 79, Fakultas Ekonomi Universitas Merdeka Madiun
Taman
Kota Madiun
Jawa Timur
63134</t>
  </si>
  <si>
    <t>Manajemen Strategik di Era Revolusi Industri 4.0</t>
  </si>
  <si>
    <t>Muhammad Harlie</t>
  </si>
  <si>
    <t>bagjo indrijanto</t>
  </si>
  <si>
    <t xml:space="preserve"> jl.radio dalam yado 5 no e 8
  Kecamatan: kebayoran baru
  Kabupaten/Kota: jakarta selatan
  Provinsi: dki jakarta</t>
  </si>
  <si>
    <t>Muhammad Said</t>
  </si>
  <si>
    <t>Jalan revolusi gang melati II A no 35 RT 43 kelurahan lok bahu
  Kecamatan:sungai kunjang 
  Kabupaten/Kota: Samarinda
  Provinsi: Kaltim</t>
  </si>
  <si>
    <t>Ayyub Ar Rahman</t>
  </si>
  <si>
    <t>Balai Penelitian Tanaman Serealia. Jl. Dr. Ratulangi. No. 274. Kelurahan Allepolea. 
  Kecamatan: Lau 
  Kabupaten/Kota: Maros 
  Provinsi: Sulawesi Selata</t>
  </si>
  <si>
    <t>Epidemiologi K3</t>
  </si>
  <si>
    <t>Lalu Muhammad Saleh dan Iva Hardi Yanti</t>
  </si>
  <si>
    <t>Lia Suzana</t>
  </si>
  <si>
    <t xml:space="preserve">Perumahan Bumi Wonorejo Indah no 16-17, Desa Wonorejo RT.03/RW.01- Kec. Jepara- Kab. Jepara - Jateng
</t>
  </si>
  <si>
    <t>Pendugaan Stok Ikan (Metode Analitik dan Holistik)</t>
  </si>
  <si>
    <t>Friesland Tuapetel</t>
  </si>
  <si>
    <t>Syara Rosdiana Shalehah</t>
  </si>
  <si>
    <t xml:space="preserve">Jl Raya Citapen rt/rw 09/03 Ds. Sukajaya Kec. Sukatani , KAB. PURWAKARTA, SUKATANI, JAWA BARAT, ID, 41167
</t>
  </si>
  <si>
    <t>Hanun iftiman</t>
  </si>
  <si>
    <t xml:space="preserve">Jl.Gorda,Gg.H.juhaman rt.08 - rw.06 no.174 - lubang buaya,cipayung - jakarta timur, KOTA JAKARTA TIMUR, CIPAYUNG, DKI JAKARTA, ID, 13810
</t>
  </si>
  <si>
    <t>Komunikasi Dan Dakwah Islam</t>
  </si>
  <si>
    <t>Abdul Pirol</t>
  </si>
  <si>
    <t>Ngurah Manik</t>
  </si>
  <si>
    <t xml:space="preserve"> jalan kebo Iwa, Banjar Bongan pala, tabanan
  Kecamatan: Tabanan
  Kabupaten/Kota: Tabanan
  Provinsi: Bali</t>
  </si>
  <si>
    <t>Membangun Pariwisata Dari Desa Desa Wisata Warisan Budaya Dunia Jatiluwih, Tabanan, Bali</t>
  </si>
  <si>
    <t>Farida Puspita Harti</t>
  </si>
  <si>
    <t>Perumahan No. 1 RT 21 RW 7 Tegalrejo Karangpakel Trucuk Klaten Tengah, kode pos 57467
  Kecamatan: Klaten Tengah
  Kabupaten/Kota: Klaten
  Provinsi: Jawa Tengah</t>
  </si>
  <si>
    <t>Praktikum Pengantar Akuntansi</t>
  </si>
  <si>
    <t>Drs. H. Setiawan, MM., Ak., CA, Dewi Agustya Ningrum, SE., M.Ak.</t>
  </si>
  <si>
    <t>Taufik Rahman</t>
  </si>
  <si>
    <t>MAN 2 Banjarmasin, Jl. Pramuka RT.20 No.28 Banjarmasin, Banjarmasin Timur, Banjarmasin, Kalimantan Selatan, 70238</t>
  </si>
  <si>
    <t>Demas Fairuz Almahi Prasetya</t>
  </si>
  <si>
    <t>Satu Tahun Pembelajaran Daring, Dirayakan Atau Disesali?</t>
  </si>
  <si>
    <t>Mahir Martin</t>
  </si>
  <si>
    <t>Muhammad Dipa Resfadillah</t>
  </si>
  <si>
    <t>abdurrahman zaki</t>
  </si>
  <si>
    <t>XCTOS Bengkel Jip 
Jl. Cabe V. No. 105 Pondok cabe Ilir Kec Pamulang Kota Tangsel
  Kecamatan: pamulang
  Kabupaten/Kota: tangerang selatan
  Provinsi: banten</t>
  </si>
  <si>
    <t>kemas Andy Machdi</t>
  </si>
  <si>
    <t xml:space="preserve">Perum Taman Kedaung Jl Melati 4 Blok A7/21, KOTA TANGERANG SELATAN, PAMULANG, BANTEN, ID, 15415
</t>
  </si>
  <si>
    <t>Shena chiquita</t>
  </si>
  <si>
    <t xml:space="preserve">Jalan taman malaka utara blok b2 no27 teras kuning yang banyak pohon di depanya jakarta timur, KOTA JAKARTA TIMUR, DUREN SAWIT, DKI JAKARTA, ID, 13440
</t>
  </si>
  <si>
    <t>Dasar-Dasar Public Relations Teori dan Praktik</t>
  </si>
  <si>
    <t>A.Anditha Sari</t>
  </si>
  <si>
    <t>Sherina anjani</t>
  </si>
  <si>
    <t>Villa Bintaro regency Jl.belitung 1 blok f4 no.4, KOTA TANGERANG SELATAN, PONDOK AREN, BANTEN, ID, 15226</t>
  </si>
  <si>
    <t>yuna</t>
  </si>
  <si>
    <t>jalan ratna, gang melati no 7 Bali Kota Denpasar Denpasar Utara Indonesia Kota Denpasar</t>
  </si>
  <si>
    <t>Model Pembelajaran untuk Keterampilan Abad 21</t>
  </si>
  <si>
    <t>Satrianawati &amp; Nur Hidayah</t>
  </si>
  <si>
    <t>Rita Handayani</t>
  </si>
  <si>
    <t>Jl. TB Suwandi Green Beringin Residence Cluster Ruby No 41
Serang
Kota Serang
Banten</t>
  </si>
  <si>
    <t>bukalapak 2</t>
  </si>
  <si>
    <t>Aprillia Anggreyni</t>
  </si>
  <si>
    <t>perum villa siberi RT 006 RW 004 kelurahan/Banjarejo kecamatan boja Nomer rumah 185 depan TK Cut Nyak Dien(Ada AA laundry), Gunungpati, Semarang, Jawa</t>
  </si>
  <si>
    <t>Bermain Android Studio Itu Mudah: Studi Kasus Pembuatan eM-Tilang</t>
  </si>
  <si>
    <t>Abdul Azis, dkk</t>
  </si>
  <si>
    <t>Novi</t>
  </si>
  <si>
    <t>Jl. Kapten Muslim Kompleks Griya Riyatur Blok A2/26 Simpang Gaperta Helvetia Medan 20124.
I</t>
  </si>
  <si>
    <t>SISTEM NAVIGASI ELEKTRONIKA Untuk Mualim Pelayaran Niaga (Ahli Nautika)</t>
  </si>
  <si>
    <t>Capt. Hadi Supriyono, Sp.1., M.M., M.Mar. dan Capt. Achmad Sulistyo, Sp.1., M.M., M.Mar.</t>
  </si>
  <si>
    <t>Sari Zaitun</t>
  </si>
  <si>
    <t>Jl. Ciledug Raya no.7 RT 01/ 03 Ulujami
  Kecamatan: Pesanggrahan
  Kabupaten/Kota: Jakarta Selatan
  Provinsi: DKI Jakarta</t>
  </si>
  <si>
    <t>Dasar Bahasa Arab Sehari-hari اساس اللغة العربية اليومية</t>
  </si>
  <si>
    <t>Harto</t>
  </si>
  <si>
    <t>Agus setiawan</t>
  </si>
  <si>
    <t xml:space="preserve">Talang darat RT/RW 0301 kel burung dinang kec.dempo utara, KOTA PAGAR ALAM, DEMPO UTARA, SUMATERA SELATAN, ID, 30156
</t>
  </si>
  <si>
    <t>Luwis/dodo</t>
  </si>
  <si>
    <t xml:space="preserve">Jalan Seturan 2 No.83, Catur Tunggal, Depok (Kos putra pagar biru), KAB. SLEMAN, DEPOK, DI YOGYAKARTA, ID, 55282
</t>
  </si>
  <si>
    <t>Nurfajriyawati</t>
  </si>
  <si>
    <t xml:space="preserve">Jl. Sidrap raya blok G No. 14 perumnas sudiang
 Kecamatan: Biringkanaya
  Kabupaten/Kota: Makassar 
  Provinsi: Sulawesi Selatan </t>
  </si>
  <si>
    <t>Birokrasi Pelayanan Publik Konsep, Teori, dan Aplikasi</t>
  </si>
  <si>
    <t>Muhammad Sawir</t>
  </si>
  <si>
    <t>Prihati Pujowaskito</t>
  </si>
  <si>
    <t>Rspad
Jalan kwini no 10
Senen
Kota Jakarta Pusat
DKI Jakarta</t>
  </si>
  <si>
    <t>Boyke HMS</t>
  </si>
  <si>
    <t>jalan srimahi 3 no 15, Regol, Bandung, Jawa Barat, 40254</t>
  </si>
  <si>
    <t>Bayu Sulistyo</t>
  </si>
  <si>
    <t>Jl Pondok Pesantren No 3,Wisma Anton Soedjarwo
  Kecamatan: Cimanggis
  Kabupaten/Kota: Depok
  Provinsi: Jawa Barat</t>
  </si>
  <si>
    <t>Elsa Emelia Wati</t>
  </si>
  <si>
    <t xml:space="preserve">Jalan manyar III no.66 RT.21,handil jaya,jelutung(cat rumah warna biru pintu putih), KOTA JAMBI, JELUTUNG, JAMBI, ID, 36137
</t>
  </si>
  <si>
    <t>Ijaj Maulana</t>
  </si>
  <si>
    <t>Jl Desa.Neglasari Kp.Sempur RT/RW:01/01
  Kecamatan: Pancatengah
  Kabupaten: Kab.Tasikmalaya 46194
  Provinsi: Jawabarat</t>
  </si>
  <si>
    <t>Belajar Membuat Game 2D dan 3D Menggunakan Unity</t>
  </si>
  <si>
    <t>Siti Asmiatun dan Astrid Novita Putri</t>
  </si>
  <si>
    <t>Yeni Apriani</t>
  </si>
  <si>
    <t xml:space="preserve">Indomaret jalan Laswi Baleendah RT.03/RW.07 desa Baleendah 40375 dekat komplek wartawan, KAB. BANDUNG, BALEENDAH, JAWA BARAT, ID, 40375
</t>
  </si>
  <si>
    <t>Oby Ismail Marzuki</t>
  </si>
  <si>
    <t>Jalan Danau elok VI b1 n1, Rt 03 Rw 13 belakang warteg tiga putera, kos Mama Ulan, KOTA JAKARTA UTARA, TANJUNG PRIOK, DKI JAKARTA, ID, 14350</t>
  </si>
  <si>
    <t>Deta</t>
  </si>
  <si>
    <t>Kantor DPP PKB , KOTA JAKARTA PUSAT, SENEN, DKI JAKARTA, ID, 10410</t>
  </si>
  <si>
    <t>IRON TUAMAIN - RORI</t>
  </si>
  <si>
    <t>RUMAH SUSUN TANAH ABANG Blok 39 Lantai 4 no. 4, dengan alamat Jl. KH. Mas Mansyur no. 25 A Kel. Kebon Kacang, Kecamatan Tanah Abang, Jakarta Pusat
Tanah Abang, Kota Administrasi Jakarta Pusat, DKI Jakarta 10240</t>
  </si>
  <si>
    <t>Novita Majid</t>
  </si>
  <si>
    <t>Jalan sultan hasanuddin, Badak 4, Rt.15, No.71, Desa Badak Baru, Kecamatan Muara Badak, Muara Badak, Kutai Kartanegara, Kalimantan Timur, 75382</t>
  </si>
  <si>
    <t>Pendidikan Kewarganegaraan: Perjuangan Membentuk Karakter Bangsa</t>
  </si>
  <si>
    <t>Josef M Monteiro</t>
  </si>
  <si>
    <t>Elif Handik</t>
  </si>
  <si>
    <t>Jl. Projakal Perum. Graha indah Gg. Muamalat Blok D RT 01 NO. 32 · Graha Indah Kalimantan Timur Kota Balikpapan Balikpapan Utara Indonesia Kota Balikpapan</t>
  </si>
  <si>
    <t>Saeful Efendi</t>
  </si>
  <si>
    <t>Kimia farma apotek Jalan budi utomo no.01 DKI Jakarta Kota Jakarta Pusat Sawah Besar Indonesia Kota Jakarta Pusat</t>
  </si>
  <si>
    <t>Dwi Fadhilah</t>
  </si>
  <si>
    <t xml:space="preserve">Rumah Sakit Tk. III dr. R. Soeharsono, Jl. Mayjend Sutoyo S. No. 408 Banjarmasin , KOTA BANJARMASIN, BANJARMASIN BARAT, KALIMANTAN SELATAN, ID, 70129
</t>
  </si>
  <si>
    <t>Rangkuman Materi Prostodonsia Untuk Calon Dokter Gigi</t>
  </si>
  <si>
    <t>Andi Adytha</t>
  </si>
  <si>
    <t>Kudsi</t>
  </si>
  <si>
    <t>ke utara jln. Raya pasar syuaib prenduan dusun ongaan</t>
  </si>
  <si>
    <t>Tati H</t>
  </si>
  <si>
    <t>Perumahan Ciputat Baru.jl Anggur no 11.Blok B.Ciputat
RT/ RW : 08/08
Kel/ Desa : Sawah
Kec : Ciputat
Kab : Tangerang Selatan
Provinsi : Banten</t>
  </si>
  <si>
    <t>Book Chapter Metodologi Penelitian Pendidikan</t>
  </si>
  <si>
    <t>Yudita Susanti, dkk</t>
  </si>
  <si>
    <t>Mufid Rahmat</t>
  </si>
  <si>
    <t>Jl. Pisang No.22 Rt 04 rw 05
Boyolali
Kabupaten Boyolali
Jawa Tengah
57311</t>
  </si>
  <si>
    <t>Mutiara Hikmah Berhentilah Menjadi Gelas Berhentilah Menjadi Gelas</t>
  </si>
  <si>
    <t>Fakultas Kehutanan Universitas Lancang Kuning
Jl. Yos Sudarso Km.08
Rumbai
Kota Pekanbaru
Riau
28265</t>
  </si>
  <si>
    <t>Pengukuhan dan Penatagunaan Kawasan Hutan</t>
  </si>
  <si>
    <t>Nanang Suwandi dan Rahmanta Setiahadi</t>
  </si>
  <si>
    <t>Fakultas Kehutanan Universitas Lancang Kuning
Jl. Yos Sudarso Km.08
Rumbai
Kota Pekanbaru
Riau
28266</t>
  </si>
  <si>
    <t>Agroforestri: Konsep dan Praktek</t>
  </si>
  <si>
    <t>Rahmanta Setiahadi</t>
  </si>
  <si>
    <t>Yeshinta Tahalele</t>
  </si>
  <si>
    <t>Jln OT Pattimaipau, belakang SMA Muhammadiah, kosan orange. No.1, KOTA AMBON, NUSANIWE (NUSANIVE), MALUKU, ID, 97117</t>
  </si>
  <si>
    <t>Merpati Hitam (Aku Dan Mental Illness)</t>
  </si>
  <si>
    <t>Merpati</t>
  </si>
  <si>
    <t>Nanda Birama</t>
  </si>
  <si>
    <t xml:space="preserve">Jalan Marina Emas Barat 6 No.11, Keputih, Sukolilo, KOTA SURABAYA, SUKOLILO, JAWA TIMUR, ID, 60111
</t>
  </si>
  <si>
    <t>Praktis Belajar Pembangkit Listrik Tenaga Surya</t>
  </si>
  <si>
    <t>Handoko Rusiana Iskandar, S.T., M.T.</t>
  </si>
  <si>
    <t>Hengki Heprianto</t>
  </si>
  <si>
    <t xml:space="preserve">TB Harapan Baru Jaya Jl. Kyai H. Achmad Dahlan Simpang 4 JM Depan SD 5, KAB. MUSI BANYUASIN, SEKAYU, SUMATERA SELATAN, ID, 30711
</t>
  </si>
  <si>
    <t>Anggraini Ringkuangan</t>
  </si>
  <si>
    <t xml:space="preserve">Lorong bengkel kios mikha, KAB. MINAHASA, TONDANO SELATAN, SULAWESI UTARA, ID, 95619
</t>
  </si>
  <si>
    <t>Teori dan Aplikasi Penelitian Tindakan Kelas (PTK)</t>
  </si>
  <si>
    <t>Zainal Aqib &amp; M. Chotibuddin</t>
  </si>
  <si>
    <t>Josoa Salmon Marlissa</t>
  </si>
  <si>
    <t xml:space="preserve"> Balai Latihan Masyarakat Ambon, jln. Lsksdya Leo Wattimena, Lorong PLN Passo - Ambon
Kecamatan : Baguala
Kab/Kota.   : Ambon</t>
  </si>
  <si>
    <t>Hubungan Antara Putusan Positive Legislature, Penafsiran Mahkamah Konstitusi Dan Perubahan Undang-Undang Dasar Negara Republik Indonesia Tahun 1945 Secara Informal</t>
  </si>
  <si>
    <t>Jorawati Simarmata</t>
  </si>
  <si>
    <t>Ma`ruf Tsaghani Purnomo</t>
  </si>
  <si>
    <t>Jalan Tondano No.10A, KOTA PEKALONGAN, PEKALONGAN TIMUR, JAWA TENGAH, ID, 51122</t>
  </si>
  <si>
    <t>Komang</t>
  </si>
  <si>
    <t xml:space="preserve">Toko mahadewa labur desa mandeu kecamatan raimanuk kabupaten belu, KAB. BELU, RAIMANUK, NUSA TENGGARA TIMUR (NTT), ID, 85755
</t>
  </si>
  <si>
    <t>Sim Sai Sun</t>
  </si>
  <si>
    <t>Jl. Melati Raya Komplek Grand Pavilion No.3
  Kecamatan: Medan Selayang
  Kabupaten/Kota: Medan
  Provinsi: Sumatra Utara</t>
  </si>
  <si>
    <t>Metode Penelitian Teori dan Praktek Kuantitatif dan Kualitatif</t>
  </si>
  <si>
    <t>oya ridwan</t>
  </si>
  <si>
    <t>Jl sirnagalih no 30 rt 02 rw 007, Loji, Bogor Barat 16117 Bogor Barat Kota Bogor 16117
Jawa Barat</t>
  </si>
  <si>
    <t>Andy Raja Nasution</t>
  </si>
  <si>
    <t>Jalan M Yamin Gg I No.7a, Gunung Kelua, Samarinda Ulu (Rumah warna hijau), KOTA SAMARINDA, SAMARINDA ULU, KALIMANTAN TIMUR, ID, 75123</t>
  </si>
  <si>
    <t>Jalan M Yamin Gg I No.7a, Gunung Kelua, Samarinda Ulu (Rumah warna hijau), KOTA SAMARINDA, SAMARINDA ULU, KALIMANTAN TIMUR, ID, 75124</t>
  </si>
  <si>
    <t>Dasar Teknik Kultur Jaringan Tanaman</t>
  </si>
  <si>
    <t>Septarini Dian Anitasari</t>
  </si>
  <si>
    <t>Tri Utari</t>
  </si>
  <si>
    <t>Pondok baru jalan belang jorong jadi sepakat., KAB. BENER MERIAH, BANDAR, NANGGROE ACEH DARUSSALAM (NAD), ID, 24582</t>
  </si>
  <si>
    <t>Rosa Nikmatul Fajri</t>
  </si>
  <si>
    <t>Wonocatur RT 08 RW 25 no 395a, Banguntapan Bantul 55198, KAB. BANTUL, BANGUNTAPAN, DI YOGYAKARTA, ID, 55798</t>
  </si>
  <si>
    <t>Blueberry Aksesoris 234</t>
  </si>
  <si>
    <t>Jln. Perhubungan Dsn. III Kenari 5 Laut Dendang, Percut Sei Tuan, Kab. Deli Serdang, Sumut, KAB. DELI SERDANG, PERCUT SEI TUAN, SUMATERA UTARA, ID, 20371</t>
  </si>
  <si>
    <t>Yanti Arina</t>
  </si>
  <si>
    <t>Jalan desa rantau embacang rt 006 kerang jaya, KAB. BUNGO, TANAH SEPENGGAL LINTAS, JAMBI, ID, 37259</t>
  </si>
  <si>
    <t>Noel</t>
  </si>
  <si>
    <t>Taman Wisma Asri, Jalan Durian Raya Blok C11/No.48. Kota Bekasi, Bekasi Utara. , KOTA BEKASI, BEKASI UTARA, JAWA BARAT, ID, 17121</t>
  </si>
  <si>
    <t>Kiat Sukses Meraih Hibah Penelitian Pengembangan</t>
  </si>
  <si>
    <t>Hj. Tatik Sutarti dan Edi Irawan</t>
  </si>
  <si>
    <t>Denny S Permana</t>
  </si>
  <si>
    <t>Jl. Bung Karno, No 6, Kec. Mataram, Kota Mataram, Nusa Tenggara Barat, [Engineering Drill Blast and Mine Support, MMA Lantai 2, MH0260] Mataram Kota Mataram 83127
Nusa Tenggara Barat</t>
  </si>
  <si>
    <t>Teknis Pengelolaan Bahan Peledak Komersial Pada Industri Pertambangan</t>
  </si>
  <si>
    <t>Ibu Dwi Maryanti</t>
  </si>
  <si>
    <t xml:space="preserve">STIKES AL IRSYAD 
Jl. Cerme No.24, Wanasari, Sidanegara, Kec. Cilacap Tengah, Kabupaten Cilacap, Jawa Tengah 53223
</t>
  </si>
  <si>
    <t>Basis Data Dasar</t>
  </si>
  <si>
    <t>Adyanata Lubis, S.Kom., M.Kom.</t>
  </si>
  <si>
    <t>Pemrograman Web dengan Menggunakan PHP dan Framework Codeigniter</t>
  </si>
  <si>
    <t>Supono &amp;Vidiandry Putratama</t>
  </si>
  <si>
    <t>Buku Ajar: Sistem Pendukung Keputusan Teori dan Implementasi</t>
  </si>
  <si>
    <t>Lita Asyriati Latif, Mohamad Jamil dan Said HI Abbas</t>
  </si>
  <si>
    <t>Metode dan Aplikasi Sistem Pendukung</t>
  </si>
  <si>
    <t>Diana</t>
  </si>
  <si>
    <t>Aswin Budhi Saputro</t>
  </si>
  <si>
    <t>Kost Grandwiryo
Telaga bodas III No 4 karangrejo kec. Gajah mungkur kota semarang, jawa tengah 50231 indonesia</t>
  </si>
  <si>
    <t>Agustin</t>
  </si>
  <si>
    <t>Jl Saonigeho Km.1 Kel. pasar Telukdalam, NIAS SELATAN 22865, SUMATERA UTARA</t>
  </si>
  <si>
    <t xml:space="preserve">Jln. Perhubungan Dsn. III Kenari 5 Laut Dendang, Percut Sei Tuan, Kab. Deli Serdang, Sumut, KAB. DELI SERDANG, PERCUT SEI TUAN, SUMATERA UTARA, ID, 20371
</t>
  </si>
  <si>
    <t>LISA GEBRIELA YADILI</t>
  </si>
  <si>
    <t>Kos Tiara, Jalan El Manibang 2 Jalan Eben Haezar, Malalayang 2, KOTA MANADO, MALALAYANG, SULAWESI UTARA, ID, 95163</t>
  </si>
  <si>
    <t>Kos Tiara, Jalan El Manibang 2 Jalan Eben Haezar, Malalayang 2, KOTA MANADO, MALALAYANG, SULAWESI UTARA, ID, 95164</t>
  </si>
  <si>
    <t>Filsafat Ilmu (Pengantar Kesehatan Masyarakat)</t>
  </si>
  <si>
    <t>Hermien Nugraheni dan Hetty Ismainar</t>
  </si>
  <si>
    <t>Kos Tiara, Jalan El Manibang 2 Jalan Eben Haezar, Malalayang 2, KOTA MANADO, MALALAYANG, SULAWESI UTARA, ID, 95165</t>
  </si>
  <si>
    <t>K3 Penerbangan: Sebuah Kajian Keselamatan dan Kesehatan Kerja pada Karyawan Air Traffic Controller (ATC)</t>
  </si>
  <si>
    <t>Lalu Muhammad Saleh</t>
  </si>
  <si>
    <t>andy raja nasution</t>
  </si>
  <si>
    <t xml:space="preserve">Jalan M Yamin Gg I No.7a, Gunung Kelua, Samarinda Ulu (Rumah warna hijau), KOTA SAMARINDA, SAMARINDA ULU, KALIMANTAN TIMUR, ID, 75123
</t>
  </si>
  <si>
    <t>khairil huda</t>
  </si>
  <si>
    <t xml:space="preserve"> jl.khairil Anwar, Peunayong
  Kecamatan: Kuta alam
  Kabupaten/Kota: Banda Aceh
  Provinsi: Aceh</t>
  </si>
  <si>
    <t>Buku Ajar Perkembangan Perekonomian China</t>
  </si>
  <si>
    <t>Supriono &amp; Ari Irawan</t>
  </si>
  <si>
    <t>Dewi Nurhayati</t>
  </si>
  <si>
    <t xml:space="preserve">Kp Warung Jambe RT/RW 03/10 Desa Rajamandala Kulon, KAB. BANDUNG BARAT, CIPATAT, JAWA BARAT, ID, 40554
</t>
  </si>
  <si>
    <t>Budidaya Ikan Lele Sistem Bioflok: Teknik Pembesaran Ikan Lele Sistem Bioflok Kelola Mina Pembudidaya</t>
  </si>
  <si>
    <t>yurike pebriyanti</t>
  </si>
  <si>
    <t>Komplek DKT, depan pos DKT kantin pak kijang. Kel. Patih Galung kec. Prabumulih barat, KOTA PRABUMULIH, PRABUMULIH BARAT, SUMATERA SELATAN, ID, 31127</t>
  </si>
  <si>
    <t>dita soraya</t>
  </si>
  <si>
    <t xml:space="preserve">Griya cempaka arum H2 no.81 rt 02/05 , KOTA BANDUNG, GEDEBAGE, JAWA BARAT, ID, 40613
</t>
  </si>
  <si>
    <t>kiki widiyasari</t>
  </si>
  <si>
    <t>Jln. Muhajirin V, Perumahan Pesona Madani Blok A15 , KOTA MAKASSAR, TAMALATE, SULAWESI SELATAN, ID, 90223</t>
  </si>
  <si>
    <t>Andi Iqbal Burhanuddin</t>
  </si>
  <si>
    <t>Andi Iqbal Burhanuddin &amp; H. M. Natsir Nessa</t>
  </si>
  <si>
    <t>Ririn Puspadewi</t>
  </si>
  <si>
    <t>jl. Dakota no. 9 Sukaraja II 
  Kecamatan: Cicendo
  Kota: Bandung
  Provinsi: Jawa Barat</t>
  </si>
  <si>
    <t>Prinsip Dasar Pemeriksaan Radikal Bebas dan Antioksidan</t>
  </si>
  <si>
    <t>Euis Reni Yuslianti</t>
  </si>
  <si>
    <t>Yudha</t>
  </si>
  <si>
    <t xml:space="preserve">Jl. Kayumanis 1 lama RT 008 RW 008 gang 3 no 11 C Kel. Palmeriam kec. Matraman , KOTA JAKARTA TIMUR, MATRAMAN, DKI JAKARTA, ID, 13140
</t>
  </si>
  <si>
    <t>Nur hidayat</t>
  </si>
  <si>
    <t>Jalan Pedongkelan No.38, RT.2/RW.9, Cilincing, Cilincing (Rumah Bu Agus (Alm) Sutarman), KOTA JAKARTA UTARA, CILINCING, DKI JAKARTA, ID, 14120</t>
  </si>
  <si>
    <t>Ika Ayu Mardianingrum</t>
  </si>
  <si>
    <t xml:space="preserve">Perum. Reni Jaya Jl. Pinus IV Blok AG. 5 No. 22 RT. 005/021 (dkt Masjid Al - Istiqomah) Pamulang, KOTA TANGERANG SELATAN, PAMULANG, BANTEN, ID, 15417
</t>
  </si>
  <si>
    <t>Apriana Kiranty</t>
  </si>
  <si>
    <t>Desa_ Sugihmanik , dusun_ karangMalang rt 02 rw 04, KAB. GROBOGAN, TANGGUNGHARJO, JAWA TENGAH, ID, 58166</t>
  </si>
  <si>
    <t>Ibu Umi Hanik / Miftahuz Zuhan</t>
  </si>
  <si>
    <t>Jl. Yossudarso No.152 Rt/Rw. 03/04 Dsn. Dukuh Sari, Ds. Janti, Kec. Mojoagung, Kab. Jombang Kode Pos. 61482 Mojoagung Kab. Jombang 61482
Jawa Timur</t>
  </si>
  <si>
    <t>Virtualisasi Dengan Docker</t>
  </si>
  <si>
    <t>Muhammad Ilham Kurniawan, Dedi &amp; Rahmat Tullah</t>
  </si>
  <si>
    <t>Muhammad Faiq N</t>
  </si>
  <si>
    <t>Jl. Gunung Srandil No 50 RT 04/ RW 03 Karangwangkal, Purwokerto Utara Purwokerto Utara Kab. Banyumas 53123
Jawa Tengah</t>
  </si>
  <si>
    <t>Strategi Peningkatan Kinerja Rantai Pasokan</t>
  </si>
  <si>
    <t>Dr. Tri Purwani &amp; Dr. Lutfi Nurcholis</t>
  </si>
  <si>
    <t>Supply Chain Upaya Meningkatkan Keunggulan Kompetitif UMKM</t>
  </si>
  <si>
    <t>Jenji Gunaedi Argo, Rosali Sembiring &amp; Miguna Astuti</t>
  </si>
  <si>
    <t>Manajemen Sumber Daya Manusia di Era Revolusi Industri 4.0</t>
  </si>
  <si>
    <t>Prayogo Kusumaryoko</t>
  </si>
  <si>
    <t>Bambang Hariyadi</t>
  </si>
  <si>
    <t>Rumah Baca Evergreen
Jl. A. Chatib Lorong Citra No.16
Telanaipura
Kota Jambi
Jambi</t>
  </si>
  <si>
    <t>Interpretasi Wisata Alam: Perencanaan Interpretasi Wisata Alam Terpandu Dan Mandiri</t>
  </si>
  <si>
    <t>Model Pembelajaran Berbasis Proyek (PBP) dan Penerapannya dalam Proses Pembelajaran di Kelas</t>
  </si>
  <si>
    <t>STIKES AL IRSYAD 
Jl. Cerme No.24, Wanasari, Sidanegara, Kec. Cilacap Tengah, Kabupaten Cilacap, Jawa Tengah 53223</t>
  </si>
  <si>
    <t>Kewirausahaan: Untuk Mahasiswa dan UMKM</t>
  </si>
  <si>
    <t>Darmanto</t>
  </si>
  <si>
    <t>STIKES AL IRSYAD 
Jl. Cerme No.24, Wanasari, Sidanegara, Kec. Cilacap Tengah, Kabupaten Cilacap, Jawa Tengah 53224</t>
  </si>
  <si>
    <t>Kewirausahaan Dan Manajemen Strategis UKM Pedesaan</t>
  </si>
  <si>
    <t>Ika Sari Dewi, S.S., M.Si. dan I.K. Sihombing, M.Si.</t>
  </si>
  <si>
    <t>STIKES AL IRSYAD 
Jl. Cerme No.24, Wanasari, Sidanegara, Kec. Cilacap Tengah, Kabupaten Cilacap, Jawa Tengah 53225</t>
  </si>
  <si>
    <t>STIKES AL IRSYAD 
Jl. Cerme No.24, Wanasari, Sidanegara, Kec. Cilacap Tengah, Kabupaten Cilacap, Jawa Tengah 53226</t>
  </si>
  <si>
    <t>STIKES AL IRSYAD 
Jl. Cerme No.24, Wanasari, Sidanegara, Kec. Cilacap Tengah, Kabupaten Cilacap, Jawa Tengah 53227</t>
  </si>
  <si>
    <t>Kewirausahaan Industri</t>
  </si>
  <si>
    <t>Edy Dwi Kurniati</t>
  </si>
  <si>
    <t>STIKES AL IRSYAD 
Jl. Cerme No.24, Wanasari, Sidanegara, Kec. Cilacap Tengah, Kabupaten Cilacap, Jawa Tengah 53228</t>
  </si>
  <si>
    <t>Bambang Sugeng</t>
  </si>
  <si>
    <t>Novi Asti</t>
  </si>
  <si>
    <t>Jl. Cigugur Tengah No.059 , RT/07 RW/10
Cimahi Tengah
Kota Cimahi
Jawa Barat
40522</t>
  </si>
  <si>
    <t>LILIK PRIMILESTARI</t>
  </si>
  <si>
    <t>SMKN2 MALANG, JLN VETERAN NO 17 KOTA MALANG, KEL KETAWANGGEDE, KEC LOWOKWARU, KOTA MALANG JAWA TIMUR</t>
  </si>
  <si>
    <t>Rangkuman Pengantar Pengetahuan Dasar Pekerjaan Sosial</t>
  </si>
  <si>
    <t>Didi Nooryadi</t>
  </si>
  <si>
    <t>Merta Nalle</t>
  </si>
  <si>
    <t xml:space="preserve">Kos Putri Biru, Jalan Golf No.79, Tasikmadu, Lowokwaru (Depan kampus ITN 2), KOTA MALANG, LOWOKWARU, JAWA TIMUR, ID, 65141
</t>
  </si>
  <si>
    <t>Knowledge dan Information Retrieval</t>
  </si>
  <si>
    <t>Widodo Budiharto</t>
  </si>
  <si>
    <t>Fatmila SZ</t>
  </si>
  <si>
    <t xml:space="preserve">Jalan Serma Abdullah Gg. Bromo Rt.02 Rw.01 Desa Pacul Kec. Bojonegoro Kab. Bojonegoro, KAB. BOJONEGORO, BOJONEGORO, JAWA TIMUR, ID, 62114
</t>
  </si>
  <si>
    <t>Aqib Wisnu Priatmojo</t>
  </si>
  <si>
    <t xml:space="preserve">Senyala Collabspace, Jl. Kartika No. 168, Jebres, Kec. Jebres, Kota Surakarta, Jawa Tengah 57126 (Di atasnya Imdomaret)
  Kecamatan: Jebres
  Kabupaten/Kota: Surakarta
  Provinsi: Jawa Tengah </t>
  </si>
  <si>
    <t>Khazanah Negeri Pantun</t>
  </si>
  <si>
    <t>Riri Marfilinda</t>
  </si>
  <si>
    <t xml:space="preserve"> Jl. Taratak Paneh no.7 
  Kecamatan: Kuranji
  Kabupaten/Kota: Padang
  Provinsi: Sumatera Barat</t>
  </si>
  <si>
    <t>Pembelajaran Ipa Di Sekolah Dasar</t>
  </si>
  <si>
    <t>Nelly Wedyawati dan Yasinta Lisa</t>
  </si>
  <si>
    <t>YENI PURNAMA DEWI</t>
  </si>
  <si>
    <t>Jl.Menambin (belakang taman hewan) Pematangsiantar
  Kecamatan: siantar barat
  Kabupaten/Kota: pematang siantar
  Provinsi: sumatera utara</t>
  </si>
  <si>
    <t>Iklim Organisasi Era Digital (Konseptual &amp; Operasionalisasi)</t>
  </si>
  <si>
    <t>Fakhry Zamzam &amp; Tien Yustini</t>
  </si>
  <si>
    <t>ratih hasanah</t>
  </si>
  <si>
    <t>DEPOK</t>
  </si>
  <si>
    <t>Penulisan Naskah Iklan (Copy Writing)</t>
  </si>
  <si>
    <t>Ratih Hasanah</t>
  </si>
  <si>
    <t>Abdul Salam</t>
  </si>
  <si>
    <t>BTN Citra Daya Permai 2 (Kodam 2), Jl. Basoka 4 Blok A1 No. 28 RT 001/ RW 012, Kel. Biring Kanaya,  
Kec. Biring Kanaya,   
Kota: Makassar
Provinsi: Sulawesi Selatan</t>
  </si>
  <si>
    <t>Astrid Y</t>
  </si>
  <si>
    <t xml:space="preserve"> Perum. Sapta Pesona, Jl. Alpukat Blok C2/3, Jatiluhur 17425
  Kecamatan: Jatiasih
  Kabupaten/Kota: Kota Bekasi
  Provinsi: Jawa Barat</t>
  </si>
  <si>
    <t>Simulasi dan Pemodelan: Aplikasi Untuk Keteknikan Pertanian</t>
  </si>
  <si>
    <t>Kiman Siregar</t>
  </si>
  <si>
    <t>Yoga Adi Laksono</t>
  </si>
  <si>
    <t>dusun kedonglo Rt 03 Rw 06 geyer purwodadi grobogan 58172 - indonesia , KAB. GROBOGAN, GEYER, JAWA TENGAH, ID, 58172</t>
  </si>
  <si>
    <t>Atika Hamevta</t>
  </si>
  <si>
    <t xml:space="preserve">Komplek Wisma Buana Indah III Blok E. 13 Taratak Panek, Kuranji, Korong Gadang, Padang, KOTA PADANG, KURANJI, SUMATERA BARAT, ID, 25156
</t>
  </si>
  <si>
    <t xml:space="preserve"> MAN Tempel Jalan Magelang KM 17 Ngosit · Margorejo (Margo Rejo) Di Yogyakarta Kab. Sleman Tempel Indonesia Kab. Sleman</t>
  </si>
  <si>
    <t>adam bachtiar</t>
  </si>
  <si>
    <t>Sejarah Kelahiran dan Perkembangan Peradaban Islam</t>
  </si>
  <si>
    <t>Dr. H. Munir Subarman, M.Ag</t>
  </si>
  <si>
    <t>Elok Widiyati, M.Pd</t>
  </si>
  <si>
    <t>Gedung Kuliah Bersama Lantai 4 
Ruang Kaprodi Pendidikan Bahasa Inggris
FBIK UNISSULA
Jl. Raya Kaligawe Km. 4 Kecamatan Genuk Kota Semarang 50112</t>
  </si>
  <si>
    <t>Urban Planning Terminology</t>
  </si>
  <si>
    <t>Elok Widiyati</t>
  </si>
  <si>
    <t xml:space="preserve"> Smk Negeri 4 Pekanbaru, Panam 28294
  Kecamatan: Tampan
  Kabupaten/Kota: Pekanbaru
  Provinsi: Riau</t>
  </si>
  <si>
    <t>Jahit Perca, Tindas dan Aplikasi</t>
  </si>
  <si>
    <t>Widarwati</t>
  </si>
  <si>
    <t>Adi Permadi</t>
  </si>
  <si>
    <t>Jalan Tongkol Raya, Kec. Ngaglik, Kabupaten Sleman, Jogja, 55581 [Tokopedia Note: jl tongkol raya no. 8 minomartani sleman yogyakarta] Ngaglik Kab. Sleman 55581</t>
  </si>
  <si>
    <t>Komputasi Proses Teknik Kimia Menggunakan MATLAB</t>
  </si>
  <si>
    <t>Hb. Slamet Yulistiono dan Joice Manga</t>
  </si>
  <si>
    <t>EKA PUTRI SANTOSO</t>
  </si>
  <si>
    <t>Perumahan megaregency blok c 31 no 12 rt08 rw 07,desa sukasari, KAB. BEKASI, SERANG BARU, JAWA BARAT, ID, 17331</t>
  </si>
  <si>
    <t>Tjuk Kus Sam Hari (gamma)</t>
  </si>
  <si>
    <t>kav sukorejo asri dsn sukorejo RT04 RW 06 Desa kepuharum, Kutorejo, Kab. Mojokerto, Jawa Timur,</t>
  </si>
  <si>
    <t>Panduan Sukses Sertifikasi CSWA (Certified Solidworks Associate)</t>
  </si>
  <si>
    <t>Rahman Hakim &amp; Saiful Arif</t>
  </si>
  <si>
    <t>Rahmat Muallim</t>
  </si>
  <si>
    <t>Perumahan Graha Rangkapan Jaya, Blok B.13
  Kecamatan: Pancoran Mas
  Kabupaten/Kota: Depok
  Provinsi: Jawa Barat</t>
  </si>
  <si>
    <t>Dr. Agus Pamuji</t>
  </si>
  <si>
    <t>Sorasan 1 / 24 Bimomartani Ngemplak Sleman Yogyakarta</t>
  </si>
  <si>
    <t>Etika Bisnis Islam Seni Berbisnis Keberkahan</t>
  </si>
  <si>
    <t>H. Fakhry Zamzam dan Havis Aravik</t>
  </si>
  <si>
    <t>Etika Bisnis Islam</t>
  </si>
  <si>
    <t>Metodologi Penelitian Ekonomi dan Sosial</t>
  </si>
  <si>
    <t>Prof. Dr. Sirilius Seran, S.E., M.S.</t>
  </si>
  <si>
    <t>bq raudatul janah</t>
  </si>
  <si>
    <t>timba urip, rt:18/ rw:06 kelurahan tanjung
  Kecamatan: labuhan haji
  Kabupaten/Kota: Lombok timur
  Provinsi: nusa tenggara barat</t>
  </si>
  <si>
    <t>Studi Dasar Filsafat</t>
  </si>
  <si>
    <t>Tazkiyah Basa’ad</t>
  </si>
  <si>
    <t>Nurhadi Wijaya</t>
  </si>
  <si>
    <t>Buku Panduan Proposal dan Skripsi Edisi Revisi</t>
  </si>
  <si>
    <t>Yunita Sari … [et al.]</t>
  </si>
  <si>
    <t>Dion Ansell</t>
  </si>
  <si>
    <t xml:space="preserve"> Asrama Putra St. Maria. Jl. P. Diponegoro 04. Kel. Pasiran. Kec. Singkawang Barat. Kota Singkawang Barat 79123.</t>
  </si>
  <si>
    <t>Menjadi Guru yang Bening Hati: Strategi Mengelola Hati di Abad Modern</t>
  </si>
  <si>
    <t>M. Dahlan R. dan Muhtarom</t>
  </si>
  <si>
    <t>Muhammad Irfanudin Kurniawan M.Ag</t>
  </si>
  <si>
    <t>Gedung Andalusia Pesantren Darunnajah Jakarta jl Ulujami Raya no 86 Pesanggrahan jakarta selatan</t>
  </si>
  <si>
    <t>Akhdan Rafif Sopian</t>
  </si>
  <si>
    <t xml:space="preserve"> Kampus UNIDA GONTOR,  Jl. raya km.6 
  Kecamatan: Siman
  Kabupaten/Kota: Ponorogo
  Provinsi: Jawa Timur</t>
  </si>
  <si>
    <t>Rahasia Taqdim Dan Ta’Khir Dalam Al-Qur’an</t>
  </si>
  <si>
    <t>Dr. Hasbullah Diman, Lc., M.A.</t>
  </si>
  <si>
    <t>Natasya Salsabila</t>
  </si>
  <si>
    <t>Ds. Sugihwaras Kec. Prambon Kab. Nganjuk Jln. Masjid Baiturrahim gang 4 RT 02/RW 03 kode pos 64484
  Kecamatan: Prambon
  Kabupaten/Kota:Nganjuk
  Provinsi: Jawa Timur</t>
  </si>
  <si>
    <t>Buku Ajar Manajemen Sumber Daya Manusia</t>
  </si>
  <si>
    <t>bapak sunaryo</t>
  </si>
  <si>
    <t>Perum Citra Pesona Mandiri C4 RT 20 Baturetno Banguntapan Bantul ( selatan nasmoco Janti kekiri 500 M )</t>
  </si>
  <si>
    <t>Peran Guru dalam Menangani Narkoba di Sekolah Sebagai Gerakan Dakwah</t>
  </si>
  <si>
    <t>Yayun Mu’tasimah</t>
  </si>
  <si>
    <t>diantar</t>
  </si>
  <si>
    <t>Agama dan Pecandu Narkoba: Etnografi Terapi Metode Inabah</t>
  </si>
  <si>
    <t>Alhamuddin, M.M.Pd. Dkk</t>
  </si>
  <si>
    <t>Wanita, Siapkah Menjadi Tiang Negara???</t>
  </si>
  <si>
    <t>Lilis Rohaeti</t>
  </si>
  <si>
    <t>Ramadhan Menyapa Penduduk Bumi, Menaiki Tangga Langit</t>
  </si>
  <si>
    <t>Mustopa</t>
  </si>
  <si>
    <t>3 Jam Mahir Makna Qur'an Hadits Ala Ponpes dengan Metode EKTUBU</t>
  </si>
  <si>
    <t>Hari Wuryanto</t>
  </si>
  <si>
    <t>Panduan Pelaksanaan Model Nampe, Menginternalisasi Nilai Kesenian Dongkrek Guna Meningkatkan Ketahanan Budaya Siswa SMA (Edisi Revisi 2019) Guna Meningkatkan Ketahanan Budaya Siswa SMA</t>
  </si>
  <si>
    <t>Muhammad Hanif, Yudi Hartono dan Anjar M.W.</t>
  </si>
  <si>
    <t>Pameran Seni Rupa Nirmana Fungsional-Februari 2019</t>
  </si>
  <si>
    <t>Fendi Adiatmono, Arif Rivai Rumin dan Sri Yenti</t>
  </si>
  <si>
    <t>Penuntun Pewarna Alam Soga Batik</t>
  </si>
  <si>
    <t>R. Jati Nurcahyo</t>
  </si>
  <si>
    <t>Window Lighting untuk Foto Potret</t>
  </si>
  <si>
    <t>Nofria Doni Fitri</t>
  </si>
  <si>
    <t>Pengaruh Perkembangan Bangunan Indis Terhadap Sosial Dan Budaya Masyarakat Kabupaten Boyolali Tahun 1910-1915</t>
  </si>
  <si>
    <t>Ibnu Rustamaji</t>
  </si>
  <si>
    <t>Pengantar Ilmu Sosial dan Budaya Dasar</t>
  </si>
  <si>
    <t>M. Zainal, S.Pd., S.H., M.H.</t>
  </si>
  <si>
    <t>Book Chapter Rumah Kita-Dosen Indonesia (Inovasi Pembelajaran)</t>
  </si>
  <si>
    <t>Ed: Retno Widyani</t>
  </si>
  <si>
    <t>Muqoddimah Ngrowo, Tutur Lisan Hingga Tutur Tulisan</t>
  </si>
  <si>
    <t>Agus Ali Imron Al Akhyar</t>
  </si>
  <si>
    <t>Arsitektur Komputer</t>
  </si>
  <si>
    <t>Akhlis Munazilin</t>
  </si>
  <si>
    <t>Menggambar 2D dengan AutoCad untuk Tingkat SMK</t>
  </si>
  <si>
    <t>Rohmatul Istiqomah</t>
  </si>
  <si>
    <t>Pondok pesantren Nurul hidayah RT 3 RW 11 Munggang bawah kalibeber Mojotengah Wonosobo Jawa tengah Indonesia
  Kecamatan: Mojotengah
  Kabupaten/Kota: Wonosobo
  Provinsi: Jawa tengah</t>
  </si>
  <si>
    <t>Aplikasi Metodologi Penelitian</t>
  </si>
  <si>
    <t>Firdaus dan Fakhry Zamzam</t>
  </si>
  <si>
    <t>susilo</t>
  </si>
  <si>
    <t>pp. Sunan muria jl. Pesantren desa sukosari
  Kecamatan:baradatu
  Kabupaten/Kota:way kanan
  Provinsi:lampung</t>
  </si>
  <si>
    <t>Perubahan Fungsi Tanah Wakaf Menurut Imam Mazhab dan Undang Undang Nomor 41 Tahun 2004</t>
  </si>
  <si>
    <t>Ikhwani, Muhammad Iqbal dan Najmuddin</t>
  </si>
  <si>
    <t>Asep Saepullah</t>
  </si>
  <si>
    <t xml:space="preserve">Masjid Jami Al Muharram Komplek Setneg Cidodol Baru RT 01/RW 06 Grogol Selatan, KOTA JAKARTA SELATAN, KEBAYORAN LAMA, DKI JAKARTA, ID, 12220
</t>
  </si>
  <si>
    <t>Manajemen Perpustakaan Sekolah</t>
  </si>
  <si>
    <t>Supanji</t>
  </si>
  <si>
    <t>Jl Pandega Asih V/E8, Catur Tunggal, Depok, Sleman, DI Yogyakarta, Depok, Sleman, Daerah Istimewa</t>
  </si>
  <si>
    <t>Muhammad Sandi</t>
  </si>
  <si>
    <t xml:space="preserve"> Jl. Wukir, RT/RW 001/004, No. 151, Kelurahan Temas 
  Kecamatan: Batu
  Kabupaten/Kota: Batu
  Provinsi: Jawa Timur</t>
  </si>
  <si>
    <t>Hidrologi Transportasi</t>
  </si>
  <si>
    <t>Zulvyah Faisal dan Aksan Djamal</t>
  </si>
  <si>
    <t>Iswanto</t>
  </si>
  <si>
    <t>Pondok RT. 03 Sunggingan, Miri, Sragen Jateng ( SMK At Taqwa Muh. Miri Sragen</t>
  </si>
  <si>
    <t>Modul Praktikum Jaringan Komputer</t>
  </si>
  <si>
    <t>Konsep Dasar Pemrograman Web dengan PHP dan MySQL</t>
  </si>
  <si>
    <t>Mustazzihim Suhaidi</t>
  </si>
  <si>
    <t>Shinta</t>
  </si>
  <si>
    <t xml:space="preserve">Jl. Bantaran Barat 1 No.30 , KOTA MALANG, LOWOKWARU, JAWA TIMUR, ID, 65141
</t>
  </si>
  <si>
    <t>Metode Dan Aplikasi Sistem Pendukung Keputusan</t>
  </si>
  <si>
    <t>Putri rademo</t>
  </si>
  <si>
    <t xml:space="preserve">jalan sering 105, KOTA MEDAN, MEDAN TEMBUNG, SUMATERA UTARA, ID, 20222
</t>
  </si>
  <si>
    <t>Asyik Menulis Teks Ekposisi</t>
  </si>
  <si>
    <t>Henny Nopriani dan Ike Tri Pebrianti</t>
  </si>
  <si>
    <t>Alexander Rekso Rahardjo</t>
  </si>
  <si>
    <t>jalan hayam wuruk no.182 RT/RW 001/011 kel. KAUMAN, kec. pekalongan timur, kota pekalongan., Pekalongan Timur, Pekalongan, Jawa Tengah, 51127</t>
  </si>
  <si>
    <t>Pengantar Dasar Kajian Terorisme Abad 21: Menjaga Stabilisasi Keamanan Negara</t>
  </si>
  <si>
    <t>Syarifurohmat Pratama Santoso, S.IP.</t>
  </si>
  <si>
    <t>Sanusi Ariyanto</t>
  </si>
  <si>
    <t>Umiversitas Islam Riau
Jalan kaharudin nasution komplek gading marpuyan blok A10 No 16
Marpoyan Damai
Kota Pekanbaru
Riau
ACCOUNTING</t>
  </si>
  <si>
    <t>Screening Your Tax Case &amp; Measure Your Position Persiapan Sebelum Membawa Kasus Pajak Ke Pengadilan Pajak</t>
  </si>
  <si>
    <t>Addy, Zulham &amp; Karianton</t>
  </si>
  <si>
    <t>Aplikasi Gui Klasifikasi Citra Menggunakan PYQT</t>
  </si>
  <si>
    <t>Moch Kautsar Sophan, Denaya Mahabah Yousi, &amp; Indah Agustien Siradjuddin</t>
  </si>
  <si>
    <t>Chatbot: Membangun Mesin Percakapan Pintar dengan Python dan Telegram Bot (Studi Kasus: Informasi Prakiraan Cuaca)</t>
  </si>
  <si>
    <t>Tresna Maulana Fahrudin, Achmad Musyaffa Taufiqi</t>
  </si>
  <si>
    <t>Teknik Evaluasi Cluster Solusi Menggunakan Python dan RapidMiner</t>
  </si>
  <si>
    <t>Bangunan Pintar Dasar Aplikasi Otomasi Bangunan dan Kecerdasan Buatan</t>
  </si>
  <si>
    <t>Jefrey I. Kindangen &amp; Muhamad D. Putro</t>
  </si>
  <si>
    <t>Fini Agustini</t>
  </si>
  <si>
    <t>Perpustakaan IAINU Kebumen Jl. Tentara pelajar no 55 B Kebumen
Kebumen
Kabupaten Kebumen
Jawa Tengah</t>
  </si>
  <si>
    <t>KURIKULUM PESANTREN (Model Integrasi Pembelajaran Salaf dan Khalaf)</t>
  </si>
  <si>
    <t>Darul Abror</t>
  </si>
  <si>
    <t>Digital Sinematografi dalam Produksi Acara Televisi &amp; Film</t>
  </si>
  <si>
    <t>Hanoch Tahapary</t>
  </si>
  <si>
    <t>Mengenal Fotografi dan Foto Jurnalistik</t>
  </si>
  <si>
    <t>Yudi Abdullah, S.Sos., M.M.</t>
  </si>
  <si>
    <t>Pengembangan Keterampilan Berbicara</t>
  </si>
  <si>
    <t>Muhammad Doni Sanjaya</t>
  </si>
  <si>
    <t>Seputar Naskah Televisi, Pengetahuan Dasar untuk Pemula</t>
  </si>
  <si>
    <t>Indah Susanti</t>
  </si>
  <si>
    <t>Naib Rowi</t>
  </si>
  <si>
    <t xml:space="preserve">Jln raya Labuan No 01,  Kp. Cikeutar Rt 001 Rw 001, Desa Cipicung, Kecamatan Cikedal, Kabupaten Pandeglang, Banten, 42266 </t>
  </si>
  <si>
    <t>Birawan Sulistiyono</t>
  </si>
  <si>
    <t>Perum Josroyo Indah, jalan Raharja Indah 3. RT 2 RW 15. Blok C05. Jaten
  Kecamatan: Jaten
  Kabupaten/Kota: Karanganyar 
  Provinsi: Jawa Tengah</t>
  </si>
  <si>
    <t>Pengantar Penyiapan Lubang Ledak Untuk Pemandu Juru Ledak Tambang</t>
  </si>
  <si>
    <t>Salmani, S.T., M.S., M.T., Ir. Suhernomo, M.S. dan Rachmat Hidayatullah, S.T., M.T.</t>
  </si>
  <si>
    <t>Fitni</t>
  </si>
  <si>
    <t xml:space="preserve">Jalan Sekolah No.53 (Toko Kaca Antara), Limbungan Baru, Rumbai Pesisir , KOTA PEKANBARU, RUMBAI PESISIR, RIAU, ID, 28261
</t>
  </si>
  <si>
    <t>Auralia Rasida Yahya</t>
  </si>
  <si>
    <t>Pesantren Fadhlul Fadhlan, Jalan Ngrobyong Dukuh Wonorejo, Pesantren, Mijen, KOTA SEMARANG, MIJEN, JAWA TENGAH, ID, 50212</t>
  </si>
  <si>
    <t>Ahsanul Khalik</t>
  </si>
  <si>
    <t>Kantor Pu Bp2jk, Jalan Banjir Kanal No.1, Alai Parak Kopi, Padang Utara , KOTA PADANG, PADANG UTARA, SUMATERA BARAT, ID, 25139</t>
  </si>
  <si>
    <t>Hyderabad</t>
  </si>
  <si>
    <t>Irvan Karquza</t>
  </si>
  <si>
    <t xml:space="preserve"> Jalan revolusi gang melati II A no 35 RT 43 kelurahan lok bahu
  Kecamatan:sungai kunjang 
  Kabupaten/Kota: Samarinda
  Provinsi: Kaltim</t>
  </si>
  <si>
    <t>Hesti Dyah Puspitasari</t>
  </si>
  <si>
    <t>Sekolah Tinggi Ilmu Kesehatan Kepanjen
Jl. Trunojoyo No. 16
Kepanjen
Kabupaten Malang
Jawa Timur</t>
  </si>
  <si>
    <t>Manajemen Sarana dan Prasarana Fisik di Rumah Sakit</t>
  </si>
  <si>
    <t>Bedjo Utomo</t>
  </si>
  <si>
    <t>Asuhan Keperawatan Sistem Pencernaan (dengan Pendekatan Diagnosa SDKI dan Intervensi SIKI)</t>
  </si>
  <si>
    <t>Lestari, dkk</t>
  </si>
  <si>
    <t>Asuhan Keperawatan Pada Pasien Kanker Serviks: Terintegrasi Dengan Standar Diagnosis Keperawatan Indonesia (SDKI), Standar Luaran Keperawatan Indonesia (SLKI), Dan Standar Intervensi Keperawatan Indonesia (SIKI) PPNI</t>
  </si>
  <si>
    <t>Sofia Februanti</t>
  </si>
  <si>
    <t>Asuhan Keperawatan Jiwa Komunitas</t>
  </si>
  <si>
    <t>Nofrida Saswati, Isti Harkomah, &amp; Riska Amalya Nasution</t>
  </si>
  <si>
    <t>Buku Pengantar Statistik Kesehatan (Biostatistik)</t>
  </si>
  <si>
    <t>Neila Sulung &amp; Abdi Iswahyudi Yasril</t>
  </si>
  <si>
    <t>Keperawatan Bencana Efektivitas Pelatihan Bencana Pre Hospital Gawat Darurat dalam Peningkatan Efikasi Diri Kelompok Siaga Bencana dan Non Siaga Bencana Edisi I</t>
  </si>
  <si>
    <t>Kalpana Kartika</t>
  </si>
  <si>
    <t>Dasar Epidemiologi</t>
  </si>
  <si>
    <t>Manotar Sinaga dan Dosmariana Limbong</t>
  </si>
  <si>
    <t>Pemberantasan Penyakit Menular</t>
  </si>
  <si>
    <t>Nugroho Djati</t>
  </si>
  <si>
    <t xml:space="preserve"> Jl. Cicalengka Raya No. 23 (yang ada plank drg. Winny Yohana, pojok Jl. Blitar - Jl. Cicalengka Raya), RT06 RW06 , Kel. Antapani Kidul, Kec. Antapani 40291, Bandung - Jawa Barat.</t>
  </si>
  <si>
    <t>Manajemen Pengambilan Keputusan Saluran Distribusi</t>
  </si>
  <si>
    <t>Mikael Hang Suryanto</t>
  </si>
  <si>
    <t>Agit Seno Adi</t>
  </si>
  <si>
    <t>Jalan Kaliurang KM.7, Perum Vasana Residence, blok Marbela no.301, Kayen., KAB. SLEMAN, DEPOK, DI YOGYAKARTA, ID, 55282</t>
  </si>
  <si>
    <t>Stevanus Sembiring</t>
  </si>
  <si>
    <t xml:space="preserve"> Jalan Petogogan I, Gang Masjid RT.03/21, No.51 Blok A
  Kecamatan: Kebayoran Baru
  Kabupaten/Kota: Jakarta selatan
  Provinsi: DKI Jakarta</t>
  </si>
  <si>
    <t>Membangun Pertanian dan Pangan untuk Mewujudkan Kedaulatan Pangan</t>
  </si>
  <si>
    <t>Syamsul Rahman</t>
  </si>
  <si>
    <t>Endang Susilowati</t>
  </si>
  <si>
    <t>Prodi S1 Sastra Inggris Universitas Ngudi Waluyo
Jl. Diponegoro 186 Gedanganak Ungaran
Ungaran Timur
Kabupaten Semarang
Jawa Tengah
50511</t>
  </si>
  <si>
    <t>Membaca Amerika di Era Trump</t>
  </si>
  <si>
    <t>Lestari Manggong</t>
  </si>
  <si>
    <t>Salsabila Anggraeni</t>
  </si>
  <si>
    <t>Kp AMD Cibentang Rt 003/004 Desa Cibentang
  Kecamatan: Ciseeng
  Kabupaten/Kota: Bogor
  Provinsi: Jawa Barat</t>
  </si>
  <si>
    <t>firman</t>
  </si>
  <si>
    <t xml:space="preserve"> jalan indigo madya blok L7 No.10 kelurahan wanakerta.Perumahan Talaga Bestari
Kecamatan :  sindang jaya
Kabupaten : tangerang
Propinsi : Banten</t>
  </si>
  <si>
    <t>Agustinus Tupamahu</t>
  </si>
  <si>
    <t>Jalan Perumtel Kramat Jaya Gunung Nona RT 002/008 Kelurahan Benteng, Ambon, Nusaniwe, Ambon, Maluku,</t>
  </si>
  <si>
    <t>Dinamika Hubungan Industrial</t>
  </si>
  <si>
    <t>Fahmi Idris</t>
  </si>
  <si>
    <t>Dasar-Dasar Pengindraan Jauh dan Aplikasinya Pada Bidang Pertanian</t>
  </si>
  <si>
    <t>Alfina Fitriani</t>
  </si>
  <si>
    <t>Jl. Yayasan Djazuli Rt 01/Rw 05, Pliken, Kec. Kembaran, Kab. Banyumas, Jawa Tengah Kembaran Kab. Banyumas 53182
Jawa Tenga</t>
  </si>
  <si>
    <t>Ekonomi Sumberdaya Alam dan Lingkungan</t>
  </si>
  <si>
    <t>Wahyunindyawati dan Dyanasari</t>
  </si>
  <si>
    <t>anastasia</t>
  </si>
  <si>
    <t>Jl. Sei Sesayap, Tarakan Tim., Kota Tarakan, Kalimantan Utara [Tokopedia Note: no.127. RT.01. Kelurahan Kampung 4. Kecamatan Tarakan Timur] Tarakan Timur Kota Tarakan 77124
Kalimantan Utara</t>
  </si>
  <si>
    <t>Suci Wahyu Rintiani</t>
  </si>
  <si>
    <t>Dinas Komunikasi Informatika dan Persandian Kabupaten Kampar.
Jalan Ahmad Yani No. 50 Bangkinang Kota.</t>
  </si>
  <si>
    <t>Mari Membaca Cepat Untuk Siswa Kelas 5 Sekolah Dasar</t>
  </si>
  <si>
    <t>Inawati &amp; Muhamad Doni Sanjaya</t>
  </si>
  <si>
    <t>Dr. Saptono</t>
  </si>
  <si>
    <t>Politeknik Pos Indonesia. Jl Sari Asih No 54 Sarijadi. 
Kecamatan : Suka warna
Kabupaten /Kota : Bandung 40151
Provinsi : Jawa Barat</t>
  </si>
  <si>
    <t>Oktavia</t>
  </si>
  <si>
    <t>Jalan H Mughni 4 Jatimekar, Jatiasih (belakang smp 34), KOTA BEKASI, JATIASIH, JAWA BARAT, ID, 17421</t>
  </si>
  <si>
    <t>Manggar Jenar Maesa Pur</t>
  </si>
  <si>
    <t>Jalan H Nasedih No.60, RT.1/RW.3, Jaka Mulya, Bekasi Selatan, KOTA BEKASI, BEKASI SELATAN, JAWA BARAT, ID, 17146c</t>
  </si>
  <si>
    <t>Rifqi Maulana</t>
  </si>
  <si>
    <t>Kp.pangkalan Desa Cisitu Nyalindung RT 001/003 Jawa Barat Kab. Sukabumi Nyalindung Indonesia Kab. Sukabumi</t>
  </si>
  <si>
    <t>Cara Praktis Menerjemahkan Teks Berbahasa Inggris</t>
  </si>
  <si>
    <t>Hascaryo Pramudibyanto &amp; Tyas Agung Pribadi</t>
  </si>
  <si>
    <t>Zaenab</t>
  </si>
  <si>
    <t>jalan Cendana 14 RT 4 rw 11 kontrakan depan masjid · Jakasampurna (Jaka Sampurna) Jawa Barat Kota Bekasi Bekasi Barat Indonesia Kota Bekas</t>
  </si>
  <si>
    <t>Ika</t>
  </si>
  <si>
    <t>Kp. Pasir Bedil RT 17/ RW 04 Jawa Barat Kab. Sukabumi Purabaya Indonesia Kab. Sukabumi</t>
  </si>
  <si>
    <t>Gideon Sabdowisnu Mukti</t>
  </si>
  <si>
    <t>perumahan D'NINE RESIDENCE BLOK D 1, Cibitung, Kab. Bekasi, Jawa Barat, 17520</t>
  </si>
  <si>
    <t>Budaya Organisasi dan Kinerja</t>
  </si>
  <si>
    <t>Hari Sulaksono</t>
  </si>
  <si>
    <t>Syamsul Bahri</t>
  </si>
  <si>
    <t>Jln. Hang Tuah Lorong Bukit Sofa Blok C (Kos-kosan As-Shafa depan Penjual Ayam Potong), Mantikulore, Palu, Sulawesi Tengah, 94118</t>
  </si>
  <si>
    <t>DPRD Kabupaten Brebes dari Masa ke Masa</t>
  </si>
  <si>
    <t>Muamar Riza Pahlevi</t>
  </si>
  <si>
    <t>YANUAR CHAIDIR</t>
  </si>
  <si>
    <t>KOMPLEK JABAL RAHMAH LESTARI BLOK P.1 RT.04 RW.05 KEL. SUNGAI SAPIH
  Kecamatan: KURANJI 
  Kabupaten/Kota: PADANG
  Provinsi: SUMATERA BARAT</t>
  </si>
  <si>
    <t>yusuf Kusmayadi</t>
  </si>
  <si>
    <t>Jl. H. Bakri no 43 RT 02 RW 01 Dusun Kliwon Desa/Kec. Cilimus Kab. Kuningan Jawa Barat 45556, Cilimus, Kuningan, Jawa Barat, 45556</t>
  </si>
  <si>
    <t>Belajar Dasar Algoritma dan Pemograman C++</t>
  </si>
  <si>
    <t>T. Henny Febriana Harumy dkk</t>
  </si>
  <si>
    <t>tini windari</t>
  </si>
  <si>
    <t>Stik bina Husada, masuk lorong kantin dilla, kos hj imnah no 12., KOTA PALEMBANG, BUKIT KECIL, SUMATERA SELATAN, ID, 30131</t>
  </si>
  <si>
    <t>itin riyanti</t>
  </si>
  <si>
    <t>Gn. medan. koto baru. kabupaten dharmasraya sumatera barat. kampus UNDHARI, KAB. Dharmasraya, koto baru, sumatera barat, ID 27681 · Koto Padang Sumatera Barat Kab. Dharmasraya Koto Baru Indonesia Kab. Dharmasraya</t>
  </si>
  <si>
    <t>Pengenalan Sistem Pendukung Keputusan</t>
  </si>
  <si>
    <t>Ferry Susanto</t>
  </si>
  <si>
    <t>fatma fatimah</t>
  </si>
  <si>
    <t>Perumahan Villa Grandis Blok D-3 Jl. Persahabatan 7 Rt 10/08 Kelapa Dua Wetan, KOTA JAKARTA TIMUR, CIRACAS, DKI JAKARTA, ID, 13730</t>
  </si>
  <si>
    <t>Ekspor Impor: Teori dan Praktikum Kegiatan Ekspor Impor untuk Praktisi Logistik dan Bisnis</t>
  </si>
  <si>
    <t>ayu triana febrianti</t>
  </si>
  <si>
    <t xml:space="preserve">Jln. Smp 3 Gang Mawar RT 08/01 Desa Indrasari Kec. Martapura Kota Kab. Banjar No Rumah 08, KAB. BANJAR, MARTAPURA KOTA, KALIMANTAN SELATAN, ID, 70619
</t>
  </si>
  <si>
    <t>Basket untuk Pemula (Teori &amp; Praktik)</t>
  </si>
  <si>
    <t>Yolis Y.A. Djami</t>
  </si>
  <si>
    <t>Dodi Dwitura</t>
  </si>
  <si>
    <t xml:space="preserve">Dusun Cigunung Desa Cikidang RT 005 RW 008 Bantarujeg Majalengka, KAB. MAJALENGKA, BANTARUJEG, JAWA BARAT, ID, 45464
</t>
  </si>
  <si>
    <t>Mudah Belajar Ilmu Mawaris</t>
  </si>
  <si>
    <t>Alivermana Wiguna</t>
  </si>
  <si>
    <t>Nurul Husna</t>
  </si>
  <si>
    <t xml:space="preserve">Akbid As Syifa Kisaran, Jalan Durian Lk IV, Kisaran Naga, Kisaran Timur Kota, KAB. ASAHAN, KISARAN TIMUR KOTA, SUMATERA UTARA, ID, 21223
</t>
  </si>
  <si>
    <t>Mas'adah/Toko Happy Sho</t>
  </si>
  <si>
    <t>Ruko Hn Putra Square, Jalan Kh Ahmad Dahlan No.4, Pasar Batang, Brebes, KAB. BREBES, BREBES, JAWA TENGAH, ID, 52212</t>
  </si>
  <si>
    <t>Cross Selling dan Cross Buying: Pemahamannya dalam Dunia Pemasaran</t>
  </si>
  <si>
    <t>Mayla Surveyandini</t>
  </si>
  <si>
    <t>Melati Bunga Lestari</t>
  </si>
  <si>
    <t>Jln. Kamboja 2, Bekasi Griya Pratama, Blok D11 no 14 (Warna rumah oranye), KAB. BEKASI, TAMBUN SELATAN, JAWA BARAT, ID, 17510</t>
  </si>
  <si>
    <t>JARIMATIKA: Penjumlahan, Pengurangan, Perkalian, dan Pembagian</t>
  </si>
  <si>
    <t>Harry Dwi Putra, Martin Bernard, dan Septi Peni Wulandani</t>
  </si>
  <si>
    <t>Vesta</t>
  </si>
  <si>
    <t xml:space="preserve">Jl. Usaha No. 15 RT 21 Harapan Baru, KOTA SAMARINDA, LOA JANAN ILIR, KALIMANTAN TIMUR, ID, 75131
</t>
  </si>
  <si>
    <t>Implementasi Uji Benih Padi Sawah Lokal Kalimantan Timur</t>
  </si>
  <si>
    <t>Rusdiansyah dan Achmad Zaini</t>
  </si>
  <si>
    <t>Peluang Budidaya Tanaman Padi sebagai Penyedia Beras dan Pakan Ternak Menunjang Kedaulatan Pangan</t>
  </si>
  <si>
    <t>Jamilah</t>
  </si>
  <si>
    <t>Shilvy Grafika Shooting</t>
  </si>
  <si>
    <t xml:space="preserve">Jalan Rajawali, RT.1/RW.4, Pangkah Wetan, Ujung Pangkah, KAB. GRESIK, UJUNG PANGKAH, JAWA TIMUR, ID, 61154
</t>
  </si>
  <si>
    <t>Ridho Hidayat</t>
  </si>
  <si>
    <t>Jalan durian 1 Blok f Perumahan Pemda Way Huwi, Kecamatan Jati Agung
Jati Agung
Kabupaten Lampung Selatan
Lampung</t>
  </si>
  <si>
    <t>Validasi dan Verifikasi Metode Uji</t>
  </si>
  <si>
    <t>Riyanto, Ph.D</t>
  </si>
  <si>
    <t>Caswati</t>
  </si>
  <si>
    <t>Ramlan Majid</t>
  </si>
  <si>
    <t>Pemda Kabupaten Luwu Utara
Jl Dg Siraju No 37 Bara-Baraya Utara
Makassar
Kota Makassar
Sulawesi Selatan
90143</t>
  </si>
  <si>
    <t>Hendro Mulyono</t>
  </si>
  <si>
    <t xml:space="preserve"> Toko Raja Undangan Jalan Ahmad Yani (deretan Kantor Bupati BENGKALIS) 
  Kecamatan: Bengkalis
  Kabupaten/Kota: Bengkalis
  Provinsi: Riau </t>
  </si>
  <si>
    <t>Hukum Tata Negara Sistem Presidensial RI: Sejarah, Kekuasaan, Praktik dan Problematik</t>
  </si>
  <si>
    <t>Josef Mario Monteiro</t>
  </si>
  <si>
    <t>Nadzirum Mubin</t>
  </si>
  <si>
    <t>Perumahan IPB Alam Sinarsari Jl. Kecipir 1 Blok A33
  Kecamatan: Dramaga
  Kabupaten/Kota: Bogor
  Provinsi: Jawa Barat</t>
  </si>
  <si>
    <t>Gulma dan Pengendaliannya</t>
  </si>
  <si>
    <t>Uum Umiyati dan Dedi Widayat</t>
  </si>
  <si>
    <t>Dwi Suhartini</t>
  </si>
  <si>
    <t>timur SD N 3 kalimandi Rt 1 rw 5 · Kalimandi Jawa Tengah Kab. Banjarnegara Purworejo Klampok Indonesia Kab. Banjarnegara</t>
  </si>
  <si>
    <t>Made Arta Wirya</t>
  </si>
  <si>
    <t>Buleleng 81173 smp negeri 1 tejakula · Tejakula Bali Kab. Buleleng Tejakula Indonesia Kab. Buleleng</t>
  </si>
  <si>
    <t>Tuberkulosis</t>
  </si>
  <si>
    <t>Retno Ardanari Agustin</t>
  </si>
  <si>
    <t>Lily Kawatu</t>
  </si>
  <si>
    <t>Jl Lagga No 51 Rt 009 Rw 002 Lenteng Agung 
  Kecamatan: jagakarsa
  Kabupaten/Kota: Jakarta Selatan
  Provinsi: DKI Jakarta</t>
  </si>
  <si>
    <t>Bahasa Indonesia Terapan</t>
  </si>
  <si>
    <t>Sinta Diana Martaulina</t>
  </si>
  <si>
    <t>wiwit lestari</t>
  </si>
  <si>
    <t>Jl. dayak kelian blok l no 09
Samarinda Utara
Kota Samarinda
Kalimantan Timur
75119</t>
  </si>
  <si>
    <t>Buku Saku Penelitian Pendidikan Penelitian Tindakan Kelas Penulisan Karya Ilmiah</t>
  </si>
  <si>
    <t>Dwi Nugroho Hidayanto</t>
  </si>
  <si>
    <t>Azis Ibrahim</t>
  </si>
  <si>
    <t>Pakembangan Barat RT 07/ RW 05 No. Palmerah Utara Jakarta Barat 11480
  Kecamatan: Palmerah
  Kabupaten/Kota: Jakarta Barat
  Provinsi: DKI Jakarta</t>
  </si>
  <si>
    <t>Teguh Hindarto, S.Sos, M.Th.</t>
  </si>
  <si>
    <t>Perumahan Prajamukti, Blok P.1,  Kelurahan :Gemeksekti, Kecamatan :Kebumen, Kabupaten/Kota :Kebumen, Jawa Tengah, 54317</t>
  </si>
  <si>
    <t>Cani</t>
  </si>
  <si>
    <t>Jl.Bekatonik no.57 citikutra,bandung (Fenadi house) , KOTA BANDUNG, CIBEUNYING KIDUL, JAWA BARAT, ID, 40124</t>
  </si>
  <si>
    <t>Manajemen Pemasaran</t>
  </si>
  <si>
    <t>Warnadi dan Aris Triyono</t>
  </si>
  <si>
    <t>Rima Patniana</t>
  </si>
  <si>
    <t>perum wanaraja permai blok c2 no 2 Jawa Barat Kab. Garut Sucinaraja Indonesia Kab. Garut</t>
  </si>
  <si>
    <t>Belajar Bahasa Jepang Mudah dan Tuntas (Seri Hiragana)</t>
  </si>
  <si>
    <t>Maria N. Luthfiah</t>
  </si>
  <si>
    <t>syahriawan rauf</t>
  </si>
  <si>
    <t>jl.daeng hayo lr.4 no.6 rt.e rw.002
  Kecamatan: manggala
  Kabupaten/Kota: makassar
  Provinsi: sulawesi selatan</t>
  </si>
  <si>
    <t>Permesinan Kapal</t>
  </si>
  <si>
    <t>Ir. Nuradi, M. Eng</t>
  </si>
  <si>
    <t>dr sri jauharah laily SpOG</t>
  </si>
  <si>
    <t>jalan purwodadi. perumahan citra garden blok A02 No 1 Tampan. Pekanbaru Riau 28294, Pekanbaru, Pekanbaru, Riau, 28115</t>
  </si>
  <si>
    <t>Pembentukan Pengadilan Khusus Medis</t>
  </si>
  <si>
    <t>Ontran Sumantri Riyanto</t>
  </si>
  <si>
    <t>Perumahan Grand Riscon Padjajaran Blok E8/No.24, Cimanggis, Bojong Gede, Kabupaten Bogor, Jawa Barat</t>
  </si>
  <si>
    <t>Dinamika Hukum Islam Indonesia</t>
  </si>
  <si>
    <t>Dr. R. Saija, S.H., M.H.</t>
  </si>
  <si>
    <t>Gagasan-Gagasan Hukum Islam</t>
  </si>
  <si>
    <t>Ahmad Syahrus Sikti</t>
  </si>
  <si>
    <t>Hukum Adat Indonesia</t>
  </si>
  <si>
    <t>Aprizal</t>
  </si>
  <si>
    <t>Hukum Administrasi Negara</t>
  </si>
  <si>
    <t>Nur Asyiah</t>
  </si>
  <si>
    <t>Budaya Hukum Birokrasi Pelayanan Publik Di Indonesia</t>
  </si>
  <si>
    <t>Jamiat Akadol</t>
  </si>
  <si>
    <t>Morfologi Bahasa Indonesia</t>
  </si>
  <si>
    <t>Jusrin Efendi Pohan</t>
  </si>
  <si>
    <t>Kumpulan Esai Anak-Anak Sungai: Sketsa Masyarakat Bantaran Sungai Dalam Perspektif Bimbingan Dan Konseling</t>
  </si>
  <si>
    <t>Islam dan Adat, Keteguhan Adat dalam Kepatuhan Beragama</t>
  </si>
  <si>
    <t>Ismail Suardi Wekke, Rosdalina Bukido dan Nam Rumkel</t>
  </si>
  <si>
    <t>Pemesan</t>
  </si>
  <si>
    <t>Nama Penerima</t>
  </si>
  <si>
    <t xml:space="preserve">jumlah pesanan </t>
  </si>
  <si>
    <t>Cucu siti</t>
  </si>
  <si>
    <t xml:space="preserve"> Kp. Cijambe kulon rt 2 rw 8 no 67 , desa cinunuk. Tanya saja warung bu anih/pak utan, KAB. BANDUNG, CILEUNYI, JAWA BARAT, ID, 40624</t>
  </si>
  <si>
    <t>Sistem Informasi Akuntansi Dengan Pendekatan Simulasi</t>
  </si>
  <si>
    <t>Taufan Adi Kurniawan</t>
  </si>
  <si>
    <t xml:space="preserve"> Kp. Cijambe kulon rt 2 rw 8 no 67 , desa cinunuk. Tanya saja warung bu anih/pak utan, KAB. BANDUNG, CILEUNYI, JAWA BARAT, ID, 40625</t>
  </si>
  <si>
    <t>Praktikum Sistem Informasi Akuntansi</t>
  </si>
  <si>
    <t>Rika Suprapty</t>
  </si>
  <si>
    <t xml:space="preserve"> Kp. Cijambe kulon rt 2 rw 8 no 67 , desa cinunuk. Tanya saja warung bu anih/pak utan, KAB. BANDUNG, CILEUNYI, JAWA BARAT, ID, 40626</t>
  </si>
  <si>
    <t>Sistem Informasi Akuntansi (Beserta Contoh Penerapan Aplikasi Sia Sederhana Dalam UMKM)</t>
  </si>
  <si>
    <t>Kurnia Cahya Lestari dan Arni Muarifah Amri</t>
  </si>
  <si>
    <t xml:space="preserve"> Kp. Cijambe kulon rt 2 rw 8 no 67 , desa cinunuk. Tanya saja warung bu anih/pak utan, KAB. BANDUNG, CILEUNYI, JAWA BARAT, ID, 40627</t>
  </si>
  <si>
    <t>denny suci kurnia</t>
  </si>
  <si>
    <t>perumahan greenery permai blok f9 bojong gede bogor, KAB. BOGOR, BOJONGGEDE, JAWA BARAT, ID, 16922</t>
  </si>
  <si>
    <t>Muhammad Aziz</t>
  </si>
  <si>
    <t>Depan rumah kepala desa gn meraksa baru , KAB. EMPAT LAWANG, PENDOPO, SUMATERA SELATAN, ID, 31593</t>
  </si>
  <si>
    <t>Metode Penelitian Ilmu Komputer dengan Komputasi Statistika Berbasis R</t>
  </si>
  <si>
    <t>Faruq ( suwarno)</t>
  </si>
  <si>
    <t>dusun legok Rt01 Rw05 desa siar kec.rembang kab.pasuruan.jawa timur, KAB. PASURUAN, REMBANG, JAWA TIMUR, ID, 67152</t>
  </si>
  <si>
    <t>Pangiutan Tondi Lubis</t>
  </si>
  <si>
    <t>jalan ledjend soeprapto no 31. 
  Kecamatan: Bincar
  Kabupaten/Kota: kota padangsidimpuan
  Provinsi: sumatra utara</t>
  </si>
  <si>
    <t>Iriyanti Putra Indah</t>
  </si>
  <si>
    <t>Perum BKI Blok B. No.111. Rt. 03/Rw09. Desa Licin. 
  Kecamatan: Cimalaka
  Kabupaten/Kota:  Sumedang
  Provinsi: Jawa Barat</t>
  </si>
  <si>
    <t>Abdul Mufti</t>
  </si>
  <si>
    <t>JL. KENANGA IV BLOK B5 NOMOR 5 PERUMAHAN TAMAN DUTA
Sukmajaya
Kota Depok
Jawa Barat</t>
  </si>
  <si>
    <t>Metode Analisis Fraktal</t>
  </si>
  <si>
    <t>Joko Sampurno, S.Si., M.Si., Irfana Diah Faryuni, S.Si., M.Si.</t>
  </si>
  <si>
    <t>Imam teguh Aprianto</t>
  </si>
  <si>
    <t>Jl Padat Karya Lr Jambu RT 46 Rw 02 
  Kecamatan: Sukarami
  Kabupaten/Kota: Palembang
  Provinsi: Sumsel</t>
  </si>
  <si>
    <t xml:space="preserve">Antologi Puisi Cahaya Mataku
</t>
  </si>
  <si>
    <t>Syafa Tria Tinata, dkk</t>
  </si>
  <si>
    <t xml:space="preserve">jne 
</t>
  </si>
  <si>
    <t>Joan Thenu</t>
  </si>
  <si>
    <t>Balai Pelatihan dan Penyuluhan Perikanan, Jln. Martha Alfons, Poka
  Kecamatan: Teluk Ambon
  Kabupaten/Kota: Ambon
  Provinsi: Maluku</t>
  </si>
  <si>
    <t>Kinetika Hidrolisis Mikroalga Dengan Enzim</t>
  </si>
  <si>
    <t>Megawati &amp; Astrilia Damayanti</t>
  </si>
  <si>
    <t>Dr. Dermawan Waruwu</t>
  </si>
  <si>
    <t>Jln. Gunung Catur, Perumahan Mekar Sari II No 6, Kecamatan Denpasar Barat, Kota Denpasar, Bali</t>
  </si>
  <si>
    <t>Bawomataluo Destinasi Wisata Nias Pulau Impian</t>
  </si>
  <si>
    <t>Dermawan Waruwu</t>
  </si>
  <si>
    <t>Pengantar Industri Pariwisata</t>
  </si>
  <si>
    <t>I Gusti Bagus Rai Utama, SE., MMA., MA</t>
  </si>
  <si>
    <t>Amsalia Mallita</t>
  </si>
  <si>
    <t xml:space="preserve">Paud Permata Bunda(blkng SMP 1 Mamasa)jl.Pendidikan Dama-Dama Kel. Mamasa , KAB. MAMASA, MAMASA, SULAWESI BARAT, ID, 91362
</t>
  </si>
  <si>
    <t>Wasripah</t>
  </si>
  <si>
    <t>Jl raya petungkriyono dukuh tinalum rt 02 rw 02 kayupuring petungkriyono, KAB. PEKALONGAN, PETUNGKRIONO/PETUNGKRIYONO, JAWA TENGAH, ID, 51193</t>
  </si>
  <si>
    <t>Rio Kingdom</t>
  </si>
  <si>
    <t>kobisonta A1, samping mesjid, Seram Utara Timur Seti, Maluku Tengah, Maluku, 97556</t>
  </si>
  <si>
    <t>Otong Suhyanto</t>
  </si>
  <si>
    <t>Jalan Aster 1 Perum Megasentul Sektor Alamanda Blok G-9 RT 02/RW 08 Desa Pasirlaja Jawa Barat Kab. Bogor Sukaraja Indonesia Kab. Bogor</t>
  </si>
  <si>
    <t>Ilham</t>
  </si>
  <si>
    <t>KPw Bank Indonesia Prov. Sulawesi Tenggara, Jln. Sultan Hasanuddin no 150 kel. Tipulu Sulawesi Tenggara Kota Kendari Kendari Barat Indonesia Kota Kendari</t>
  </si>
  <si>
    <t>70 Materi Safety Talks</t>
  </si>
  <si>
    <t>Noviaji Joko Priono &amp; Agung Supriyadi</t>
  </si>
  <si>
    <t>Perumahan Prajamukti, Blok P.1,  Kelurahan :Gemeksekti, Kecamatan :Kebumen, Kabupaten/Kota :Kebumen, Jawa Tengah, 5431</t>
  </si>
  <si>
    <t>halidin</t>
  </si>
  <si>
    <t>Perumahan Square Garden blok B no.1A, Tajurhalang, Kab. Bogor, Jawa Barat, 16937</t>
  </si>
  <si>
    <t xml:space="preserve"> RT 03 /04 · Gunungmasigit Jawa Barat Kab. Bandung Barat Cipatat Indonesia Kab. Bandung Barat</t>
  </si>
  <si>
    <t>Implementasi Pembiasaan Diri dan Pendidikan Karakter ( Sebagai Pengantar)</t>
  </si>
  <si>
    <t>Suprapto Wahyunianto</t>
  </si>
  <si>
    <t>Arviani Arvian</t>
  </si>
  <si>
    <t>STIKes Madani Yogyakarta
Belakang Masjid Abu Bakar, Jalan Wonosari KM.10. Karanggayam, Sitimulyo, Piyungan, Bantul, Yogyakarta
Piyungan
Kabupaten Bantul
Daerah Istimewa Yogyakarta
55792</t>
  </si>
  <si>
    <t>Kimia Kehidupan Model Integrasi Sains-Agama Sebagai Panduan Pendidikan Karakter Dalam Pembelajaran Kimia</t>
  </si>
  <si>
    <t>Agung Nugroho Catur Saputro</t>
  </si>
  <si>
    <t>Godeliva Susanti Terika</t>
  </si>
  <si>
    <t xml:space="preserve"> RT 01,RW 15 ,danguran ,Klaten Selatan
  Kecamatan: Klaten Selatan
  Kabupaten/Kota: klaten
  Provinsi: Jawa tengah</t>
  </si>
  <si>
    <t>Metodik Khusus Dalam Ilmu Kebidanan</t>
  </si>
  <si>
    <t>Ira Jayanti</t>
  </si>
  <si>
    <t>Dhanty Wilson</t>
  </si>
  <si>
    <t>Jl. Bunga mayang, komplek maskarebet lorong kebun 1 no. 06 rt.03 rw.01 km. 10
  Kecamatan: Alang alang lebar
  Kabupaten/Kota: Palembang
  Provinsi: Sumatera Selatan</t>
  </si>
  <si>
    <t>“Antologi Puisi” Cahaya Mataku</t>
  </si>
  <si>
    <t>Syafa Tria Tinata dan Siswa/Siswi SD Negeri 243 Palembang</t>
  </si>
  <si>
    <t>Djunaidi</t>
  </si>
  <si>
    <t>Disdik Kabupaten Berau
Jln. AKB Sanipah II Gang Lebak Bulus RT 36 No. 12 Tanjung Redeb
Tanjung Redeb
Kabupaten Berau
Kalimantan Timur</t>
  </si>
  <si>
    <t>Sigit (TB. Nusa Cendana)</t>
  </si>
  <si>
    <t>Jl. Braga, No. 115,  Kel. Braga, Kec. Sumur Bandung, Kota Bandung, 40111</t>
  </si>
  <si>
    <t>Revi Rusfiani</t>
  </si>
  <si>
    <t>Samping Warung Sop Pak Dalang Jl. Raya Sukamahi Desa Sukamahi RT/06 RW/03 No. Kost 8
Cikarang Pusat
Kabupaten Bekasi
Jawa Barat</t>
  </si>
  <si>
    <t>Perpajakan, Suatu Pengantar</t>
  </si>
  <si>
    <t>Lazarus Ramandey, S.Sos., M.T.</t>
  </si>
  <si>
    <t>Latipun</t>
  </si>
  <si>
    <t>Jl. Cakalang 251-D Malang
  Kecamatan: Blimbing
  Kota: Malang
  Provinsi: Jawa Timur</t>
  </si>
  <si>
    <t>ELFIDA</t>
  </si>
  <si>
    <t>Jalan Surau Kolam, Balai Baru, Toboh Sikumbang
  Kecamatan: VII Koto Sungai Sariak
  Kabupaten/Kota: Kab Padang Pariaman
  Provinsi: Sumatra Barat</t>
  </si>
  <si>
    <t>Bagaimana Membuat Kartu Permainan Pembelajaran Konsep Dasar Matematika SD?</t>
  </si>
  <si>
    <t>Caswo</t>
  </si>
  <si>
    <t>kiki zakaria</t>
  </si>
  <si>
    <t>jl soekarno hatta no 378 bandung ( sekolah tinggi teknologi bandung ) Bojongloa Kidul Kota Bandung 40235
Jawa Barat</t>
  </si>
  <si>
    <t>Bahan Ajar Rancangan Teknik Industri</t>
  </si>
  <si>
    <t>Muhammad Arif, S.T., M.T.</t>
  </si>
  <si>
    <t>STEPHANUS OLA DEMON</t>
  </si>
  <si>
    <t xml:space="preserve"> JL.SITARDA RT.005/RW 002 - KELURAHAN LASIANA
  Kecamatan: KELAPA LIMA
  Kabupaten/Kota: KUPANG
  Provinsi:NUSA TENGGARA TIMUR</t>
  </si>
  <si>
    <t>Dudy</t>
  </si>
  <si>
    <t>Abdul Hamid</t>
  </si>
  <si>
    <t>Monograf Hygiene Factor dan Pengaruhnya terhadap Kepuasan Kerja Karyawan Studi pada Bidang Distribusi PT PLN (Persero) UP3 Sumbawa</t>
  </si>
  <si>
    <t>Suprianto, Rudi Masniadi, &amp; Yadi Hartono</t>
  </si>
  <si>
    <t>YOSI MARIZAN</t>
  </si>
  <si>
    <t>Jln. Gunernur H. Achmad Bastari/Jln. Pendidikan Perumahan Albaria Blok D No.16 OPI-Jakabaring (Samping SMAN 19 PLG), KOTA PALEMBANG, SEBERANG ULU I, SUMATERA SELATAN, ID, 35211</t>
  </si>
  <si>
    <t>Sambungan Balok Kolom Baja Canai Dingin (Teori, Perhitungan, Dan Pengujian Sambungan)</t>
  </si>
  <si>
    <t>K. M. Aminuddin…[et.al.]</t>
  </si>
  <si>
    <t>Ali Mukhtar</t>
  </si>
  <si>
    <t>Ponpes Al Ma'tuq, Jl. Kadudampit Desa Gunung Jaya, KAB. SUKABUMI, CISAAT, JAWA BARAT, ID, 43342</t>
  </si>
  <si>
    <t>Ponpes Al Ma'tuq, Jl. Kadudampit Desa Gunung Jaya, KAB. SUKABUMI, CISAAT, JAWA BARAT, ID, 43343</t>
  </si>
  <si>
    <t>Manajemen Pendidikan</t>
  </si>
  <si>
    <t>Muhammad Kristiawan, dkk</t>
  </si>
  <si>
    <t>Rieza / Nur Fadhilah</t>
  </si>
  <si>
    <t>Perum new puri kartika asri wonorejo arjowinangun blok j1 no 23, RT 6 RW 10, Kel. Arjowinangun, Kedungkandang, Malang, Jawa Timur, 65132</t>
  </si>
  <si>
    <t>Nur Fajri Romadhon</t>
  </si>
  <si>
    <t>Kantor Pusat Yayasan BISA Jl. KH. M. Usman Gg. Ridho III (Rawa Pule Buntu) no. 9B, Kelurahan Kukusan, Kecamatan</t>
  </si>
  <si>
    <t>Reni Dwi Pratiw</t>
  </si>
  <si>
    <t>Gayungan Jawa Timur Kota Surabaya Gayungan Indonesia Kota Surabaya</t>
  </si>
  <si>
    <t>Kumpulan Cerpen: Mekar Semalam</t>
  </si>
  <si>
    <t>Mushoffa</t>
  </si>
  <si>
    <t>Jalan Jenderal Ahmad Yani 13 Ulu Palembang · Silaberanti Sumatera Selatan Kota Palembang Jakabaring Indonesia Kota Palembang</t>
  </si>
  <si>
    <t>Nafisah</t>
  </si>
  <si>
    <t>Jln Pancoran Timur IIIA no 1A RT/RW: 10/08. Kelurahan Pengadegan kecamatan Pancoran. Jakarta Selatan 12770</t>
  </si>
  <si>
    <t>Fenomenologi</t>
  </si>
  <si>
    <t>Michael Jibrael Rorong</t>
  </si>
  <si>
    <t>Buku Ajar Keperawatan Gerontik</t>
  </si>
  <si>
    <t>Sofia Rhosma Dewi, S.Kep.Ners.</t>
  </si>
  <si>
    <t>Muhammad Faizar H</t>
  </si>
  <si>
    <t>Jln.Pejagalan Kulon no.23 rt.01 rw.05 sokaraja tengah, Sokaraja, Banyumas, Jawa Tengah, 53181</t>
  </si>
  <si>
    <t>EPISTEMOLOGI INTUISI (DZAUQ) dalam Kitab Majmū‘ah Rasā‘il Imām Al-ghazālī (Kajian Terhadap Tasawuf)</t>
  </si>
  <si>
    <t>Milahtul Latifah</t>
  </si>
  <si>
    <t>FIRJINAS RIZQILMI HAQ</t>
  </si>
  <si>
    <t>ds.ngampel dsn.bajulan rt/03 rw/10
  Kecamatan:papar
  Kabupaten/Kota:kediri
  Provinsi:jawa timur</t>
  </si>
  <si>
    <t>Buku Ajar Psikologi Industri Dan Organisasi</t>
  </si>
  <si>
    <t>Hany Azza Umama</t>
  </si>
  <si>
    <t>Herlina Murdiastuti</t>
  </si>
  <si>
    <t>Jl. Singosari Timur II No.1B
  Kecamatan: Semarang selatan
  Kabupaten/Kota: Semarang
  Provinsi: Jawa Tengah</t>
  </si>
  <si>
    <t>Innovative Behavior At Work: Tinjauan Psikologi &amp; Implementasi Di Organisasi</t>
  </si>
  <si>
    <t>Iffah Rosyiana</t>
  </si>
  <si>
    <t>MuhammadFebriansyah</t>
  </si>
  <si>
    <t>Btn Bulik Griya, Jalan garuda 4 no 8, KAB. LAMANDAU, BULIK, KALIMANTAN TENGAH, ID, 74162</t>
  </si>
  <si>
    <t>Ratya Mardika Tata Koesoema</t>
  </si>
  <si>
    <t>Jl. Taman Kuta F/5 RT/RW 004/004 Beranda Bali BSB Kelurahan Pesantren Kecamatan Mijen Kota Semarang Rumah, Mijen, Semarang, Jawa Tengah, 50212</t>
  </si>
  <si>
    <t>ibu verina</t>
  </si>
  <si>
    <t xml:space="preserve">Kp. Sawah GG. Flamboyan RT. 005 RW 02 No. 36
Jati Murni, Pondok Melati, Bekasi
</t>
  </si>
  <si>
    <t>Dibalik Kematian</t>
  </si>
  <si>
    <t>meRAH</t>
  </si>
  <si>
    <t>5 Keys – Soldier</t>
  </si>
  <si>
    <t>Dimas Nurrahman Pratama</t>
  </si>
  <si>
    <t>Cahaya di Ujung Labirin Bathin Baba and Me</t>
  </si>
  <si>
    <t>Tere Kusmiadi</t>
  </si>
  <si>
    <t>Rumah 11 Kisah</t>
  </si>
  <si>
    <t>Dimas Ari Pamungkas</t>
  </si>
  <si>
    <t>Nggambleh Coy</t>
  </si>
  <si>
    <t>AGennotes</t>
  </si>
  <si>
    <t>De Bloem Der Indische Bergstede</t>
  </si>
  <si>
    <t>Rachdian</t>
  </si>
  <si>
    <t>Kontemplasi 100 Tanya Jawab tentang Relasi, Filosofi, Kepercayaan &amp; Tanah Air</t>
  </si>
  <si>
    <t>Kevin Nobel Kurniawan</t>
  </si>
  <si>
    <t>Islam dan Negara Kolaboratokrasi Jilid 1</t>
  </si>
  <si>
    <t>Sunarwan Asuhadi</t>
  </si>
  <si>
    <t>Islam dan Negara Kolaboratokrasi Jilid 2</t>
  </si>
  <si>
    <t>Empowerment Timur &amp; Barat Indonesia</t>
  </si>
  <si>
    <t>Sherlinda Octa</t>
  </si>
  <si>
    <t>Sosiologi Madrasah: Menyoal Isu-Isu Sosiologis Madrasah</t>
  </si>
  <si>
    <t>Riadi</t>
  </si>
  <si>
    <t>Mentari Senja Yang Terbelah</t>
  </si>
  <si>
    <t>Makhasin</t>
  </si>
  <si>
    <t>ibu dini</t>
  </si>
  <si>
    <t xml:space="preserve">Komplek PU Pasarjumat-Lebak Bulus Brecast Bina Marga Blok 7 No. 405
Kel. Pondok Pinang, Kec. Kebayoran Lama Jakarta Selatan
</t>
  </si>
  <si>
    <t>Arsyad Riyadi</t>
  </si>
  <si>
    <t>Perumahan Wirasana Indah Blok E No.7 Rt 01 Rw 06 Wirasana Purbalingga, KAB. PURBALINGGA, PURBALINGGA, JAWA TENGAH, ID, 53318</t>
  </si>
  <si>
    <t>Mudah Membangun Website Sekolah dengan CMS Wordpress</t>
  </si>
  <si>
    <t>Aris Susanto</t>
  </si>
  <si>
    <t>lolyta bunga</t>
  </si>
  <si>
    <t xml:space="preserve">jl gaharu utara 1 no 7 rt 2 rw 12 banyumanik smg, KOTA SEMARANG, BANYUMANIK, JAWA TENGAH, ID, 50263
</t>
  </si>
  <si>
    <t>English Course: A Course Book For College Students</t>
  </si>
  <si>
    <t>Ira Maisarah, S.Hum., M.Pd.</t>
  </si>
  <si>
    <t>Etika Ariyani</t>
  </si>
  <si>
    <t>Rendi maulana</t>
  </si>
  <si>
    <t>dusun sukaseri IV no.11 rt. 16/7 ds. Sarimulya (RIR OUTDOOR CIKAMPEK) , KAB. KARAWANG, KOTABARU, JAWA BARAT, ID, 41374</t>
  </si>
  <si>
    <t>M. Anang Firmansyah dan Budi W. Mahardhika</t>
  </si>
  <si>
    <t>Assamar Asrar</t>
  </si>
  <si>
    <t>Cemara Raya Jl. Akasia 1 No.19 Rt.36 Komp. Perumnas Kayutangi, Banjarmasin 70123, Kalimantan Selatan Banjarmasin Kota Banjarmasin 70123</t>
  </si>
  <si>
    <t>Randi Ahmad</t>
  </si>
  <si>
    <t>Jl. tambun rengas, RT 07 RW 07 No. 42 klinik Yasmin sebelum sekolah Madrasah Jauharotul Huda, Cakung, Jakarta Timur, DKI Jakarta, 13910</t>
  </si>
  <si>
    <t>Model-Model Pembelajaran</t>
  </si>
  <si>
    <t>Dr. Shilphy A. Octavia, M.Pd.</t>
  </si>
  <si>
    <t>REZA FAHLEVI LUBIS</t>
  </si>
  <si>
    <t>Jalan Agung Raya II kav. 4 Rt 08 Rw 07 (Al-Kahfi), Jagakarsa, Jakarta Selatan, DKI Jakarta, 12630</t>
  </si>
  <si>
    <t>Jalan Agung Raya II kav. 4 Rt 08 Rw 07 (Al-Kahfi), Jagakarsa, Jakarta Selatan, DKI Jakarta, 12631</t>
  </si>
  <si>
    <t>Jalan Agung Raya II kav. 4 Rt 08 Rw 07 (Al-Kahfi), Jagakarsa, Jakarta Selatan, DKI Jakarta, 12632</t>
  </si>
  <si>
    <t>Analisis dan Perancangan Sistem Kerja</t>
  </si>
  <si>
    <t>Rahmaniyah Dwi Astuti, Irwan Iftadi dan Bambang Suhardi</t>
  </si>
  <si>
    <t>moh subchan</t>
  </si>
  <si>
    <t>jl rajawali no 512 sumberrejo bojonegoro, Sumberejo, Bojonegoro, Jawa Timur, 62191</t>
  </si>
  <si>
    <t>Aisha Zulfarida</t>
  </si>
  <si>
    <t>Perum Griya Indah, Blok B4, RT.5/RW.3, Dukuh Ringin, Slawi, KAB. TEGAL, SLAWI, JAWA TENGAH, ID, 52419</t>
  </si>
  <si>
    <t>Siska Ariani (Chika)</t>
  </si>
  <si>
    <t>Desa Kadipaten, Blok Anjun Rt03 Rw11Kadipaten, Kadipaten , KAB. MAJALENGKA, KADIPATEN, JAWA BARAT, ID, 45452</t>
  </si>
  <si>
    <t>Ilmu Kesehatan Masyarakat untuk SMK Farmasi 2</t>
  </si>
  <si>
    <t>MGMP KORWIL PATI</t>
  </si>
  <si>
    <t>Ali Iswara</t>
  </si>
  <si>
    <t>SMK Telkom Makassar</t>
  </si>
  <si>
    <t>SMK Telkom Makassar (Adhi Musliadi), Jalan AP. Pettarani No. 4, Rappocini, Makassar, Sulawesi Selatan, 90221</t>
  </si>
  <si>
    <t>SMK Telkom Makassar (Adhi Musliadi), Jalan AP. Pettarani No. 4, Rappocini, Makassar, Sulawesi Selatan, 90222</t>
  </si>
  <si>
    <t>Andi Khrisbianto</t>
  </si>
  <si>
    <t>Jalan Setradago Timur IV No. 30 Antapani Bandung Note: Rumah ada bel dan Pembantu. Kecuali,paket yang sampai Hari Sabtu atau Minggu hubungi no telp saya dulu., Antapani, Bandung, Jawa Barat, 40291</t>
  </si>
  <si>
    <t>Jalan Setradago Timur IV No. 30 Antapani Bandung Note: Rumah ada bel dan Pembantu. Kecuali,paket yang sampai Hari Sabtu atau Minggu hubungi no telp saya dulu., Antapani, Bandung, Jawa Barat, 40292</t>
  </si>
  <si>
    <t>Temu Kembali Citra Berbasis Isi dengan Menggunakan Python</t>
  </si>
  <si>
    <t>Indah Agustien Siradjuddin, Wahyu Akbar Wibowo, Diana Purwitasari</t>
  </si>
  <si>
    <t>Jalan Setradago Timur IV No. 30 Antapani Bandung Note: Rumah ada bel dan Pembantu. Kecuali,paket yang sampai Hari Sabtu atau Minggu hubungi no telp saya dulu., Antapani, Bandung, Jawa Barat, 40293</t>
  </si>
  <si>
    <t>Pengantar Analisis Data Menggunakan Python</t>
  </si>
  <si>
    <t>Suprapto dan Yatim Lailun Ni’mah</t>
  </si>
  <si>
    <t>Jalan Setradago Timur IV No. 30 Antapani Bandung Note: Rumah ada bel dan Pembantu. Kecuali,paket yang sampai Hari Sabtu atau Minggu hubungi no telp saya dulu., Antapani, Bandung, Jawa Barat, 40294</t>
  </si>
  <si>
    <t>Algoritma dan Pemrograman Menggunakan Python</t>
  </si>
  <si>
    <t>Arik Kurniawati</t>
  </si>
  <si>
    <t>Ujang Iswara</t>
  </si>
  <si>
    <t>Jl.Mahoni IV blok H no 331 Jatimulya Tambun selatan Bekasi
Tambun Selatan
Kabupaten Bekasi
Jawa Barat
17515</t>
  </si>
  <si>
    <t>Rachmad Persada</t>
  </si>
  <si>
    <t>Jl.Temanggung Tilung VI No:20 A
  Kecamatan:Jekan Raya
  Kabupaten/Kota:Palangka Raya
  Provinsi:Kalimantan Tengah
N</t>
  </si>
  <si>
    <t>Strategi Pemasaran</t>
  </si>
  <si>
    <t>Dr. Ir. H. Wikrama Wardana., M.M., M.P.M.</t>
  </si>
  <si>
    <t>siti Suwadah rimang</t>
  </si>
  <si>
    <t>jl.ap.pettarani 5 no 58 mks
  Kecamatan:panakkukang
  Kabupaten/Kota:makassar
  Provinsi:sulsel</t>
  </si>
  <si>
    <t>Pembelajaran Sastra Indonesia Sebagai Wadah Pendidikan Budaya dan Karakter Bangsa</t>
  </si>
  <si>
    <t>Pepti pandri</t>
  </si>
  <si>
    <t xml:space="preserve">Blok.A depan smpn.6 kab.lahat jalan perumnas rimbe bedug desa tanjung payang kec.lahat sumsel, KAB. LAHAT, LAHAT, SUMATERA SELATAN, ID, 31419
</t>
  </si>
  <si>
    <t>Perilaku Antropologi Sosial Budaya dan Kesehatan</t>
  </si>
  <si>
    <t>Drs.H. Muslimin, S.K.M.,M.M.Kes.</t>
  </si>
  <si>
    <t>Rani susan Anggraini p</t>
  </si>
  <si>
    <t>Jl syech Abdul somad lr.panglong No 145 RT 08 RW 03 (kos an ibu imnah No 12) , KOTA PALEMBANG, BUKIT KECIL, SUMATERA SELATAN, ID, 30131</t>
  </si>
  <si>
    <t>Kikin Sakinah</t>
  </si>
  <si>
    <t>Kp. Citiis gang cijahe Rt. 03/05 Ds. Ciburayut Kec. Cigombong , KAB. BOGOR, CIGOMBONG, JAWA BARAT, ID, 16110</t>
  </si>
  <si>
    <t>Fatma siti fatimah</t>
  </si>
  <si>
    <t>villa grandys blok D3 jl persahabatan 7 rt.10 rw 08 kel kelapa dua wetan kec ciracas jakarta timur Ciracas Kota Administrasi Jakarta Timur 13740
DKI Jakarta</t>
  </si>
  <si>
    <t>Manajemen Keuangan Internasional</t>
  </si>
  <si>
    <t>Dewi Cahyani Pangestuti, S.E.,M.M.</t>
  </si>
  <si>
    <t>Perdagangan Berjangka Komoditi Berdasarkan Prinsip Syariah di Indonesia</t>
  </si>
  <si>
    <t>Hidayatulloh</t>
  </si>
  <si>
    <t>Politik Kerjasama Perdagangan Bilateral Indonesia</t>
  </si>
  <si>
    <t>Kusman Malik</t>
  </si>
  <si>
    <t>Bisnis Dan Perencanaan Bisnis Baru “3pnr Dayak Onion Cookies” Kue Kering Berbasis Bawang Dayak (Tanaman Obat Endemik Kalimantan)</t>
  </si>
  <si>
    <t>Buku Ajar Ekonomi Internasional</t>
  </si>
  <si>
    <t>Nadia</t>
  </si>
  <si>
    <t>Jl Pattimura, Perumahan Kembar Lestar 1, Blok D.01, RT 45, KOTA JAMBI, KOTA BARU, JAMBI, ID, 36129</t>
  </si>
  <si>
    <t>Jl Pattimura, Perumahan Kembar Lestar 1, Blok D.01, RT 45, KOTA JAMBI, KOTA BARU, JAMBI, ID, 36130</t>
  </si>
  <si>
    <t>Tarmiati</t>
  </si>
  <si>
    <t>Jln singoludro rt 18 rw 05 Mejayan , KAB. MADIUN, MEJAYAN, JAWA TIMUR, ID, 63153</t>
  </si>
  <si>
    <t>#Better Stories</t>
  </si>
  <si>
    <t>Dyah Sulistyaningrum … [et al.]</t>
  </si>
  <si>
    <t>Isni Oktria</t>
  </si>
  <si>
    <t>Cahaya Darussalam 3 Gg. Garuda 1B Blok D2 No. 8 RT 006 RW 002
Setu
Kabupaten Bekasi
Jawa Barat</t>
  </si>
  <si>
    <t>richard palilingan</t>
  </si>
  <si>
    <t>jln 14 februari 6 lingk 2 no 126 Teling Bawah
Wenang, Kota Manado, Sulawesi Utara 95119</t>
  </si>
  <si>
    <t>Biostatistik Inferensial (Untuk Kesehatan Masyarakat)</t>
  </si>
  <si>
    <t>Hariyani Sulistyoningsih</t>
  </si>
  <si>
    <t>SOVIA IRA HASTUTIK</t>
  </si>
  <si>
    <t>RSI JOMBANG
JL.BRIGJEN KRETARTO 22 A JOMBANG
  Kecamatan: JOMBANG
  Kabupaten/Kota: JOMBANG
  Provinsi: JAWA TIMUR</t>
  </si>
  <si>
    <t>Warna-Warni Psikologi untuk Negeri: Pemikiran dan Aplikasinya</t>
  </si>
  <si>
    <t>Tim pengajar Fakultas Psikologi YARSI</t>
  </si>
  <si>
    <t>Sandy Wijaya</t>
  </si>
  <si>
    <t>Jl Jatinegara kaum rt 09/003.no15
  Kecamatan:Pulo gadung
  Kabupaten/Kota: Jakarta Timur
  Provinsi: DKI Jakarta</t>
  </si>
  <si>
    <t>Imanuel saputra</t>
  </si>
  <si>
    <t xml:space="preserve">Jl perjuangan 3 rt.2 kost villa tower, KOTA SAMARINDA, SAMARINDA UTARA, KALIMANTAN TIMUR, ID, 75119
</t>
  </si>
  <si>
    <t>Tabat Barito (Ficus Deltoidea Jack) Kajian Budidaya, Kandungan Metabolit Sekunder, Bio-Aktivitas, Prospek Fitofarmakologis</t>
  </si>
  <si>
    <t>Hetty Manurung</t>
  </si>
  <si>
    <t>maula putri min Ayatillah</t>
  </si>
  <si>
    <t xml:space="preserve">dusun Durenan kelompangan Ajung jember, Ajung, Jember, Jawa Timur, 68175
</t>
  </si>
  <si>
    <t>Risky Daedara</t>
  </si>
  <si>
    <t>jln. dahlia raya 1 blok a no 59 rt 22 rw 04 kelurahan sungai besar kota banjarbaru-banjarbaru selatan kalimantan selatan KOTA BANJARBARU-BANJAR BARU SELATAN kalimantan selatan ID 70714, Banjarbaru Selatan, Banjarbaru, Kalimantan Selatan, 70714</t>
  </si>
  <si>
    <t>Perikanan Bubu</t>
  </si>
  <si>
    <t>Madyunin</t>
  </si>
  <si>
    <t>jln. dahlia raya 1 blok a no 59 rt 22 rw 04 kelurahan sungai besar kota banjarbaru-banjarbaru selatan kalimantan selatan KOTA BANJARBARU-BANJAR BARU SELATAN kalimantan selatan ID 70714, Banjarbaru Selatan, Banjarbaru, Kalimantan Selatan, 70715</t>
  </si>
  <si>
    <t>jln. dahlia raya 1 blok a no 59 rt 22 rw 04 kelurahan sungai besar kota banjarbaru-banjarbaru selatan kalimantan selatan KOTA BANJARBARU-BANJAR BARU SELATAN kalimantan selatan ID 70714, Banjarbaru Selatan, Banjarbaru, Kalimantan Selatan, 70716</t>
  </si>
  <si>
    <t>jln. dahlia raya 1 blok a no 59 rt 22 rw 04 kelurahan sungai besar kota banjarbaru-banjarbaru selatan kalimantan selatan KOTA BANJARBARU-BANJAR BARU SELATAN kalimantan selatan ID 70714, Banjarbaru Selatan, Banjarbaru, Kalimantan Selatan, 70717</t>
  </si>
  <si>
    <t>Aplikasi Teknologi Akustik dan Satelit Oseanografi untuk Pemanfaatan Sumber Daya Perikanan</t>
  </si>
  <si>
    <t>Safruddin dan Mukti Zainuddin</t>
  </si>
  <si>
    <t>Nurul Kusumadewi</t>
  </si>
  <si>
    <t xml:space="preserve">Jalan Padat Karya, Perumahan Tirta Persada No.24 RT.08, KOTA SAMARINDA, SAMARINDA UTARA, KALIMANTAN TIMUR, ID, 75119
</t>
  </si>
  <si>
    <t>Anna Purwati</t>
  </si>
  <si>
    <t>SMK Nasional Bantul Yogyakarta, Jl. Jend. Sudirman, Kurahan, Bantul, KAB. BANTUL, BANTUL, DI YOGYAKARTA, ID, 55711</t>
  </si>
  <si>
    <t>Zulfan Munandar Rizki</t>
  </si>
  <si>
    <t xml:space="preserve"> Jl. Syiah Kuala Lr. Petua Husen No.1 Desa Tualang Teungoh Dusun Mane
  Kecamatan: Langsa Kota
  Kabupaten/Kota: Kota Langsa
  Provinsi: Aceh</t>
  </si>
  <si>
    <t>Jurnalistik Sebuah Introduksi: Teknik Mencari dan Menulis Berita</t>
  </si>
  <si>
    <t>Yudi Abdullah</t>
  </si>
  <si>
    <t>Bahasa Jurnalistik: Aplikasinya dalam Penulisan Karya Jurnalistik di Media Cetak, Televisi, dan Media Online</t>
  </si>
  <si>
    <t>Husen Mony</t>
  </si>
  <si>
    <t>Alumni UGM</t>
  </si>
  <si>
    <t>rafli shof</t>
  </si>
  <si>
    <t>Rafli Shofyan Desa, Jalan Botorejo, RT.5/RW.2, Botorejo, Wonosalam, KAB. DEMAK, WONOSALAM, JAWA TENGAH, ID, 59571</t>
  </si>
  <si>
    <t>Altaf</t>
  </si>
  <si>
    <t xml:space="preserve">AltafBook Pasar Buku Willis Jl Simpang Willis No 39 - 40 Klojen Malang Jawa Timur, KOTA MALANG, KLOJEN, JAWA TIMUR, ID, 65113
</t>
  </si>
  <si>
    <t>jln 14 februari 6 lingk 2 no 126 Teling Bawah Wenang Kota Manado 95119
Sulawesi Utara</t>
  </si>
  <si>
    <t>Aplikasi SPSS dan Eviews dalam Analisis Data Penelitian</t>
  </si>
  <si>
    <t>Hadi Ismanto dan Silviana Pebruary</t>
  </si>
  <si>
    <t>Buku Ajar Dasar Promosi Kesehatan</t>
  </si>
  <si>
    <t>Amyati dan Dwi Widiyaningsih</t>
  </si>
  <si>
    <t>drg devi hendra</t>
  </si>
  <si>
    <t>perum. taman narogong indah blok C15 no.12 rawalumbu kota bekasi 17116, Rawalumbu, Bekasi, Jawa Barat, 17116</t>
  </si>
  <si>
    <t>Pedoman Bantuan Hidup Dasar untuk Dokter Gigi</t>
  </si>
  <si>
    <t>Alexander Siagian, dkk</t>
  </si>
  <si>
    <t>M. Nabhan Fajruddin</t>
  </si>
  <si>
    <t>Jl. Karonsih Utara I No 2, Perumahan Ngaliyan Indah, Ngaliyan, Semarang Barat · Ngaliyan Jawa Tengah Kota Semarang Ngaliyan Indonesia Kota Semarang</t>
  </si>
  <si>
    <t>HUSNI MUBARAK</t>
  </si>
  <si>
    <t>UNIVERSITAS QAMARUL HUDA BADARUDDIN BAGU
JLN. H. BADARUDDIN BAGU
Pringgarata
Kabupaten Lombok Tengah
Nusa Tenggara Barat</t>
  </si>
  <si>
    <t>Buku Ajar Analisis Kualitas Lingkungan</t>
  </si>
  <si>
    <t>Nor Wijayanti &amp; Amyati</t>
  </si>
  <si>
    <t>Administrasi Kesehatan Masyarakat (Bagi Perekam Medis dan Informatika Kesehatan)</t>
  </si>
  <si>
    <t>Hetty Ismainar, SKM., MPH.</t>
  </si>
  <si>
    <t>Vilda Ana Veria Setyawati &amp; Eko Hartini</t>
  </si>
  <si>
    <t>Buku Ajar Ilmu Kesehatan (Memahami Gejala, Tanda dan Mitos)</t>
  </si>
  <si>
    <t>Umar Zein dan Emir El Newi</t>
  </si>
  <si>
    <t>Buku Ajar Ilmu Kesehatan Masyarakat (IKM)</t>
  </si>
  <si>
    <t>Syukra Alhamda, SKM., M.Kes. Dan Yustina Sriani, SKM., MPH.</t>
  </si>
  <si>
    <t>Buku Ajar Implementasi Manajemen Pelayanan Kesehatan Dalam Keperawatan</t>
  </si>
  <si>
    <t>Reni Asmara Ariga</t>
  </si>
  <si>
    <t>Buku Ajar Promosi Kesehatan Berbasis Sekolah</t>
  </si>
  <si>
    <t>Hermien Nugraheni, Sofwan Indarjo, dan Suhat</t>
  </si>
  <si>
    <t>TOKSIKOLOGI LINGKUNGAN (Kajian dalam Kesehatan Masyarakat)</t>
  </si>
  <si>
    <t>Odi R. Pinontoan &amp; Oksfriani J. Sumampouw</t>
  </si>
  <si>
    <t>Buku Ajar Sosiologi Kesehatan</t>
  </si>
  <si>
    <t>Syukra Alhamda, S.K.M., M.Kes.</t>
  </si>
  <si>
    <t>Bahaya Kerja serta Faktor-faktor yang Mempengaruhinya</t>
  </si>
  <si>
    <t>Umar Sumarna, Nina Sumarni, dan Udin Rosidin</t>
  </si>
  <si>
    <t>Biostatistik Kesehatan</t>
  </si>
  <si>
    <t>Herlinawati SKM., M.Kes</t>
  </si>
  <si>
    <t>Dampak Lingkungan Industri Karakteristik Manajer Terhadap Inovasi dan Kinerja Usaha Studi Empiris Pada Industri Kecil sektor Industri Pengolahan di Kabupaten Semarang</t>
  </si>
  <si>
    <t>Dasar Keselamatan dan Kesehatan Kerja</t>
  </si>
  <si>
    <t>Heni Fa’riatul Aeni, S.K.M., M.K.M. dan Isyeu Sriagustini, S.K.M., M.K.M.</t>
  </si>
  <si>
    <t>Etika Dan Hukum Kesehatan</t>
  </si>
  <si>
    <t>Budhi Rahardjo</t>
  </si>
  <si>
    <t>Epidemiologi Penyakit Tidak Menular</t>
  </si>
  <si>
    <t>Dr. Irwan, SKM., M.Kes.</t>
  </si>
  <si>
    <t>Introduction to Public Health Management, Organization and Policy</t>
  </si>
  <si>
    <t>Ferry Fadzlul Rahman</t>
  </si>
  <si>
    <t>Isu Hukum Kesehatan Elektronik</t>
  </si>
  <si>
    <t>Roswita M. Aboe &amp; Nando Campanella</t>
  </si>
  <si>
    <t>K3 Pertambangan Kajian Keselamatan Dan Kesehatan Kerja Sektor Pertambangan</t>
  </si>
  <si>
    <t>Lalu Muhammad Saleh dan Atjo Wahyu</t>
  </si>
  <si>
    <t>Buku Ajar Antropologi Kesehatan Dalam Keperawatan</t>
  </si>
  <si>
    <t>Asriwati dan Irawati</t>
  </si>
  <si>
    <t>Buku Ajar Kesehatan dan Keselamatan Kerja</t>
  </si>
  <si>
    <t>Titik Suhartini</t>
  </si>
  <si>
    <t>Maria Sonya Meidika P</t>
  </si>
  <si>
    <t xml:space="preserve">Komplek Kavling Pemda Jl. Gunung Ciremai No.25 Rt 05/05 Cisereuh, KAB. PURWAKARTA, PURWAKARTA, JAWA BARAT, ID, 41118
</t>
  </si>
  <si>
    <t>Reza Maulana W</t>
  </si>
  <si>
    <t>Jl. A. Yani 34 Badegan RT 9 Bantul, Bantul, Bantul, Bantul, Daerah Istimewa Yogyakarta, 55711</t>
  </si>
  <si>
    <t>Faikoh Kurratun Fajriah</t>
  </si>
  <si>
    <t>Jalan Raya Srono No.76, Puskesmas Wonosobo · Wonosobo Jawa Timur Kab. Banyuwangi Srono Indonesia Kab. Banyuwangi</t>
  </si>
  <si>
    <t>Bahan Ajar Sanitasi Total Berbasis Masyarakat</t>
  </si>
  <si>
    <t>Sukmal Fahri</t>
  </si>
  <si>
    <t>Dedy Sutjipto</t>
  </si>
  <si>
    <t>Perumahan Victoria River Park Blok A3 No.8 BSD City
Serpong Utara, Kota Tangerang Selatan
Banten</t>
  </si>
  <si>
    <t>Zaky Abrallian A</t>
  </si>
  <si>
    <t>(Dpn warung makan)Gg. Blimbing, Gagaran, UH 6, No.1066, RT 25, RW 07, Sorosutan, UH, YK.
KOTA YOGYAKARTA - UMBULHARJO
DI YOGYAKARTA</t>
  </si>
  <si>
    <t>Ventilasi Atap</t>
  </si>
  <si>
    <t>Jefrey I. Kindangen</t>
  </si>
  <si>
    <t>FaqihA</t>
  </si>
  <si>
    <t>Jl. Gading, Kec. Klojen, Kota Malang, Jawa Timur, 65115 [Tokopedia Note: No. 17 rumah abu abu pagar putih] Klojen Kota Malang 65115
Jawa Timur</t>
  </si>
  <si>
    <t>Lembaga-Lembaga Negara Independen (di Dalam Undang-Undang Dasar Negara Republik Indonesia Tahun 1945)</t>
  </si>
  <si>
    <t>Salbiah</t>
  </si>
  <si>
    <t xml:space="preserve">Jln.antasan dlm gg.sakabadana rt11 rw01 no72 pas didepan sdn akt 4, KOTA BANJARMASIN, BANJARMASIN UTARA, KALIMANTAN SELATAN, ID, 70123
</t>
  </si>
  <si>
    <t>imelda</t>
  </si>
  <si>
    <t>jl irigasi tertia V d16 no 11 RT008 RW011 Bekasi Jaya
  Kecamatan: Bekasi Timur
  Kabupaten/Kota: Bekasi
  Provinsi: Jawa Barat</t>
  </si>
  <si>
    <t>Kumpulan Soal Matematika Bisnis Jurusan Akuntansi Politeknik Negeri Samarinda</t>
  </si>
  <si>
    <t>Achmad Rudzali</t>
  </si>
  <si>
    <t>Buku Ajar Dasar Dasar Akuntansi</t>
  </si>
  <si>
    <t>Kartomo dan La Sudarman</t>
  </si>
  <si>
    <t>Rahmi Utami</t>
  </si>
  <si>
    <t xml:space="preserve">Jalan kuin selatan gang pusara rt13 no40 banjarmasin (Mama rafly atau rafa), KOTA BANJARMASIN, BANJARMASIN BARAT, KALIMANTAN SELATAN, ID, 70128
</t>
  </si>
  <si>
    <t>Dewi Nabilla</t>
  </si>
  <si>
    <t xml:space="preserve">Komplek perumahan griya citra asri RM 8a no 07 rt 03 rw 07 sememi, benowo surabaya Jawa Ti , KOTA SURABAYA, BENOWO, JAWA TIMUR, ID, 60198
</t>
  </si>
  <si>
    <t>M.Noer Falaq</t>
  </si>
  <si>
    <t xml:space="preserve">Jalan Jambangan Sawah blok D no 10 , KOTA SURABAYA, JAMBANGAN, JAWA TIMUR, ID, 60232
</t>
  </si>
  <si>
    <t>MuhammadMaulana2727</t>
  </si>
  <si>
    <t xml:space="preserve">Jl.sungai andai padat karya komplek melati no 57 rt 22, KOTA BANJARMASIN, BANJARMASIN UTARA, KALIMANTAN SELATAN, ID, 70121
</t>
  </si>
  <si>
    <t>Erma yunika</t>
  </si>
  <si>
    <t xml:space="preserve">jalan mayjren katamso. Lorong labio 1, rumah warna biru laut samping kos, KOTA KENDARI, BARUGA, SULAWESI TENGGARA, ID, 93116
</t>
  </si>
  <si>
    <t>Hasna Chaerunisa</t>
  </si>
  <si>
    <t>Depan, Kec. Batujajar, Kabupaten Bandung Barat, Jawa Barat, 40561 [Tokopedia Note: Jalan Raya Batujajar Nomor 362 (Apotek Sehat Farma)] Batujajar Kab. Bandung Barat 40561
Jawa Barat</t>
  </si>
  <si>
    <t>Fitria Nuraeni</t>
  </si>
  <si>
    <t>Kp. Bunder RT. 003/ RW. 006 · Cibarengkok Jawa Barat Kab. Cianjur Bojongpicung Indonesia Kab. Cianjur</t>
  </si>
  <si>
    <t>Aplikasi Komputer Ms. Office</t>
  </si>
  <si>
    <t>Dedy Iswanto</t>
  </si>
  <si>
    <t>Ibu Yurna</t>
  </si>
  <si>
    <t xml:space="preserve">Universitas Islam Kuantan Singingi, kec. Kuantan TEngah, kab.KUantan Singingi, propinsi RIau </t>
  </si>
  <si>
    <t>Kimia Lingkungan</t>
  </si>
  <si>
    <t>Dr. Ir. Moh. Su’i, M.P.</t>
  </si>
  <si>
    <t>Desain Molekul Senyawa Turunan Kalkon Sebagai Anti–Inflamasi</t>
  </si>
  <si>
    <t>Ratna Asmah Susidarti, dkk</t>
  </si>
  <si>
    <t>Ikatan Kimia Berbasis Model Inkuiri Dengan Strategi Konflik Kognitif</t>
  </si>
  <si>
    <t>Pahriah &amp; Hendrawani</t>
  </si>
  <si>
    <t>Kimia Asam-Basa Berbasis Kontekstual</t>
  </si>
  <si>
    <t>Citra Ayu Dewi &amp; Yeti Kurniasih</t>
  </si>
  <si>
    <t xml:space="preserve">Deskripsi Genotipe Jarak Pagar (Jatropha curcas Linn) Hasil Persilangan
</t>
  </si>
  <si>
    <t>Maftuchah, dkk</t>
  </si>
  <si>
    <t>Buku Ajar Perancangan Alat Mesin Penanam (Trasplanter) Bibit Padi Sawah Sederhana</t>
  </si>
  <si>
    <t>Anang Supriadi Saleh dan Muqwin Hasyim RA</t>
  </si>
  <si>
    <t>Gulma Ajaib</t>
  </si>
  <si>
    <t>Fauzi Rahmat K, S.P.</t>
  </si>
  <si>
    <t>Pengantar Pemupukan</t>
  </si>
  <si>
    <t>Dr. Rajiman, S.P., M.P.</t>
  </si>
  <si>
    <t>Agribisnis Bawang Merah</t>
  </si>
  <si>
    <t>Sri Hindarti &amp; Lia Rohmatul Maula</t>
  </si>
  <si>
    <t>Budi Daya Dan Pasca Panen Lada Perdu (Pipper nigrum. L)</t>
  </si>
  <si>
    <t>Rakhmiati, Ishak Yuarsah &amp; Yatmin</t>
  </si>
  <si>
    <t>Dinamika Pengelolaan Sumberdaya Pesisir Berbasis Masyarakat</t>
  </si>
  <si>
    <t>Dr. Ir. La Nalefo, M.S.</t>
  </si>
  <si>
    <t xml:space="preserve">Ir. T.M. Nur, M.Si. Dr. Halus Satriawan, S.P, M.Si. Chairul Fadli, S.Pt., M.P.
</t>
  </si>
  <si>
    <t>Menakar Daya Saing Pertanian Menghadapi Era Revolusi Industri 4.0 Perspektif Pembangunan Pertanian Provinsi Maluku</t>
  </si>
  <si>
    <t>Agung Budi Santoso dan Ismatul Hidayah</t>
  </si>
  <si>
    <t>Modifikasi Teknik Budidaya Tanaman Kina Belum Menghasilkan Di Wilayah Marginal Indonesia</t>
  </si>
  <si>
    <t>Yudithia Maxiselly, Heri Syahrian dan Mira Ariyanti</t>
  </si>
  <si>
    <t>Penilaian Kesesuaian Lahan untuk Tanaman Kedelai Menggunakan Metode Himpunan Fuzzy dan AHP</t>
  </si>
  <si>
    <t>Hermanto, Subiyanto, &amp; Ulfah Mediaty Arief</t>
  </si>
  <si>
    <t>Buku Pertanian Agribisnis Jamur Merang</t>
  </si>
  <si>
    <t>PT. Indocement Tunggal Prakarsa Tbk</t>
  </si>
  <si>
    <t>Puji Astuti</t>
  </si>
  <si>
    <t>Kantor Dinas PPPAPPKB
Kecamatan: Praya
Kabupaten: Lombok Tengah
Provinsi: NTB</t>
  </si>
  <si>
    <t>Menjadi Orang Tua Hebat Di Era Digital</t>
  </si>
  <si>
    <t>Ni Made Citariani</t>
  </si>
  <si>
    <t>rahma</t>
  </si>
  <si>
    <t xml:space="preserve">jln bhayangkara kp sawah rt002 rw024 nomor 028 kelurahan sumur pecung , KOTA SERANG, SERANG, BANTEN, ID, 42118
</t>
  </si>
  <si>
    <t>Fitri</t>
  </si>
  <si>
    <t>Jl. Masjid al ikhlas rt 04 rw 10 no. 115 kranji, bekasi barat, KOTA BEKASI, BEKASI BARAT, JAWA BARAT, ID, 17135</t>
  </si>
  <si>
    <t>Firda Fadillah</t>
  </si>
  <si>
    <t>Kp. Barukai RT 02/RW 02 Desa Cipada, KAB. BANDUNG BARAT, CISARUA, JAWA BARAT, ID, 40551</t>
  </si>
  <si>
    <t>Zaky Ilham Naasution</t>
  </si>
  <si>
    <t>Jl. Ligar Kencana, [Dago Hills Kavling 12 Jalan Ligar Kencana, ada PAGAR KUCING], Cimenyan, Kab. Bandung, Jawa Barat, 40191</t>
  </si>
  <si>
    <t>Pengantar Ilmu Peternakan: Domba, Kambing, Babi</t>
  </si>
  <si>
    <t>Sri Rachma Aprilita Bugiwati</t>
  </si>
  <si>
    <t>Sukriyah Encuk</t>
  </si>
  <si>
    <t xml:space="preserve"> Kp. Kebon kopi gupo rt.03/10 ds. Pangkalan
  Kecamatan: Teluknaga
  Kabupaten : Tangerang
  Provinsi: Banten</t>
  </si>
  <si>
    <t>Kecemasan Matematika Upaya Menurunkan Tingkat Kecemasan Matematika Dengan Teknik Konseling Rebt Kelompok Dan Pembelajaran Dengan PMR</t>
  </si>
  <si>
    <t>Rahma Muti’ah dan Irmayanti</t>
  </si>
  <si>
    <t>Faidhurrahman</t>
  </si>
  <si>
    <t>Kota Jakarta Selatan
DKI Jakarta
12470</t>
  </si>
  <si>
    <t>KH. Syanwani Banten Perjalanan Hidup Ulama Pejuang</t>
  </si>
  <si>
    <t>M. Hamdan Suhaemi, S.Pd.</t>
  </si>
  <si>
    <t>aurel aja</t>
  </si>
  <si>
    <t>Komplek Garuda Blok A7 No.23, Kampung Melayu Timur, Teluknaga Tangerang
Teluknaga
Kabupaten Tangerang
Banten
15510</t>
  </si>
  <si>
    <t>Buku Ajar Neonatus, Bayi, Balita, Anak Pra Sekolah</t>
  </si>
  <si>
    <t>Julina Br Sembiring</t>
  </si>
  <si>
    <t>Ricky Rohmanto</t>
  </si>
  <si>
    <t>Jl. Kaktus XII No. 05 RT/RW 007/007 Rancaekek Kencana
  Kecamatan: Rancaekek 
  Kabupaten/Kota: Bandung
  Provinsi: Jawa Barat</t>
  </si>
  <si>
    <t>Jejak Rentang Waktu</t>
  </si>
  <si>
    <t>S.S. Dewi Anggraeni</t>
  </si>
  <si>
    <t>My Poems Reflection of My Life</t>
  </si>
  <si>
    <t>Kumpulan Cerita Anak (Kumpulan Cerita Binatang) Adikku Yang Hilang</t>
  </si>
  <si>
    <t>Dewi Hajarwati</t>
  </si>
  <si>
    <t>Hendra</t>
  </si>
  <si>
    <t xml:space="preserve">Lr. niparaya, KOTA KENDARI, KAMBU, SULAWESI TENGGARA, ID, 93231
</t>
  </si>
  <si>
    <t>Muat</t>
  </si>
  <si>
    <t>Jln.antasan kecil timur dalam rt.11 rw.01 no.71 gang sakabandana didepan SDN AKT 4, KOTA BANJARMASIN, BANJARMASIN UTARA, KALIMANTAN SELATAN, ID, 70123</t>
  </si>
  <si>
    <t>Roy Christover Tambunan</t>
  </si>
  <si>
    <t>Jalan Selamat No.41, Durian, Medan Timur, KOTA MEDAN, MEDAN TIMUR, SUMATERA UTARA, ID, 20235</t>
  </si>
  <si>
    <t>Benny Gunawan Hung</t>
  </si>
  <si>
    <t>Galery Ciumbuleuit II Apartment, Unit 2602C, Jalan Ciumbuleuit No. 56 Cidadap Kota Bandung 41041
Jawa Barat</t>
  </si>
  <si>
    <t>Purwo Prihatin</t>
  </si>
  <si>
    <t>Revitalisasi Khazanah Surau dalam Perspektif Pendidikan Islam Modern</t>
  </si>
  <si>
    <t>Dr. Alfurqan, M.Ag.</t>
  </si>
  <si>
    <t>yulianti</t>
  </si>
  <si>
    <t>jl.suryat no 43 ngrebo kel.gedog blitar
  Kecamatan:sananwetan
  Kabupaten/Kota:kota blitar
  Provinsi:jawa timur</t>
  </si>
  <si>
    <t>Sejarah Kasepuhan Perdikan Majan</t>
  </si>
  <si>
    <t>S. Noor Riyadi</t>
  </si>
  <si>
    <t xml:space="preserve"> RSUD RA Kartini Jepara jl. Wahid Hasyim 175 Jepara
  Kecamatan:Jepara
  Kabupaten/Kota: Jepara
  Provinsi: Jawa Tengah</t>
  </si>
  <si>
    <t>Irham</t>
  </si>
  <si>
    <t>Grand Residence City RR 112 RT 01 RW 16 Cimuning Bekasi timur 17320
  Kecamatan: Setu
  Kabupaten/Kota: Bekasi
  Provinsi: Jawa barat</t>
  </si>
  <si>
    <t>Asas-Asas Hukum Pidana Buku Ajar Bagi Mahasiswa</t>
  </si>
  <si>
    <t>Bunga Rampai Hukum Dan Filsafat Indonesia</t>
  </si>
  <si>
    <t>Santhos Wachjoe Prijambodo</t>
  </si>
  <si>
    <t>Eko Setyobudi</t>
  </si>
  <si>
    <t>Jl. Kaliurang KM 13 Candirejo RT 01 RW 14 Ngaglik Sleman
Ngaglik
Kabupaten Sleman
Daerah Istimewa Yogyakarta
55581</t>
  </si>
  <si>
    <t>Konservasi Lingkungan Lahan Basah Untuk Pengkayaan Sumberdaya Ikan</t>
  </si>
  <si>
    <t>Rusmilyansari, Eko Setyobudi</t>
  </si>
  <si>
    <t>ernita sari</t>
  </si>
  <si>
    <t xml:space="preserve"> jl.pucang jajar timur gang 4 no 1
  Kecamatan: gubeng
  Kabupaten/Kota: surabaya
  Provinsi: jawa timur</t>
  </si>
  <si>
    <t>Dasar-dasar Penyidikan Lingkungan</t>
  </si>
  <si>
    <t>Tomy Sujarwadi</t>
  </si>
  <si>
    <t>Khaira Wilda</t>
  </si>
  <si>
    <t>Jalan Rela Gang Dame No.2b, Sidorejo, Medan Tembung (Kos opung), KOTA MEDAN, MEDAN TEMBUNG, SUMATERA UTARA, ID, 20222</t>
  </si>
  <si>
    <t>Ratya Mardika Tata Koeso</t>
  </si>
  <si>
    <t>Jl. Taman Kuta F/5 Beranda Bali BSB Semarang, Kec.Mijen,Kelurahan Pesantren, Jawa Tengah, 50212, KOTA SEMARANG, MIJEN, JAWA TENGAH, ID, 50212</t>
  </si>
  <si>
    <t>Yuyun Daryanti</t>
  </si>
  <si>
    <t>Jl. Tangkuban Perahu 5 no 7
Bekasi Selatan
Kota Bekasi
Jawa Barat</t>
  </si>
  <si>
    <t>putri</t>
  </si>
  <si>
    <t>Pengadilan negeri muara enim,jl jend ahmad yani no 17 a muara enim, KAB. MUARA ENIM, MUARA ENIM, SUMATERA SELATAN, ID, 31311</t>
  </si>
  <si>
    <t>Manajemen Operasional Agribisnis</t>
  </si>
  <si>
    <t>Pengadilan negeri muara enim,jl jend ahmad yani no 17 a muara enim, KAB. MUARA ENIM, MUARA ENIM, SUMATERA SELATAN, ID, 31312</t>
  </si>
  <si>
    <t>Pertanian Organik Penyelamat Kehidupan</t>
  </si>
  <si>
    <t>Dr. Ir. Ni Luh Kartini, M.S. dan Dr. Ir. I Ketut Budaraga, M.Si.</t>
  </si>
  <si>
    <t>Pengadilan negeri muara enim,jl jend ahmad yani no 17 a muara enim, KAB. MUARA ENIM, MUARA ENIM, SUMATERA SELATAN, ID, 31313</t>
  </si>
  <si>
    <t>Pengadilan negeri muara enim,jl jend ahmad yani no 17 a muara enim, KAB. MUARA ENIM, MUARA ENIM, SUMATERA SELATAN, ID, 31314</t>
  </si>
  <si>
    <t>Assifa Maharani</t>
  </si>
  <si>
    <t>Jl. Salvia 5 blok UB no.18 sekt 1.2.ext BSD Kelurahan Rawabuntu , KOTA TANGERANG SELATAN, SERPONG, BANTEN, ID, 15318</t>
  </si>
  <si>
    <t>Ingrid Suryanti Surono dkk</t>
  </si>
  <si>
    <t>sicepat</t>
  </si>
  <si>
    <t>Lestari</t>
  </si>
  <si>
    <t>Jl. Martadinata Gg jurang , Mekar Sari, Kec. Balikpapan Tengah, Kota Balikpapan, Kalimanta, KOTA BALIKPAPAN, BALIKPAPAN TENGAH, KALIMANTAN TIMUR, ID, 7612</t>
  </si>
  <si>
    <t>CV Beruang laut/Rahmat</t>
  </si>
  <si>
    <t>Pengembangan Budi Daya Kepiting Bakau Di Kaltara</t>
  </si>
  <si>
    <t>Heppi Iromo</t>
  </si>
  <si>
    <t>Diah_olshop</t>
  </si>
  <si>
    <t>Jl. kelayan .A. Gg, sejiran Rt 08/05 No. 56 . Kelayan luar. Banjarmasin tengah. Kalsel, KOTA BANJARMASIN, BANJARMASIN TENGAH, KALIMANTAN SELATAN, ID, 70231</t>
  </si>
  <si>
    <t>Tia</t>
  </si>
  <si>
    <t xml:space="preserve">Jalan tanjung matahari 5 blok seroja rt 13 no 33 , KOTA BANJARMASIN, BANJARMASIN UTARA, KALIMANTAN SELATAN, ID, 70122
</t>
  </si>
  <si>
    <t>samiyeh</t>
  </si>
  <si>
    <t>Jln aes nasution gg binjaiNo.27,rt.3/rw.1 gadang banjarmasin tengah, KOTA BANJARMASIN, BANJARMASIN TENGAH, KALIMANTAN SELATAN, ID, 7023</t>
  </si>
  <si>
    <t>Badarudin.Nama Toko</t>
  </si>
  <si>
    <t xml:space="preserve">Jl.hasanbasri depan kompelik kejaksan.di samping ana minimarkit, KOTA BANJARMASIN, BANJARMASIN UTARA, KALIMANTAN SELATAN, ID, 70121
</t>
  </si>
  <si>
    <t>Nur Kholida Ritonga</t>
  </si>
  <si>
    <t>Bahan Ajar Fisika (Listrik dan Magnet)</t>
  </si>
  <si>
    <t>Rafika Andari</t>
  </si>
  <si>
    <t>Saptono</t>
  </si>
  <si>
    <t>Bukit Pajajaran No 78 
RT 02 RW 13 
Kelurahan Cikadut 
Kecamatan Cimenyan 
Kabupaten Bandung 40194 .</t>
  </si>
  <si>
    <t>Nisa Nisa</t>
  </si>
  <si>
    <t>Teluk tiram ,jln bahagia,gang penghulu rt8 no74 belakang rumah kap,miun, KOTA BANJARMASIN, BANJARMASIN BARAT, KALIMANTAN SELATAN, ID, 7011</t>
  </si>
  <si>
    <t>Iss Express (NUR WAKHID</t>
  </si>
  <si>
    <t>Jalan Bangka II G No.9, RT.2/RW.3, Pela Mampang, Mampang Prapatan , KOTA JAKARTA SELATAN, MAMPANG PRAPATAN, DKI JAKARTA, ID, 12720</t>
  </si>
  <si>
    <t>Sarinah dan Mardalena</t>
  </si>
  <si>
    <t>Ni Wayan Liniawati</t>
  </si>
  <si>
    <t>Blok p 25 no 6 Jalan dukuh zambrud utara 4, KOTA BEKASI, BEKASI TIMUR, JAWA BARAT, ID, 17111</t>
  </si>
  <si>
    <t>Deni/Nani</t>
  </si>
  <si>
    <t>Rt. 31/13 Dusun Anggaraksan Desa Maruyungsari, KAB. PANGANDARAN, PADAHERANG, JAWA BARAT, ID, 46384</t>
  </si>
  <si>
    <t>siti mudrikah</t>
  </si>
  <si>
    <t>ds banyuputih 01/01 kec kalinyamatan kab jepara Kalinyamatan Kab. Jepara 59462
Jawa Tengah</t>
  </si>
  <si>
    <t>Kewirausahaan Pendidikan</t>
  </si>
  <si>
    <t>Muh. Saleh Malawat</t>
  </si>
  <si>
    <t>Yofe Maria Hariawan</t>
  </si>
  <si>
    <t>Komplek Taman Citeureup, Jl. Nusa Sari III No.9 · Citeureup Jawa Barat Kota Cimahi Cimahi Utara Indonesia Kota Cimahi</t>
  </si>
  <si>
    <t>Proses Sifat-Sifat Tanah dalam Mendukung Pertumbuhan Tanaman</t>
  </si>
  <si>
    <t>Erry Purnomo</t>
  </si>
  <si>
    <t>Patricia Tirta Isoliani</t>
  </si>
  <si>
    <t>Jl. Dipalaya II/18B, Ciwaruga
  Kecamatan: Parongpong
  Kabupaten: Bandung Barat
  Provinsi: Jawa Barat</t>
  </si>
  <si>
    <t>Hukum Yayasan Pendidikan Prinsip Transparansi Pengelolaan Kegiatan Usaha Yayasan Menurut Undang-Undang Nomor 16 Tahun 2001 Jo Undang-Undang Nomor 28 Tahun 2004</t>
  </si>
  <si>
    <t>putri kumala dewi</t>
  </si>
  <si>
    <t>Kalimantan tengah kab. Seruyan kec. Hanau jln. Simpang Tiga sampit p. Bun RT 12 RW 1</t>
  </si>
  <si>
    <t>Valencia Ardine</t>
  </si>
  <si>
    <t>Jalan Taman Candi Tembaga no 940
Ngaliyan
Kota Semarang
Jawa Teng</t>
  </si>
  <si>
    <t>Metode Penyusunan Skripsi Bidang Ilmu Akuntansi</t>
  </si>
  <si>
    <t>Zaky Machmuddah</t>
  </si>
  <si>
    <t>Endang Rahayu Sulistyowati</t>
  </si>
  <si>
    <t>Perumahan griya galaxy 126 blok B no.9 Jl. Smp 126 rt 002 rw 03 Batu Ampar Kramatjati, Kramat Jati, Jakarta Timur, DKI Jakarta, 13520</t>
  </si>
  <si>
    <t>Lelly Hana</t>
  </si>
  <si>
    <t>Tegal besar raya E8
Kaliwates
Kabupaten Jember
Jawa Timur
68132</t>
  </si>
  <si>
    <t>Kewirausahaan &amp; Manajemen Strategis UKM Pedesaan</t>
  </si>
  <si>
    <t>Ika Sari Dewi dan Iwan Kesuma Sihombing</t>
  </si>
  <si>
    <t>Tegal besar raya E8
Kaliwates
Kabupaten Jember
Jawa Timur
68133</t>
  </si>
  <si>
    <t>Buku Ajar Membangun Spirit dan Kompetensi Agrotechnopreneurship</t>
  </si>
  <si>
    <t>drh. Fahmi</t>
  </si>
  <si>
    <t>Disnak kab. Sukabumi
Perum Pasir Bendera Blok E2-18
Cikakak
Kabupaten Sukabumi
Jawa Barat</t>
  </si>
  <si>
    <t>Fathul Arif (Mas Aar</t>
  </si>
  <si>
    <t>Dusun Geneng RT.005 RW.002 Desa Caruban Kecamatan Kanor Kabupaten Bojonegoro Jawa Timur, Kanor, Bojonegoro, Jawa Timur, 62193</t>
  </si>
  <si>
    <t xml:space="preserve"> jl. Jatipadang raya gg nurul iman rt 06 rw 03 no 52 pasar minggu Jakarta Selatan 12540 </t>
  </si>
  <si>
    <t>Wetan Kali Kulon Kali Mengenang Kabupaten Karanganyar Hingga Penggabungan dengan Kabupaten Kebumen 1936</t>
  </si>
  <si>
    <t>Kurnia Putri</t>
  </si>
  <si>
    <t>Taman Hijau No 371 Lippo Karawaci
  Kecamatan: Curug
  Kabupaten/Kota: Tangerang
  Provinsi: Banten</t>
  </si>
  <si>
    <t>English For Mathematics Education</t>
  </si>
  <si>
    <t>Zahra Chairani &amp; Indah Budiarti</t>
  </si>
  <si>
    <t>Rochimah</t>
  </si>
  <si>
    <t>Nerada Estate blok C 2 no.11, Cipayung - Ciputat 15411, TangSel
  Kecamatan: Curug
  Kabupaten/Kota: Tangerang
  Provinsi: Banten</t>
  </si>
  <si>
    <t>Harry</t>
  </si>
  <si>
    <t>jl ancol timur 14 no 20, kota Bandung 40254
  Kecamatan: regol
  Kabupaten/Kota: kota bandung 40253
  Provinsi: Jawa barat</t>
  </si>
  <si>
    <t>Pengantar Teori Film</t>
  </si>
  <si>
    <t>Muhammad Ali Mursid Alfathoni &amp; Dani Manesah</t>
  </si>
  <si>
    <t>ER Febri Angelina Nur</t>
  </si>
  <si>
    <t>Kontrakan belakang Kos Oren, Masjid Al Huda, Jl. Karangnongko, Ambarketawang, 
  Kecamatan: Gamping Kidul 
  Kabupaten/Kota: Sleman 
  Provinsi: DIY</t>
  </si>
  <si>
    <t>Panduan Konseling Kesehatan Dalam Upaya Pencegahan Diabetes Melitus</t>
  </si>
  <si>
    <t>Lufthiani, Evi Karota dan Nunung Febriany Sitepu</t>
  </si>
  <si>
    <t>Helda</t>
  </si>
  <si>
    <t xml:space="preserve">Jl pangeran RT 5 no 46, KOTA BANJARMASIN, BANJARMASIN UTARA, KALIMANTAN SELATAN, ID, 70124
</t>
  </si>
  <si>
    <t>Arsdo Simatupang</t>
  </si>
  <si>
    <t>Taman Modern Jln. Sakura Blok E. 5 No. 27, Cakung, Jakarta Timur, DKI Jakarta, 13960</t>
  </si>
  <si>
    <t>Delfta Tunjung Baswarani</t>
  </si>
  <si>
    <t>bu Siti Djahro (Ibu Makin) Jl. kolonel sugiono No. 6 Beji
  Kecamatan: Taman
  Kabupaten/Kota: Kab. Pemalang
  Provinsi: Jawa Tengah</t>
  </si>
  <si>
    <t>R. Shelma</t>
  </si>
  <si>
    <t xml:space="preserve">Komp Bumi Rancamanyar No.57, RT 03/RW 11, Desa Rancamanyar, Kec. Baleendah, KAB. BANDUNG, BALEENDAH, JAWA BARAT, ID, 40375
</t>
  </si>
  <si>
    <t>Komunikasi Pemasaran Terintegrasi</t>
  </si>
  <si>
    <t>Edy Yulianto</t>
  </si>
  <si>
    <t>aries</t>
  </si>
  <si>
    <t>Agung Tri Wibowo</t>
  </si>
  <si>
    <t>Jl. Cimandiri V, Kec. Ciputat, Kota Tangerang Selatan, Banten, 15411 [Tokopedia Note: dekat rm padang minang ceria(kontrakan dara 7 no 2)] Ciputat Kota Tangerang Selatan 15411
Banten</t>
  </si>
  <si>
    <t>Mario Makanaung, ST</t>
  </si>
  <si>
    <t xml:space="preserve">Jl. Mandala Raya No. 11 (Mandala Home) RT.01 RW 01 Kel. Tomang Kec. Grogol Petamburan Kota. Adm Jakarta Barat 11440, Grogol, Jakarta Barat, DKI </t>
  </si>
  <si>
    <t>UDIN PT JAGAT</t>
  </si>
  <si>
    <t>PT JAGAT Instalasi Pengolahan Air Minum ( PDAM ) PT. TKCM Jl.Perintis Kemerdekaan III A Rt.007 / Rw 003 CIKOKOL Kec.Tangerang Kota Tangerang BANTEN 15118 · Babakan Banten Kota Tangerang</t>
  </si>
  <si>
    <t>Carli winah</t>
  </si>
  <si>
    <t xml:space="preserve">DS amis blok 5 RT 03 RW 05, KAB. INDRAMAYU, CIKEDUNG, JAWA BARAT, ID, 45262
</t>
  </si>
  <si>
    <t>NUH KASMARA</t>
  </si>
  <si>
    <t>Jl.Otista, Gg.Tanjung Lengkong, Rt 10 Rw 007 No.42, Kel. Bidaracina, Kec. Jatinegara, Jakarta Timur (13330)</t>
  </si>
  <si>
    <t>Anggi Wijaya</t>
  </si>
  <si>
    <t>Perum Grand Syfa Ruko 13-14, Jl. BKR Kel. Kahuripan Kec. Tawang Kota Tasikmalaya, KOTA TASIKMALAYA, TAWANG, JAWA BARAT, ID, 46115</t>
  </si>
  <si>
    <t>Jihan R</t>
  </si>
  <si>
    <t xml:space="preserve">Jl tembus mantuil komp. Mantuil raya (samping SMP 20) jalur utama blok d no 118 rt 18, KOTA BANJARMASIN, BANJARMASIN SELATAN, KALIMANTAN SELATAN, ID, 70244
</t>
  </si>
  <si>
    <t xml:space="preserve">Jln. Hksn. Kompleks kebun kelapa Rt. 8, KOTA BANJARMASIN, BANJARMASIN UTARA, KALIMANTAN SELATAN, ID, 70121
</t>
  </si>
  <si>
    <t>Yulinar Ayu Mulyani</t>
  </si>
  <si>
    <t>Alalak Utara, Jalan Gg Rahmat No.6, RT.15/RW.1, Alalak Utara, Banjarmasin Utara, KOTA BANJARMASIN, BANJARMASIN UTARA, KALIMANTAN SELATAN, ID, 701</t>
  </si>
  <si>
    <t>suhartono</t>
  </si>
  <si>
    <t>Dukuh kobokan RT 10 RW 04 Desa Banjar Lor, Banjarharjo, Brebes, Jawa Tengah, 52265</t>
  </si>
  <si>
    <t>Keadilan Berdasarkan Pancasila</t>
  </si>
  <si>
    <t>Dr. Ferry Irawan Febriansyah, S.H., M.Hum.</t>
  </si>
  <si>
    <t>Solihin</t>
  </si>
  <si>
    <t>Tambak sari,blok A no.11 dusun atas, Poto Tano, Sumbawa Barat, Nusa Tenggara Barat, 84454c</t>
  </si>
  <si>
    <t>Nina Dewi Oktaviyanti</t>
  </si>
  <si>
    <t>Setro Baru VII no. 91 RT 02 RW 04 Kelurahan dukuh setro, Tambaksari, Surabaya, Jawa Timur, 60134</t>
  </si>
  <si>
    <t>imam abdillah lukman</t>
  </si>
  <si>
    <t>jl turi, no N250, desa cot mesjid, kecamatan lueng bata, kota banda aceh, Lueng Bata, Banda Aceh, Nanggroe Aceh Darussalam, 23246</t>
  </si>
  <si>
    <t>Mozaik Pemikiran Mahasiswa Pascasarjana Aceh-Malang</t>
  </si>
  <si>
    <t>Imam Abdillah Lukman ...[et al.]</t>
  </si>
  <si>
    <t>Rofif</t>
  </si>
  <si>
    <t>Jalan Karya Etam Gang Melati No 24 RT 14, Sangatta Utara, Kutai Timur, Kalimantan Timur, 75611</t>
  </si>
  <si>
    <t>Buku Ajar Pengukuran dan Instrumentasi</t>
  </si>
  <si>
    <t>Abadi Jading, Reniana, Bertha Ollin Paga</t>
  </si>
  <si>
    <t>Jalan Karya Etam Gang Melati No 24 RT 14, Sangatta Utara, Kutai Timur, Kalimantan Timur, 75612</t>
  </si>
  <si>
    <t>Adita Choiri D</t>
  </si>
  <si>
    <t>Batang Cilik 04/10, Tambakrejo, Tempel, Sleman
  Kecamatan: Tempel
  Kabupaten/Kota: Sleman
  Provinsi: DIY</t>
  </si>
  <si>
    <t>Sarida Surya Manurung, Imelda Liana Ritonga dan Hamonangan Damanik</t>
  </si>
  <si>
    <t>IRMA RAHMAWATI</t>
  </si>
  <si>
    <t>d.a. Rumah Bapak Ayeng Hidayat Dusun Nagrog Rt. 04/Rw.05 Desa Marga mekar
  Kecamatan: Sumedang Selatan
  Kabupaten/Kota: Kab. Sumedang
  Provinsi: Jawa Barat</t>
  </si>
  <si>
    <t>Analisa Keputusan</t>
  </si>
  <si>
    <t>Imron Kuswandi</t>
  </si>
  <si>
    <t>Elvin Hery Susanto</t>
  </si>
  <si>
    <t>Jl. Tawadhu III/11
Babakan Madang
Kabupaten Bogor
Jawa Barat
16810</t>
  </si>
  <si>
    <t>Pengenalan Jembatan Kereta Api Edisi Revisi</t>
  </si>
  <si>
    <t>Suwandi</t>
  </si>
  <si>
    <t>Jl. Tawadhu III/11
Babakan Madang
Kabupaten Bogor
Jawa Barat
16811</t>
  </si>
  <si>
    <t>Sambungan Baut Kekuatan Tinggi pada Erection Balok Girder Baja dan Pull Out Sambungan Angkur Model Ekspansi</t>
  </si>
  <si>
    <t>Jl. Tawadhu III/11
Babakan Madang
Kabupaten Bogor
Jawa Barat
16812</t>
  </si>
  <si>
    <t>Joko Subando</t>
  </si>
  <si>
    <t xml:space="preserve"> jl Colombo Yogyakarta no 1 Karangmalang catur tunggal kec. Depok. Kab Sleman, Daerah Istimewa Yogyakarta 55281 gedung UPT Perpustakaan
 </t>
  </si>
  <si>
    <t>Evaluasi Dan Penilaian dalam Pembelajaran</t>
  </si>
  <si>
    <t>Dr. Yahya Hairun, S.Pd., M.Si.</t>
  </si>
  <si>
    <t>Novira Yuana</t>
  </si>
  <si>
    <t>Kampus Akademi Maritim Belawan (AMB) Medan.
Jl. Kapten Muslim Kompleks Griya Riyatur Blok A2/26 Simpang Gaperta Helvetia Medan 20124.</t>
  </si>
  <si>
    <t>English for Port and Shipping management</t>
  </si>
  <si>
    <t>Elok Widiyati, M.Pd.</t>
  </si>
  <si>
    <t>Aris Budianto</t>
  </si>
  <si>
    <t xml:space="preserve"> d/a Toko ABASE Jl. Sangkuriang No. 6 RT 3/1 (Belakang Koramil Sidareja)
  Kecamatan: Sidareja
  Kabupaten/Kota: Cilacap
  Provinsi: Jateng</t>
  </si>
  <si>
    <t>Soal Latihan dan Jawaban Pengolahan Database Mysql Tingkat Dasar /Pemula</t>
  </si>
  <si>
    <t>Aryanto, SE, MTI, Ak.</t>
  </si>
  <si>
    <t>Sandi Yulian</t>
  </si>
  <si>
    <t>jl.peta gg.sukamulya no 40 RT 03 RW 09 kelurahan sukaasih, Bojongloa Kaler, Bandung, Jawa Barat, 40233</t>
  </si>
  <si>
    <t>Daya Dukung Dan Daya Tampung Lingkungan</t>
  </si>
  <si>
    <t>Anton Silas Sinery, dkk</t>
  </si>
  <si>
    <t>Rizal Khadarusman (Siska)</t>
  </si>
  <si>
    <t xml:space="preserve">Toserba Barokah Utama Umat Jumapolo 
  Kecamatan: Jumapolo 
  Kabupaten/Kota: Karanganyar 
  Provinsi: Jawa Tengah </t>
  </si>
  <si>
    <t>Terapi Komplementer Pelayanan Kebidanan Berdasarkan Bukti Scientific Dan Empiris</t>
  </si>
  <si>
    <t>Rahayu Widaryanti &amp; Herliana Riska</t>
  </si>
  <si>
    <t>Dr. Bachtiar Baetal</t>
  </si>
  <si>
    <t>Mansion Garden A 14 Jl Sukabakti 3 Kel Serua Indah
  Kecamatan: Ciputat
  Kota: Tangerang Selatan
  Provinsi: Banten</t>
  </si>
  <si>
    <t>Menggugat Eksistensi dan Peran Mahkamah Partai</t>
  </si>
  <si>
    <t>Bachtiar</t>
  </si>
  <si>
    <t>Muhammad Thoriq</t>
  </si>
  <si>
    <t xml:space="preserve"> Rt 01 Rw 06 DSN. Sumbersari desa Penanggal
  Kecamatan: Candipuro
  Kabupaten/Kota: Lumajang
  Provinsi: Jawa Timur</t>
  </si>
  <si>
    <t>Buku Ajar Dasar-Dasar Akuntansi</t>
  </si>
  <si>
    <t>Kartomo, S.Pd., M.Ec.Dev. &amp; La Sudarman, S.Pd., M.M.</t>
  </si>
  <si>
    <t>Tri Nurhayati</t>
  </si>
  <si>
    <t>Buku Ajar Hukum Ketenagakerjaan</t>
  </si>
  <si>
    <t>Mawardi Khairi … [et al.]</t>
  </si>
  <si>
    <t>Farida Hidayati ( Bidan )</t>
  </si>
  <si>
    <t xml:space="preserve"> Dsn Pulerejo RT 01 RW 01 Ds.Wonorejo Trisulo 
  Kecamatan: Plosoklaten 
  Kabupaten Kediri
  Provinsi: Jawa Tmur</t>
  </si>
  <si>
    <t>Analisis Regresi untuk Penelitian</t>
  </si>
  <si>
    <t>Prof. Dr. Suyono, M.Si</t>
  </si>
  <si>
    <t>RAHMADAN ARIFIN</t>
  </si>
  <si>
    <t xml:space="preserve">Jalan Tri Marga, Air Limau, Rambang Dangku (Jl. Tri marga depan masjid al-hidayah ), KAB. MUARA ENIM, RAMBANG DANGKU, SUMATERA SELATAN, ID, 31172
</t>
  </si>
  <si>
    <t>Dahayu Ramaniya Aurasin</t>
  </si>
  <si>
    <t xml:space="preserve">Perumahan Cipta Griya Bersinar Blok A no. 46, Desa Kalikotes, Kec. Kalikotes, Kab. Klaten 57451, KAB. KLATEN, KALIKOTES, JAWA TENGAH, ID, 57451
</t>
  </si>
  <si>
    <t>Talking Safety &amp; Health Bunga Rampai Artikel Keselamatan Dan Kesehatan Kerja (K3)</t>
  </si>
  <si>
    <t>Syamsul Arifin</t>
  </si>
  <si>
    <t>Ratna Kusuma Dewi</t>
  </si>
  <si>
    <t>Perum Jln. Siswa 2, Kompleks Kantor KPKD, Kelurahan Hepuhulawa. Limboto Kab. Gorontalo 96212
Gorontalo</t>
  </si>
  <si>
    <t>Online Teaching of English as a Foreign Language In Indonesia Lessons From Covid-19 Pandemic</t>
  </si>
  <si>
    <t>Didi Suherdi</t>
  </si>
  <si>
    <t>antar aja</t>
  </si>
  <si>
    <t>Ririn Nurcholidah</t>
  </si>
  <si>
    <t>Taman Tridaya Indah I Jl. Kemuning7 C11/11
Tambun Selatan
Kabupaten Bekasi
Jawa Barat</t>
  </si>
  <si>
    <t>Guru Sebagai Profesi</t>
  </si>
  <si>
    <t>Dr. Khusnul Wardan, M.Pd.</t>
  </si>
  <si>
    <t>ayudia</t>
  </si>
  <si>
    <t>Kepemimpinan, Teori dan Praktik</t>
  </si>
  <si>
    <t>Dr. Ir. Benny Hutahayan, M.M., MPA</t>
  </si>
  <si>
    <t>Konstruksi Pembentukan Peraturan Daerah dalam Tatanan Negara Hukum yang Demokratis</t>
  </si>
  <si>
    <t>Linda F. Saleh</t>
  </si>
  <si>
    <t>Alan Suparlan</t>
  </si>
  <si>
    <t xml:space="preserve"> Kontrakan Pondok Madani A
Jln. Gempol Tengah Desa Purwadana RT. 11 RW. 06
  Kecamatan: Teluk Jambe Timur
  Kabupaten/Kota: Karawang
  Provinsi: Jawa Barat</t>
  </si>
  <si>
    <t>Nia</t>
  </si>
  <si>
    <t>kabupaten pandeglang.kecamatan cigeulis..desa cisereheun kampung cangkore.jalan babakan nangka.propinsi banten.</t>
  </si>
  <si>
    <t>Bimbingan Konseling Anak Berkebutuhan Khusus</t>
  </si>
  <si>
    <t>Aldjon Nixon Dapa &amp; Meisie Lenny Mangantes</t>
  </si>
  <si>
    <t>orchid house jatisari (ORCHID accessories, ruko BSB Jatisari Indah Pujasera Blok B No.2 KOTA SEMARANG-MIJEN JAWA TENGAH kode pos 50275 (belakang halte BRT BSB jatisari )), KOTA SEMARANG, MIJEN, JAWA TENGAH, ID, 50218</t>
  </si>
  <si>
    <t>TEGUH S.P</t>
  </si>
  <si>
    <t>KWOSO RT 01/ RW 02, GERGUNUNG, KLATEN UTARA, KLATEN 57434, KAB. KLATEN, KLATEN UTARA, JAWA TENGAH, ID, 57434</t>
  </si>
  <si>
    <t>Darmawan Mukharror</t>
  </si>
  <si>
    <t>Jl. Jatipadang Utara No. 36 RT/RW 013/002 Kelurahan Jatipadang Pasar Minggu Kota Administrasi Jakarta Selatan 12540
DKI Jakarta</t>
  </si>
  <si>
    <t>Pengelolaan Ekowisata Berbasis Goa: Wisata Alam Goa Pindul</t>
  </si>
  <si>
    <t>Surya Cipta Ramadhan Kete</t>
  </si>
  <si>
    <t>altair IRFAN</t>
  </si>
  <si>
    <t>Pesona Coatesville SC 10 No 7 Kota Wisata, Gunung Putri, Kab. Bogor, Jawa Barat, 16968</t>
  </si>
  <si>
    <t>Pengantar Analisis Data Kategorik</t>
  </si>
  <si>
    <t>Dr. Jaka Nugraha</t>
  </si>
  <si>
    <t>ANA KUSNAWAT</t>
  </si>
  <si>
    <t>jl. Sulawesi no 45 
  Kecamatan: sananwetan KP 66136
  Kabupaten/Kota: kota blitar
  Provinsi: jawa timur</t>
  </si>
  <si>
    <t>Best Practice: Pembelajaran Inovasi Melalui Model Project Based Learning</t>
  </si>
  <si>
    <t>Azidi Irwan</t>
  </si>
  <si>
    <t>Komplek Pintu Air Permai Blok B No 28 RT. 10, Bincau Martapura Kab. Banjar 70619
Kalimantan Selatan</t>
  </si>
  <si>
    <t>Eksperimen Kimia Sederhana Panduan Praktikum Kimia Untuk Guru Dan Siswa</t>
  </si>
  <si>
    <t>Maria Aloisia Uron Leba dan Maria Goretti Nona</t>
  </si>
  <si>
    <t>Tania Damayanti Mukt</t>
  </si>
  <si>
    <t>Sidokerto, Purwomartani, Kec. Kalasan, Kabupaten Sleman, Jogja [Tokopedia Note: No. 31 RT 1 / RW 1 (Rumah Bapak Idham)] Kalasan Kab. Sleman 55571
D.I. Yogyakarta</t>
  </si>
  <si>
    <t>David Li</t>
  </si>
  <si>
    <t>The Queen Victoria APartment , Jl. Imperium Superblok, Taman Baloi, Kec. Batam Kota, Kota Batam, Kepulauan Riau 29444., Batam, Batam, Kepulauan Ria</t>
  </si>
  <si>
    <t>Dadi supriadi</t>
  </si>
  <si>
    <t>Kp Cimaja RT 005/005 · Sirnagalih Jawa Barat Kab. Bandung Barat Cipongkor Indonesia Kab. Bandung Barat</t>
  </si>
  <si>
    <t>Angel SK</t>
  </si>
  <si>
    <t>Endang</t>
  </si>
  <si>
    <t>S1 Sastra Inggris Universitas Ngudi Waluyo
Jl. Diponegoro no 186 Gedanganak Ungaran Timur 50511
Ungaran Timur
Kabupaten Semarang
Jawa Tengah
50511
Alamat email</t>
  </si>
  <si>
    <t>Pengantar Kajian &amp; Apresiasi Sastra</t>
  </si>
  <si>
    <t>Rahmat Sulhan Hadi</t>
  </si>
  <si>
    <t>Semiotika: Teori, Metode, dan Penerapannya dalam Penelitian Sastra</t>
  </si>
  <si>
    <t>Jafar Lantowa, Nila Mega Marahayu, Muh. Khairussibyan</t>
  </si>
  <si>
    <t>fikriyadi</t>
  </si>
  <si>
    <t>Jl.patimura. 
rt.1 rw.1 
desa: asembagus
Kab. Probolinggo
Kec. Kraksaan..
No. Biasa</t>
  </si>
  <si>
    <t>Life Skill Personal Self Awareness (Kecakapan Mengenal Diri)</t>
  </si>
  <si>
    <t>Hana Makmun</t>
  </si>
  <si>
    <t>Firima Zona Tanjung</t>
  </si>
  <si>
    <t xml:space="preserve"> Jalan Adityawarman RT.03 No.49 Kelurahan Selumit
Kecamatan: Tarakan Tengah
Kabupaten/Kota: Tarakan
Provinsi: Kalimantan Utara
No telepon : 087811002777</t>
  </si>
  <si>
    <t>Tanto</t>
  </si>
  <si>
    <t>Perumahan Grand Permata Sepatan Blok AD 21
Sepatan
Kabupaten Tangerang
Banten</t>
  </si>
  <si>
    <t>Erra Farazila</t>
  </si>
  <si>
    <t>Ds. Nguken Rt 14 Rw 04
Padangan
Kabupaten Bojonegoro
Jawa Timur
62162</t>
  </si>
  <si>
    <t>BANK DAN LEMBAGA KEUANGAN LAINNYA</t>
  </si>
  <si>
    <t>Irsyadi Zain &amp; Y. Rahmat Akbar</t>
  </si>
  <si>
    <t>Ahmad Nur Sa'dy</t>
  </si>
  <si>
    <t xml:space="preserve"> Ruko Valencia Blok AC no.08, Ds. Gemurung, Kec. Gedangan, Kabupaten Sidoarjo, Jawa Timur, 61254
(Kecamatan &amp; kota): Sidoarjo</t>
  </si>
  <si>
    <t>Jan seng</t>
  </si>
  <si>
    <t>kp Sekarwangi RT/RW 06/07 no 16 Kel Neglasari
  Kecamatan: Neglasari
  Kabupaten/Kota:kota Tangerang
  Provinsi: Banten</t>
  </si>
  <si>
    <t>Pola Asuh Orang Tua dalam Motivasi Belajar Anak</t>
  </si>
  <si>
    <t>Suci Amin &amp; Rini Harianti</t>
  </si>
  <si>
    <t>Lilis Berutu</t>
  </si>
  <si>
    <t xml:space="preserve">Jalan Pimpinan 118, KOTA MEDAN, MEDAN TEMBUNG, SUMATERA UTARA, ID, 20221
</t>
  </si>
  <si>
    <t>Strategi Dakwah Masyarakat Minoritas Muslim Minahasa</t>
  </si>
  <si>
    <t>Rukmina Gonibala dan Ismail Suardi Wekke</t>
  </si>
  <si>
    <t>Mahdalena</t>
  </si>
  <si>
    <t>Jalan Tuanku Tambusai Kubu Baru, RT.1/RW.6, Rambah Samo, Rambah Samo (Kubu baru depan SPBU ), KAB. ROKAN HULU, RAMBAH SAMO, RIAU, ID, 28565</t>
  </si>
  <si>
    <t>Yudi Radianto</t>
  </si>
  <si>
    <t xml:space="preserve"> Jl. Delima 1, No.297 B, Rt 004/Rw 002, kelurahan Taman Bunga
  Kecamatan: Gerunggang
  Kabupaten/Kota: Pangkalpinang
  Provinsi: Bangka Belitung</t>
  </si>
  <si>
    <t>Karakterisasi Struktur Padatan</t>
  </si>
  <si>
    <t>Didik Prasetyoko dkk</t>
  </si>
  <si>
    <t>Haqqi Abrian</t>
  </si>
  <si>
    <t>Jalan taman indah 1 no.06 RT 07/05
Cimanggis
Kota Depok
Jawa Barat</t>
  </si>
  <si>
    <t>Psikologi Perkembangan Peserta Didik</t>
  </si>
  <si>
    <t>Abdul Kadir</t>
  </si>
  <si>
    <t>Rara Awalia (pak Muhimin)</t>
  </si>
  <si>
    <t>Jl. Cemara 1 RT 01/01 no. 31
  Kecamatan: Pamulang barat, Pamulang
  Kabupaten/Kota: Tangerang Selatan
  Provinsi: Banten
Patokan: Musholla Al-Ikhlas - Hamdan frozen.</t>
  </si>
  <si>
    <t>Pengembangan Model Pembelajaran Bahasa Arab Berbasis Teknologi Informasi Dan Komunikasi Dalam Dialektika Revolusi Industri 4.0</t>
  </si>
  <si>
    <t>Mahyudin Ritonga, Alwis Nazir, Sri Wahyuni</t>
  </si>
  <si>
    <t>Pembentukan dan Pengawasan Peraturan Daerah yang Berciri Khas Daerah</t>
  </si>
  <si>
    <t>Victor Jusuf Sedubun</t>
  </si>
  <si>
    <t>Korupsi APBD: Sebuah Meta Analisis</t>
  </si>
  <si>
    <t>Wiwiek Prihandini</t>
  </si>
  <si>
    <t>Rani</t>
  </si>
  <si>
    <t>Sakti Jaya
  Kecamatan:Batu Putih
  Kabupaten/Kota:Tulang Bawang Barat
  Provinsi:Lampung</t>
  </si>
  <si>
    <t>Milati Masruroh, S. Pd</t>
  </si>
  <si>
    <t xml:space="preserve"> SMK N 1 Tonjong
Jl Raya Kutamendala 
  Kecamatan: Tonjong
  Kabupaten/Kota: Brebes
  Provinsi: Jawa Tengah </t>
  </si>
  <si>
    <t>Panduan Penelitian Eksperimen Beserta Analisis Statistik dengan SPSS</t>
  </si>
  <si>
    <t>I Putu Ade Andre Payadnya dan I Gusti Agung Ngurah Trisna Jayantika</t>
  </si>
  <si>
    <t>anthony tumimomor</t>
  </si>
  <si>
    <t>jln. Kemiri 1.no.9b ( Depan Gerprak Bu Endah), Sidorejo, Salatiga, Jawa Tengah, 50712</t>
  </si>
  <si>
    <t>erlangga</t>
  </si>
  <si>
    <t>Eka Puspita Sari</t>
  </si>
  <si>
    <t>Apartemen Pancoran Riverside, Jl. Pengadegan Timur Raya, Kec. Pancoran, Kota Jakarta Selatan, Daerah Khusus Ibukota Jakarta, 12770. Tower 3 blok C, Lantai 9 No 10 Pancoran Kota Administrasi Jakarta Selatan 12770
DKI Jakarta</t>
  </si>
  <si>
    <t>Bahan Ajar STEM dengan Tema</t>
  </si>
  <si>
    <t>Agus Widayoko</t>
  </si>
  <si>
    <t>Ahmad Taufiq</t>
  </si>
  <si>
    <t>Permata Puri 1, Jl. Mutiara 1 D9/1, Cimanggis, Depok, Jawa Barat, 16452</t>
  </si>
  <si>
    <t xml:space="preserve">Saman: Tari Tangan Seribu dari Dataran Tinggi Gayo
</t>
  </si>
  <si>
    <t>Drs. Isma Tantawi, M.A.</t>
  </si>
  <si>
    <t>Indah Eko Cahyani</t>
  </si>
  <si>
    <t>SMKN 1 SLAWI
Jln. H. Agus Salim Procot
  Kecamatan: Slawi
  Kabupaten/Kota: Tegal
  Provinsi: Jawa Tengah</t>
  </si>
  <si>
    <t>Ninu</t>
  </si>
  <si>
    <t>Citra Widyaiswara yang Jawara, Strategi Berkarir PNS di Jabatan Fungsional Widyaiswara</t>
  </si>
  <si>
    <t>Mohammad Hasan Syukur</t>
  </si>
  <si>
    <t>Agus Subagio</t>
  </si>
  <si>
    <t>Desa Toho Ilir RT 02 RW 01 
  Kecamatan: Toho
  Kabupaten/Kota: Mempawah
  Provinsi: Kalimantan Bara</t>
  </si>
  <si>
    <t>Pengantar Teknologi Informasi</t>
  </si>
  <si>
    <t>Edy Irwansyah dan Jurike V. Moniaga</t>
  </si>
  <si>
    <t>Teknik Pengolahan Audio &amp; Video Kompetensi Keahlian Multimedia Program Keahlian Teknik Komputer Dan Informatika</t>
  </si>
  <si>
    <t>Geroris Way</t>
  </si>
  <si>
    <t xml:space="preserve"> Jln. Raya Sentani Perumahan Nendali Graha No. E.24
  Kecamatan: Sentani Timur
  Kabupaten/Kota: Jayapura
  Provinsi: Papua</t>
  </si>
  <si>
    <t>Beyond Compliance: Mewujudkan Perusahaan Agroindustri dalam Perlindungan dan Pengelolaan Lingkungan Hidup</t>
  </si>
  <si>
    <t>Fauzan</t>
  </si>
  <si>
    <t>Jl. Panjang Kp. Baru No. 808 C
  Kecamatan: Kebon Jeruk
  Kabupaten/Kota: Jakarta Barat
  Provinsi: DKI Jakarta</t>
  </si>
  <si>
    <t>Aplikasi Pemetaan Menggunakan QGis dan Python</t>
  </si>
  <si>
    <t>Guntur Maulana Firdaus, Moch Kautsar Sophan &amp; Indah Agustien Siradjuddin</t>
  </si>
  <si>
    <t>IRMA</t>
  </si>
  <si>
    <t xml:space="preserve">Jl. Letnan Munandar RT 007 RW 003 Kel. Soak Baru, KAB. MUSI BANYUASIN, SEKAYU, SUMATERA SELATAN, ID, 30711
</t>
  </si>
  <si>
    <t>Handayani</t>
  </si>
  <si>
    <t>SMKN 1 Bumijawa
Jln. Wredameta no. 379
  Kecamatan: Bumijawa
  Kabupaten/Kota: Tegal
  Provinsi: Jawa Tengah</t>
  </si>
  <si>
    <t>Bu Latifah</t>
  </si>
  <si>
    <t>jl. Patih rumbih belakang Hotel Al Madani no 8 rt 1 rw 4,kel. Selat Barat ,kec. Selat, kab. Kapuas, prov.  Kal Teng,</t>
  </si>
  <si>
    <t>Prakarya Dan Kewirausahaan Tata Busana di Madrasah Aliyah (Pengenalan Dan Praktik Penggunaan Alat Jahit Mesin Dan Manual)</t>
  </si>
  <si>
    <t>Suprihatiningsih</t>
  </si>
  <si>
    <t>Muhammad Riyanto</t>
  </si>
  <si>
    <t>Nurlatifah</t>
  </si>
  <si>
    <t>Villa Diamond Blok B3 No. 27  Tiban Baru
  Kecamatan: Sekupang
  Kabupaten/Kota: Batam
  Provinsi: Kepulauan Riau</t>
  </si>
  <si>
    <t>Perpustakaan Pascasarjana UNJ</t>
  </si>
  <si>
    <t xml:space="preserve"> Jl. Rawamangun Muka RT.11/RW.14
  Kecamatan: Pulo Gadung
  Kabupaten/Kota: Jakarta Timur
  Provinsi: Jawa Barat</t>
  </si>
  <si>
    <t>sofwan</t>
  </si>
  <si>
    <t>gran tembalang regency blok d 3 no 5. Jl gondang timur 4. Bulusan. Tembalang semarang
  Kecamatan: tembalang
  Kabupaten/Kota: semarang
  Provinsi: jawa tengah</t>
  </si>
  <si>
    <t>Modul Pengendalian Vektor Demam Berdarah Dengue Bagi Pelaksana Usaha Kesehatan Sekolah (UKS)</t>
  </si>
  <si>
    <t>Asriwati, dkk</t>
  </si>
  <si>
    <t>Nur Khofifah</t>
  </si>
  <si>
    <t>Desa Tanjung Keputran (B5) Jalan dusun 4. (Samping Paud Mawar Blok 4 ), KAB. MUSI BANYUASIN, PLAKAT TINGGI (PELAKAT TINGGI), SUMATERA SELATAN, ID, 30758</t>
  </si>
  <si>
    <t>Firdaus</t>
  </si>
  <si>
    <t>Perum Pesona Cilebut Satu Blok E2 No. 28 RT. 04 RW. 13 
  Kecamatan: Sukaraja
  Kabupaten/Kota: Bogor
  Provinsi: Jawa Barat</t>
  </si>
  <si>
    <t>Analisis Problema dan Solusi Penegakan Hukum</t>
  </si>
  <si>
    <t>Yusra</t>
  </si>
  <si>
    <t>andrian s</t>
  </si>
  <si>
    <t>gang remaja 1 no B1 komplek remaja indah Rt03 rw12 jl. raya tengah kel gedong kec pasar rebo jakarta timur 13760, Pasar Rebo, Jakarta Timur, DKI Jakarta, 13760</t>
  </si>
  <si>
    <t>Komunikasi Merek di Media Sosial &amp; Penerapannya pada TV Berita</t>
  </si>
  <si>
    <t>Hilda Rachmawati</t>
  </si>
  <si>
    <t>Bagus Amrullah Asshiddiq</t>
  </si>
  <si>
    <t>Ibu Suwartini Jl. Flamboyan Lengkong rt 5 rw 1 rakit,banjarnegara, jawa tengah 53463, Rakit, Banjarnegara, Jawa Tengah, 53463</t>
  </si>
  <si>
    <t>Ibu Suwartini Jl. Flamboyan Lengkong rt 5 rw 1 rakit,banjarnegara, jawa tengah 53463, Rakit, Banjarnegara, Jawa Tengah, 53464</t>
  </si>
  <si>
    <t>Amar</t>
  </si>
  <si>
    <t>ciheuleut rt 03/14, desa limbangan, kec wanareja, kabupaten cilacap, jawa tengah, Wanareja, Cilacap, Jawa Tengah, 53265</t>
  </si>
  <si>
    <t>Jessie</t>
  </si>
  <si>
    <t xml:space="preserve">Jl.tanjung datuk no.177, KOTA PEKANBARU, LIMA PULUH, RIAU, ID, 28144
</t>
  </si>
  <si>
    <t>ekha</t>
  </si>
  <si>
    <t>Seksi Yankes, Dinkes Purbalingga Jl S. Parman 21</t>
  </si>
  <si>
    <t>PARDI</t>
  </si>
  <si>
    <t>Perum Citra Prima Serpong 1 Blok G4 no.6 Kel. Muncul Setu Tangsel, Setu, Tangerang Selatan, Banten, 15314</t>
  </si>
  <si>
    <t>Komponen Elektronika</t>
  </si>
  <si>
    <t>Yakob Liklikwatil</t>
  </si>
  <si>
    <t>Risfan Munir</t>
  </si>
  <si>
    <t>jl. Gaharu 2 no. 23, BEKASI, Bekasi Barat, Bekasi, Jawa Barat, 17145</t>
  </si>
  <si>
    <t>shoppee</t>
  </si>
  <si>
    <t>Muhammad Permana</t>
  </si>
  <si>
    <t>Jalan Haji Mandor Ramin No.58, RT.1/RW.3, North Kembangan, KOTA JAKARTA BARAT, KEMBANGAN, DKI JAKARTA, ID, 11610</t>
  </si>
  <si>
    <t xml:space="preserve">Deny Jollyta, William Ramdhan dan Muhammad Zarlis 
</t>
  </si>
  <si>
    <t xml:space="preserve">Jalan Tuanku Tambusai Kubu Baru, RT.1/RW.6, Rambah Samo, Rambah Samo (Kubu baru depan SPBU ), KAB. ROKAN HULU, RAMBAH SAMO, RIAU, ID, 28565
</t>
  </si>
  <si>
    <t>Silvy Putri</t>
  </si>
  <si>
    <t>Toko sepeda artistik, ruko sidoarum, KAB. SLEMAN, GODEAN, DI YOGYAKARTA, ID, 55564</t>
  </si>
  <si>
    <t>Buku Ajar Mata Kuliah Metode Penulisan Seni Rupa</t>
  </si>
  <si>
    <t>Fendi Adiatmono</t>
  </si>
  <si>
    <t>Toko sepeda artistik, ruko sidoarum, KAB. SLEMAN, GODEAN, DI YOGYAKARTA, ID, 55565</t>
  </si>
  <si>
    <t>Kriya Logam Pengantar, Teknik dan Untaian Metodologis</t>
  </si>
  <si>
    <t>Arif Faisal</t>
  </si>
  <si>
    <t>Jl. Nagan Lor, Kecamatan Kraton, Kota Yogyakarta, Jogja [Tokopedia Note: Taman KT 1/370, RT 30 / RW 08]
Kraton, Kota Yogyakarta, D.I. Yogyakarta 55133</t>
  </si>
  <si>
    <t>Linda</t>
  </si>
  <si>
    <t>jl. Studio Ujung No 56. RT001.RW012. Dekat mesjid Al Abror. Kompleks TVRI Kemanggisan. Kelurahan Palmerah. Kecamatan Palmerah. Jakarta Barat 11480, Palmerah, Jakarta Barat, DKI Jakarta, 11480</t>
  </si>
  <si>
    <t>Mas Guru Honorer Undercover</t>
  </si>
  <si>
    <t>Chotibul Umam</t>
  </si>
  <si>
    <t>Ziki - Walisda FF</t>
  </si>
  <si>
    <t>Jl. Kebon Kacang 4 no 39 Wisma Alibaba · Kebon Kacang DKI Jakarta Kota Jakarta Pusat Tanah Abang Indonesia Kota Jakarta Pusat</t>
  </si>
  <si>
    <t>Business Correspondence is Easy Panduan Menulis Surat Bisnis Dalam Bahasa Inggris</t>
  </si>
  <si>
    <t>R. Arief Nugroho dan A. Soerjowardhana</t>
  </si>
  <si>
    <t>Raisa Munira Fachrudin</t>
  </si>
  <si>
    <t>Jl. Kalibata Utara I no 14 RT 01 RW 02
Pancoran
Kota Jakarta Selatan
DKI Jakarta
12740</t>
  </si>
  <si>
    <t>Jl. Kalibata Utara I no 14 RT 01 RW 02
Pancoran
Kota Jakarta Selatan
DKI Jakarta
12741</t>
  </si>
  <si>
    <t>Jl. Kalibata Utara I no 14 RT 01 RW 02
Pancoran
Kota Jakarta Selatan
DKI Jakarta
12742</t>
  </si>
  <si>
    <t>Jl. Kalibata Utara I no 14 RT 01 RW 02
Pancoran
Kota Jakarta Selatan
DKI Jakarta
12743</t>
  </si>
  <si>
    <t>Jl. Kalibata Utara I no 14 RT 01 RW 02
Pancoran
Kota Jakarta Selatan
DKI Jakarta
12744</t>
  </si>
  <si>
    <t>Jl. Kalibata Utara I no 14 RT 01 RW 02
Pancoran
Kota Jakarta Selatan
DKI Jakarta
12745</t>
  </si>
  <si>
    <t>Hamdani</t>
  </si>
  <si>
    <t xml:space="preserve"> komplek bp2ip tangerang/poltekpel banten jl karang serang no.1
  Kecamatan: sukadiri
  Kabupaten/Kota: kab. Tangerang
  Provinsi: banten</t>
  </si>
  <si>
    <t>Royal Palace Blok A - 19 - Jl. Prof. Dr. Soepomo, SH., No. 178 Jakarta 12870</t>
  </si>
  <si>
    <t>Hukum Zakat Peran BAZNAS dalam Pengelolaan Zakat</t>
  </si>
  <si>
    <t>Nur Insani</t>
  </si>
  <si>
    <t>Royal Palace Blok A - 19 - Jl. Prof. Dr. Soepomo, SH., No. 178 Jakarta 12871</t>
  </si>
  <si>
    <t>Kelembagaan Pemerintahan Negara dalam Kajian Hukum Tata Negara Islam dan Hukum Tata Negara Modern</t>
  </si>
  <si>
    <t>Annasophia Liz</t>
  </si>
  <si>
    <t>Katamaran Permai 9 no. 23B, PIK
Penjaringan
Kota Jakarta Utara
DKI Jakarta
14460</t>
  </si>
  <si>
    <t>Kabut di Teras Senja</t>
  </si>
  <si>
    <t>Sutini</t>
  </si>
  <si>
    <t>Maruloh (Uwok)</t>
  </si>
  <si>
    <t>Jl. Mardanih No. 75 RT 04/02 Rawadenok Rangkapan Jaya Baru, Pancoran Mas, Depok, Jawa Barat, 16434</t>
  </si>
  <si>
    <t>Tegor, Dwi Joko Siswanto dan Mauli Siagian</t>
  </si>
  <si>
    <t>Perbuatan Dianggap Korupsi Beserta Penjelasannya</t>
  </si>
  <si>
    <t>M. Jusly Penus Sagala</t>
  </si>
  <si>
    <t>Pembayaran Uang Pengganti dalam Tindak Pidana Korupsi</t>
  </si>
  <si>
    <t>Agustinus Samosir &amp; H. Suharyono</t>
  </si>
  <si>
    <t>Pidana dan Pemidanaan dalam Tindak Pidana Perdagangan Orang</t>
  </si>
  <si>
    <t>Ika Dewi Sartika Saimima</t>
  </si>
  <si>
    <t>Kriminologi</t>
  </si>
  <si>
    <t>Anggreany Haryani Putri &amp; Ika Dewi Sartika Saimima</t>
  </si>
  <si>
    <t>Lailatul Barkah</t>
  </si>
  <si>
    <t>Jl.Faliman Jaya
RT05/RW07 No.19
Kp.Rawa Bamban
Kel.Jurumudi Kec.Benda
Kota Tangerang 15124</t>
  </si>
  <si>
    <t>Dwi Puspita Sari</t>
  </si>
  <si>
    <t xml:space="preserve">jalan dokter Wahidin no. 68A Kepatihan, Kecamatan Bojonegoro Kabupaten Bojonegoro Provinsi Jawa timur 62111 (STIKES ICSADA Bojonegoro) </t>
  </si>
  <si>
    <t>jtr</t>
  </si>
  <si>
    <t>Pendidikan Pancasila Dan Kewarganegaraan</t>
  </si>
  <si>
    <t>Rahmanuddin Tomalili</t>
  </si>
  <si>
    <t>Buku Ajar Pengantar Bisnis</t>
  </si>
  <si>
    <t>Drs. H. Agus Thoha, M.Si.</t>
  </si>
  <si>
    <t>Statistika Ekonomi &amp; Bisnis</t>
  </si>
  <si>
    <t>Mesra B.</t>
  </si>
  <si>
    <t>Business English for Management and Entrepreneurships (For Beginner Level)</t>
  </si>
  <si>
    <t>Yuli Sintha Asi</t>
  </si>
  <si>
    <t>Dasar-Dasar Pemrograman Dengan Python</t>
  </si>
  <si>
    <t>Wenty Dwi Yuniarti</t>
  </si>
  <si>
    <t>Teknik Open Source</t>
  </si>
  <si>
    <t>Manajemen Strategis</t>
  </si>
  <si>
    <t>Efri Novianto</t>
  </si>
  <si>
    <t>Dr. Hj. Retina Sri Sedjati, Apt., MM</t>
  </si>
  <si>
    <t>widjajanti</t>
  </si>
  <si>
    <t>kompl timah.blok ff 38
  Kecamatan: cimanggis
  Kabupaten/Kota: depok
  Provinsi: jabar</t>
  </si>
  <si>
    <t>Perempuan Dalam Historiografi Indonesia (Eksistensi Dan Dominasi)</t>
  </si>
  <si>
    <t>Reni Nuryanti &amp; Bachtiar Akob</t>
  </si>
  <si>
    <t>Garda</t>
  </si>
  <si>
    <t>jl RS Wisma Rini Gang EDMODO STIMIK</t>
  </si>
  <si>
    <t>Writing For General Communication</t>
  </si>
  <si>
    <t>Evie Kareviati, dkk</t>
  </si>
  <si>
    <t>Kasus Menarik Seputar Hukum Perlindungan Anak</t>
  </si>
  <si>
    <t>Beniharmoni Harefa…[et al.]</t>
  </si>
  <si>
    <t>Nur Hananiya Pratiwi</t>
  </si>
  <si>
    <t>Desa Kemantren Rt 04 Rw 2 Tulangan Sidoarjo Depan Apotek Kemantren Rumah Bapak Sukandar, KAB. SIDOARJO, TULANGAN, JAWA TIMUR, ID, 61273</t>
  </si>
  <si>
    <t>Penyelenggaraan Pendidikan Orang Tua Pasca Pemberlakuan Permendikbud No. 9 Tahun 2020</t>
  </si>
  <si>
    <t>Widodo</t>
  </si>
  <si>
    <t>Gede Agus Siswadi</t>
  </si>
  <si>
    <t>Citra Pogung A/7 Jl. Pandega Marta No. 100. RT 008/RW047 Pogung Lor, Sinduadi, Mlati, Sleman, DIY. 55284, Mlati, Sleman, Daerah Istimewa Yogyakarta, 5528</t>
  </si>
  <si>
    <t>isvan taufik</t>
  </si>
  <si>
    <t xml:space="preserve"> komplek taman graha asri, taman graha selatan 4, blok i - 3, nomor 6 · Serang Banten Kota Serang Serang Indonesia Kota Serang</t>
  </si>
  <si>
    <t>Amelia Nur Fariza</t>
  </si>
  <si>
    <t>UBP Karawang
Perumnas Bumi Teluk Jambe Blok C no.299, Kel. Sukaluyu, Kec. Telukjambe Timur, Kab. Karawang
Telukjambe Timur
Kabupaten Karawang
Jawa Barat
41361</t>
  </si>
  <si>
    <t>Tetty PH Sihombing</t>
  </si>
  <si>
    <t>Akar Wangi (Vetiver Zizanioides, Stapf) Tanaman Konservasi</t>
  </si>
  <si>
    <t>Etik Puji Handayani, Rakhmiati &amp; Ishak Yuarsah</t>
  </si>
  <si>
    <t>Budidaya Tanaman Nilam (Pogostemon cablin Benth.)</t>
  </si>
  <si>
    <t>Ahmad Syafii</t>
  </si>
  <si>
    <t>Budidaya Buah-Buahan Tropis</t>
  </si>
  <si>
    <t>Zulkarnain</t>
  </si>
  <si>
    <t>Buku Ajar Manajemen DAS Pulau-Pulau Kecil</t>
  </si>
  <si>
    <t>Dr. Bokiraiya Latuamury, S.Hut., M.Sc.</t>
  </si>
  <si>
    <t>Tindakan Konservasi Menyelamatkan Produktivitas Lahan dan Ketersediaan Air Dalam Tanah</t>
  </si>
  <si>
    <t>Beny Harjadi</t>
  </si>
  <si>
    <t>Bekerja Bersama Masyarakat Pengalaman Pendampingan Para Pihak</t>
  </si>
  <si>
    <t>Agus Niamilah , dkk</t>
  </si>
  <si>
    <t>Pengelolaan Sumber Daya Alam</t>
  </si>
  <si>
    <t>Iswandi U. dan Indang Dewata</t>
  </si>
  <si>
    <t>Dana Amanah Pemberdayaan Masyarakat Inklusi Keuangan dengan Pendekatan Ekonomi Kelembagaan</t>
  </si>
  <si>
    <t>Etty Indriani, Hartawan &amp; Asri Wulandari</t>
  </si>
  <si>
    <t>Perubahan Alih Fungsi Lahan</t>
  </si>
  <si>
    <t>Fauziyah &amp; Muh Iman</t>
  </si>
  <si>
    <t>Pengelolaan Hutan Untuk Kemakmuran Masyarakat Pulau-Pulau Kecil Di Maluku</t>
  </si>
  <si>
    <t>Fransina S. Latumahina, dkk</t>
  </si>
  <si>
    <t>Buku Ajar Sistem Informasi Geografis dan Aplikasinya</t>
  </si>
  <si>
    <t>Alfian Pujian Hadi</t>
  </si>
  <si>
    <t>M NIRWAN PARIS L</t>
  </si>
  <si>
    <t xml:space="preserve"> Jl Trans Palu Toli-Toli Desa Lero Tatari
  Kecamatan: Sindue
  Kabupaten/Kota: Donggala
  Provinsi: Sulawesi Tengah</t>
  </si>
  <si>
    <t>Perumahan Grand Riscon Padjajaran Blok 8/No.2 Bojong Gede</t>
  </si>
  <si>
    <t>Fikih Ekologi Etika Pemanfaatan Lingkungan di Lereng Gunung Kelud</t>
  </si>
  <si>
    <t>Abbas Sofwan Matla’il Fajar</t>
  </si>
  <si>
    <t>Dialektika Hukum Lingkungan</t>
  </si>
  <si>
    <t>La Ode Angga</t>
  </si>
  <si>
    <t>Asas Hukum Pidana Islam sebagai Dasar Pembentukan Hukum Pidana Indonesia</t>
  </si>
  <si>
    <t>Muhammad Natsir</t>
  </si>
  <si>
    <t>Hukum Nikah Siri</t>
  </si>
  <si>
    <t>Abu Mansur Al-Asy’ari</t>
  </si>
  <si>
    <t>Nandar Ramdani</t>
  </si>
  <si>
    <t>BLok Tugaran, Rt 01/Rw 07, Dsn.Cigebot, Ds.Muktisari Kec.Cipaku, Kab.Ciamis  46252 Jabar</t>
  </si>
  <si>
    <t>Asuhan Keperawatan Post Partum</t>
  </si>
  <si>
    <t>Eni Haryati</t>
  </si>
  <si>
    <t>English in Nursing</t>
  </si>
  <si>
    <t>Insana Maria, Fenty Prikasari</t>
  </si>
  <si>
    <t>Asuhan Keperawatan Nifas</t>
  </si>
  <si>
    <t>Zubaidah … [et al.]</t>
  </si>
  <si>
    <t>Cognitive Therapy Dan Logo Therapy Dalam Menurunkan Depresi Pada Pasien Hemodialisis</t>
  </si>
  <si>
    <t>Nia Agustiningsih</t>
  </si>
  <si>
    <t>Kekerasan Dan Penelantaran Pada Lansia (Bisa Terjadi pada Orang Tua, Saudara, Kerabat, Bahkan Anda Sendiri)</t>
  </si>
  <si>
    <t>Eddy Siswanto</t>
  </si>
  <si>
    <t>Kupas Tuntas PCOS</t>
  </si>
  <si>
    <t>R. Muharam, dkk</t>
  </si>
  <si>
    <t>Madu dan Susu Probiotik Sebagai Antibakteri</t>
  </si>
  <si>
    <t>Andyanita Hanif Hermawati, Eka Puspitasari dan Chalies Diah Pratiwi</t>
  </si>
  <si>
    <t>Menyusun Kurikulum Pendidikan TENAGA KESEHATAN</t>
  </si>
  <si>
    <t>Dr. R. Tina Dewi Judistiani, dr., SpOG.</t>
  </si>
  <si>
    <t>New Normal Perilaku Sehat Warga Suku Anak Dalam Teori dan Praktik</t>
  </si>
  <si>
    <t>M. Ridwan</t>
  </si>
  <si>
    <t>Promosi dan Advokasi Kesehatan</t>
  </si>
  <si>
    <t>Dwi Widiyaningsih dan Dwi Suharyanta</t>
  </si>
  <si>
    <t>BUKU REFERENSI Kebutuhan Pasien di Ruang Perawatan Intensif Ditinjau dari Sudut Pandang Keluarga</t>
  </si>
  <si>
    <t>Moch. Bahrudin</t>
  </si>
  <si>
    <t>Sri Desfita, dkk</t>
  </si>
  <si>
    <t>Tanaman Potensial Berkhasiat Obat Cengkeh Temulawak Jahe Kunyit Kencur Serai</t>
  </si>
  <si>
    <t>Suharman</t>
  </si>
  <si>
    <t>Terapi Alternatif Komplementer Herbal pada Pasien Hipertensi dalam Perspektif Keperawatan</t>
  </si>
  <si>
    <t>Nurul Laili, S.Kep.Ns., M.Kep.</t>
  </si>
  <si>
    <t>Buku Ajar Soft Skills Keperawatan di Era Milenial 4.0</t>
  </si>
  <si>
    <t>Reni Asmara Ariga, S.Kp., MARS.</t>
  </si>
  <si>
    <t>Umam</t>
  </si>
  <si>
    <t>Jl. Kaliurang KM 5, Gg. Mulwo No. H. 25 Karangwuni, Caturtunggal, KAB. SLEMAN, DEPOK, DI YOGYAKARTA, ID, 55282</t>
  </si>
  <si>
    <t>Sosiologi Dakwah Rekonsepsi, Revitalisasi, dan Inovasi</t>
  </si>
  <si>
    <t>H. Agus Ahmad Safe</t>
  </si>
  <si>
    <t>Denny Hernawan</t>
  </si>
  <si>
    <t>Ciparigi, Kec. Bogor Utara, Kota Bogor, Jawa Barat [Tokopedia Note: Jl Pala No 38 Komp LPTI RT03 RW08, Ciparigi, Bogor Utara] Bogor Utara Kota Bogor 16157
Jawa Barat</t>
  </si>
  <si>
    <t>Muliyani Mustamin</t>
  </si>
  <si>
    <t>Jl.benteng no 13
Kadia
Kota Kendari
Sulawesi Tenggara</t>
  </si>
  <si>
    <t>Mengenal Logam Sebagai Bahan Teknik</t>
  </si>
  <si>
    <t>Saripuddin M</t>
  </si>
  <si>
    <t>Al-Fatihah : Model Sistem Kehidupan Muslim</t>
  </si>
  <si>
    <t>Setiadi Ihsan</t>
  </si>
  <si>
    <t>Akuntansi Keuangan Lembaga Syariah 1</t>
  </si>
  <si>
    <t>Warno</t>
  </si>
  <si>
    <t>Dasar-Dasar Penginderaan Jauh dan Aplikasinya pada Bidang Pertanian</t>
  </si>
  <si>
    <t>Pekerjaan Arsitektur Pada Pelaksana Lapangan Bangunan Gedung</t>
  </si>
  <si>
    <t>Metodologi Bekisting dan Perancah pada Pekerjaan Konstruksi Bangunan Gedung dan Sipil</t>
  </si>
  <si>
    <t>Rekayasa Lingkungan</t>
  </si>
  <si>
    <t>Rina Marina Masri dan Iskandar Muda Purwaamijaya</t>
  </si>
  <si>
    <t>Pengenalan Dasar Teknik Bio-Molekuler</t>
  </si>
  <si>
    <t>Chris Adhiyanto, Laifa Hendarmin dan Rini Puspitaningrum</t>
  </si>
  <si>
    <t>Teknik Membuat Literature Review Bidang Kajian Ekonomi</t>
  </si>
  <si>
    <t>Asyari</t>
  </si>
  <si>
    <t>Komunikasi Kontemporer: Bisnis Islam Di Era Digital</t>
  </si>
  <si>
    <t>DR. Nasrul Syarif</t>
  </si>
  <si>
    <t>Corporate Social Responsibility in the Digital Era</t>
  </si>
  <si>
    <t>Ayub Ilfandy Imran</t>
  </si>
  <si>
    <t>Pengantar Teknologi Informasi – Teknik Informatika</t>
  </si>
  <si>
    <t>Buhori Muslim</t>
  </si>
  <si>
    <t>Teori Organisasi Arsitektur Komputer &amp; Praktik Assembler Untuk Pemula</t>
  </si>
  <si>
    <t>Crist Nahumarory</t>
  </si>
  <si>
    <t>Komplek Hukum dan HAM Blok D2 No.1 Gn,Sindur
  Kecamatan: Gunung Sindur
  Kabupaten/Kota: Kab.Bogor
  Provinsi: Jawa Barat</t>
  </si>
  <si>
    <t>M Yuli Irianto</t>
  </si>
  <si>
    <t>Grand Wisata, Summer Festival AE11/17
Tambun Selatan
Kabupaten Bekasi
Jawa Barat
17510</t>
  </si>
  <si>
    <t>Policy And Productivity Analyses Of Indonesian Rice Agriculture</t>
  </si>
  <si>
    <t>Joko Mariyono</t>
  </si>
  <si>
    <t>Rosyid</t>
  </si>
  <si>
    <t xml:space="preserve"> jln hang tua..masjid.annur...hidayatullah
  Kecamatan:.yapen selatan
  Kabupaten/Kota: kepulauan yapen
  Provinsi: papua</t>
  </si>
  <si>
    <t>Aplikasi Komputer Bidang Perkantoran</t>
  </si>
  <si>
    <t>Feri Hari Utami &amp; Leni Natalia Zulita</t>
  </si>
  <si>
    <t>Ramsis UNHAS Blok B No. 124 (depan fakultas ekonomi dan bisnis)
  Kecamatan: Tamalanrea
  Kabupaten/Kota: Makassar
  Provinsi: Sulawesi Selatan</t>
  </si>
  <si>
    <t>Muhammad Faiz romdhoni (doni)</t>
  </si>
  <si>
    <t>Dk.Jati tumpang - ngenbes, RT/RW : 02/04, Desa Bandungharjo, Kec. Donorojo, Kab. Jepara
Donorojo
Kabupaten Jepara
Jawa Tengah
59454</t>
  </si>
  <si>
    <t>Dk.Jati tumpang - ngenbes, RT/RW : 02/04, Desa Bandungharjo, Kec. Donorojo, Kab. Jepara
Donorojo
Kabupaten Jepara
Jawa Tengah
59455</t>
  </si>
  <si>
    <t>Manajemen Pendidikan Karakter</t>
  </si>
  <si>
    <t>Mimin Maryati &amp; Tonny K. Suhandi</t>
  </si>
  <si>
    <t>Jl Mulawarman Timur Dalam II RT 02 RW 03
Tembalang
Kota Semarang
Jawa Tengah
50278</t>
  </si>
  <si>
    <t>Hukum Maritim</t>
  </si>
  <si>
    <t>Jl Mulawarman Timur Dalam II RT 02 RW 03
Tembalang
Kota Semarang
Jawa Tengah
50279</t>
  </si>
  <si>
    <t>Intisari Olah Gerak Kapal</t>
  </si>
  <si>
    <t>Jl Mulawarman Timur Dalam II RT 02 RW 03
Tembalang
Kota Semarang
Jawa Tengah
50280</t>
  </si>
  <si>
    <t>Jl Mulawarman Timur Dalam II RT 02 RW 03
Tembalang
Kota Semarang
Jawa Tengah
50281</t>
  </si>
  <si>
    <t>Jl Mulawarman Timur Dalam II RT 02 RW 03
Tembalang
Kota Semarang
Jawa Tengah
50282</t>
  </si>
  <si>
    <t>Jl Mulawarman Timur Dalam II RT 02 RW 03
Tembalang
Kota Semarang
Jawa Tengah
50283</t>
  </si>
  <si>
    <t>Jl Mulawarman Timur Dalam II RT 02 RW 03
Tembalang
Kota Semarang
Jawa Tengah
50284</t>
  </si>
  <si>
    <t>Jl Mulawarman Timur Dalam II RT 02 RW 03
Tembalang
Kota Semarang
Jawa Tengah
50285</t>
  </si>
  <si>
    <t>Stabilitas Kapal Niaga</t>
  </si>
  <si>
    <t>Capt, Hj. E. Kartini, MM, M.MAr</t>
  </si>
  <si>
    <t>Jl Mulawarman Timur Dalam II RT 02 RW 03
Tembalang
Kota Semarang
Jawa Tengah
50286</t>
  </si>
  <si>
    <t>Assessment Perikanan Tangkap</t>
  </si>
  <si>
    <t>Lis M. Yapanto</t>
  </si>
  <si>
    <t>Jl Mulawarman Timur Dalam II RT 02 RW 03
Tembalang
Kota Semarang
Jawa Tengah
50287</t>
  </si>
  <si>
    <t>Ramli Utina, Elya Nusantari, Abubakar Sidik Katili, &amp; Yowan Tamu</t>
  </si>
  <si>
    <t>Jl Mulawarman Timur Dalam II RT 02 RW 03
Tembalang
Kota Semarang
Jawa Tengah
50288</t>
  </si>
  <si>
    <t>Nitha café</t>
  </si>
  <si>
    <t xml:space="preserve">Jalan beruang. Nitha cafe, KAB. PINRANG, WATANG SAWITTO, SULAWESI SELATAN, ID, 91211
</t>
  </si>
  <si>
    <t>Menyusuri Jalan Panjang Pertaruhan Ekonomi dan Kesehatan Pada Masa Covid-19</t>
  </si>
  <si>
    <t>Trismayarni Elen</t>
  </si>
  <si>
    <t>Temu gg2 RT 01 RW 02 rumah bpk YOYOK, KAB. SIDOARJO, PRAMBON, JAWA TIMUR, ID, 6126</t>
  </si>
  <si>
    <t>Feny Angreani Shab</t>
  </si>
  <si>
    <t>Planet Cinema Bone, Jl. Dr Wahidin Sudirohusodo, Macanang, Tanete Riattang Barat, KAB. BONE, TANETE RIATTANG BARAT, SULAWESI SELATAN, ID, 92733</t>
  </si>
  <si>
    <t>Teori Akuntansi Berdasarkan Pendekatan Syariah</t>
  </si>
  <si>
    <t>Hani Werdi Apriyanti</t>
  </si>
  <si>
    <t>Rara Qory Archela</t>
  </si>
  <si>
    <t>Rajabasa Raya, Kec. Rajabasa, Kota Bandar Lampung, Lampung [Tokopedia Note: Gg. Nitiuda, Perumahan Bumi Anugerah No. 6 D3 Dekat Mushola] Rajabasa Kota Bandar Lampung 35144
Lampung</t>
  </si>
  <si>
    <t>Andrian</t>
  </si>
  <si>
    <t>Jl. Garu Raya No. 2A Babakan sari,, Kiaracondong, Bandung, Jawa Barat, 40283</t>
  </si>
  <si>
    <t>Jaysyur</t>
  </si>
  <si>
    <t>Griya Wulan Bahtera Jl.Perikani III No. 27-28, Rawamangun, RT.10/RW.3, Cipinang, Pulo Gadung, East Jakarta City, Jakarta 13240, Pulo Gadung, Jakarta Timur, DKI Jakarta, 13240</t>
  </si>
  <si>
    <t>Islam Membaca Realitas Pendidikan, Kemanusiaan, dan Perempuan</t>
  </si>
  <si>
    <t>Dody Riyadi HS</t>
  </si>
  <si>
    <t>Rini Wahyuni</t>
  </si>
  <si>
    <t>Kampung Mantereng RT/RW 14/05 · Kosambi Jawa Barat Kab. Subang Cipunagara Indonesia Kab. Subang</t>
  </si>
  <si>
    <t>IWAN RIDWAN</t>
  </si>
  <si>
    <t>Jl. KH. Syanwani Kp. Sampang Ds. Susukan blok Ponpes Ashhabul Maimanah Rt/Rw. 06/02 Banten Kab. Serang Tirtayasa Indonesia Kab. Serang</t>
  </si>
  <si>
    <t>JALALUDDIN</t>
  </si>
  <si>
    <t>Jl. Nangsri, Kec. Pundong, Bantul, Jogja, 55771[Tokopedia notes: Nangsri srihardono pundong bantul yogyakarta] Pundong Kab. Bantul 55771</t>
  </si>
  <si>
    <t>Ummu Salamah</t>
  </si>
  <si>
    <t>Penerapan Lembaga Dwangsom (Uang Paksa) di Lingkungan Peradilan Agama</t>
  </si>
  <si>
    <t>Drs. Cik Basir, S.H., M.H.I.</t>
  </si>
  <si>
    <t>Perceraian Berdampak pada Psikologis Anak Usia Remaja</t>
  </si>
  <si>
    <t>Risnawati</t>
  </si>
  <si>
    <t>Reintegrasi: Praktek Pekerjaan Sosial dengan Anak yang Berkonflik Dengan Hukum Berkonflik Dengan Hukum</t>
  </si>
  <si>
    <t>Hukum Perlindungan Anak dan Perempuan di Indonesia</t>
  </si>
  <si>
    <t>Muh. Fatih Amar Fauzan</t>
  </si>
  <si>
    <t>Jl. Buru Lr. 311 No. 45, Kota Makassar. Kode Pos 90171
Wajo
Kota Makassar
Sulawesi Selatan
90171</t>
  </si>
  <si>
    <t>Menulis di Jalan Tuhan</t>
  </si>
  <si>
    <t>Yanuardi Syukur</t>
  </si>
  <si>
    <t>Pitri Karyanti ( Kasir )</t>
  </si>
  <si>
    <t>RS.Bhayangkara Hoegeng Iman  Santoso Jl.Arteri Mamuju 91511 Mamuju Sulawesi Barat
Kel : Simboro dan Kepulauan
Kec : Simboro dan Kepulauan
Kab : Mamuju
Prov : Sulawesi Barat 
Kode pos :  91511</t>
  </si>
  <si>
    <t>Basahi Lidah Mu!</t>
  </si>
  <si>
    <t>Dasep Bayu Ahyar</t>
  </si>
  <si>
    <t>Negara Hukum, Demokrasi dan Konstitusi (Versi Pengantar)</t>
  </si>
  <si>
    <t>Lalu Auliya Akraboe Littaqwa</t>
  </si>
  <si>
    <t>Jalan Gili Trawangan II no 12 Taman Karang Baru Mataram Selaparang Kota Mataram 83123
Nusa Tenggara Barat</t>
  </si>
  <si>
    <t>wanda anisa</t>
  </si>
  <si>
    <t>Dusun Gading, RT : 02, RW : 02, Desa Gading, Kec. Winongan, Kab. Pasuruan, Jawa Timur. , KAB. PASURUAN, WINONGAN, JAWA TIMUR, ID, 67182</t>
  </si>
  <si>
    <t>christian</t>
  </si>
  <si>
    <t xml:space="preserve">Gg. Manggis XIII No.9, RT.6/RW.4, Tj. Duren Sel., Kec. Grogol petamburan, Kota Jakarta Bar, KOTA JAKARTA BARAT, GROGOL PETAMBURAN, DKI JAKARTA, ID, 11470
</t>
  </si>
  <si>
    <t>yoris</t>
  </si>
  <si>
    <t xml:space="preserve">Kp.Melayu keke Rt.04 Rw.011 Kel.Kijang (tanjung pinang) Gg.tengiri, KOTA TANJUNG PINANG, TANJUNG PINANG KOTA, KEPULAUAN RIAU, ID, 29111
</t>
  </si>
  <si>
    <t>Strategi Pemasaran Jasa: Teori dan Aplikasi di Indonesia</t>
  </si>
  <si>
    <t>M. Noor Sembiring</t>
  </si>
  <si>
    <t>Nina</t>
  </si>
  <si>
    <t>Jalan dara raya blok DG 8 no 10, RT/RW 001/011, kompleks vila pamulang, pondok petir, bojongsari, depok, jawa barat
Bojongsari
Kota Depok
Jawa Barat
16517</t>
  </si>
  <si>
    <t>Matematika Finansial dengan Software R</t>
  </si>
  <si>
    <t>Wawan Hafid Syaifudin</t>
  </si>
  <si>
    <t>Anang Dony Irawan</t>
  </si>
  <si>
    <t>Jelidro 3 no 2 RT 2 RW 1
  Kecamatan : Sambikerep
  Kabupaten/Kota : Surabaya
  Provinsi : Jawa Timur</t>
  </si>
  <si>
    <t>Alexander Sihombing</t>
  </si>
  <si>
    <t>GG murni no38 , Medan tenggara 7, jl panglima Denai , Medan Denai , Medan
  Kecamatan: Medan denai
  Kabupaten/Kota: Medan
  Provinsi: sumatera Utara</t>
  </si>
  <si>
    <t>Neraca Energi tanpa Reaksi Kimia: Konsep dan Aplikasi Industri</t>
  </si>
  <si>
    <t>Pembentukan &amp; Pengawasan Peraturan Daerah yang Berciri Khas Daerah</t>
  </si>
  <si>
    <t>Dr. Teuku Saiful Bahri Johan, S.H., M.Si.</t>
  </si>
  <si>
    <t>Aneka Masalah Hukum Adat dalam Pembangunan</t>
  </si>
  <si>
    <t>Prof. Dr. Ronald Z. Titahelu, S.H., M.H.</t>
  </si>
  <si>
    <t>Ilmu Hukum Adat</t>
  </si>
  <si>
    <t>Sri Warjiyati</t>
  </si>
  <si>
    <t>Nilai-Nilai Kearifan Lokal (Local Genius) Sebagai Penguat Karakter Bangsa: Studi Empiris Tentang Huyula</t>
  </si>
  <si>
    <t>Rasid Yunus, S.Pd., M.Pd.</t>
  </si>
  <si>
    <t>Wa ode putri kosasi elha</t>
  </si>
  <si>
    <t>Jl. Pahlawan km2, rt/rw 001/001, kel/kec kadolo/kokalukuna. Kota Baubau, sulawesi tenggara</t>
  </si>
  <si>
    <t>Wellina Sebayang, Destyna Yohana Gultom &amp; Eva Royani Sidabutar</t>
  </si>
  <si>
    <t>Annisa Melliana</t>
  </si>
  <si>
    <t xml:space="preserve"> Jl.Latsitarda,No 40, RT 3 ,RW -, Desa Bantu Tajun Pangkalan ( Di seberang Outlet Lutfi , tepatnya di belakang Toko Karim Akbar Warna Ungu)
  Kecamatan: Sungai Pandan
  Kabupaten/Kota: Hulu Sungai Utara
  Provinsi: Kalimantan Selatan</t>
  </si>
  <si>
    <t>Identifikasi Anak Berkebutuhan Khusus di Sekolah Inklusi</t>
  </si>
  <si>
    <t>Mirnawati, M.Pd.</t>
  </si>
  <si>
    <t>Galang Suryaputra</t>
  </si>
  <si>
    <t xml:space="preserve"> Jetak, RT 001/RW 028, Sendangtirto
  Kecamatan: Berbah
  Kabupaten/Kota: Sleman
  Provinsi: Daerah Istimewa Yogyakarta</t>
  </si>
  <si>
    <t>Sumiyatun Septianingsih</t>
  </si>
  <si>
    <t>Kost Wisma Kartini (WK) Gang Nangka Rt 5/ RW IV, Desa Dukuhwaluh Kec Kembaran Kab Banyumas, Jawa Tengah 53182 (Belakang Gedung Kantor Pusat Kampus 1 UM Purwokerto, Banyumas, Jawa Tengah 53182), Kembaran, Banyumas, Jawa Tengah, 53182</t>
  </si>
  <si>
    <t>Joko Prabowo, S.Pd</t>
  </si>
  <si>
    <t xml:space="preserve"> SMKN 2 Slawi jl.Jenderal Ahmad Yani, Slawi, Kab.Tegal
  Kecamatan: Slawi
  Kabupaten/Kota: Kab.Tegal
  Provinsi: Jawa Tengah</t>
  </si>
  <si>
    <t>Amellia humairah hasan</t>
  </si>
  <si>
    <t>Jl. Kasongan No.223, Kajen, Bangunjiwo, Kec. Kasihan, Bantul, Daerah Istimewa Yogyakarta 55184 perumahan cluster no 8 · Bangunjiwo Di Yogyakarta Kab. Bantul Kasihan Indonesia Kab. Bantul</t>
  </si>
  <si>
    <t>Andyseno Indriatmoko</t>
  </si>
  <si>
    <t>Perum Green Cerme C1/35 Karangan, Kambingan
  Kecamatan: Cerme
  Kabupaten/Kota: Gresik
  Provinsi: Jawa Timur</t>
  </si>
  <si>
    <t>dina</t>
  </si>
  <si>
    <t>Komplek BAP JUANDA
Jl. Anggrek Narindra No.76 RT.21
Kelurahan Air Putih, Kecamatan Samarinda Ulu, Kota Samarinda 75124, KALTIM</t>
  </si>
  <si>
    <t>Dampak Pengawet Nitrit Pada Daging Olahan Sosis Terhadap Kesehatan Manusia</t>
  </si>
  <si>
    <t>Ainil Fithri Pulungan</t>
  </si>
  <si>
    <t>Sistem Pengantaran Obat</t>
  </si>
  <si>
    <t xml:space="preserve">Framesti Frisma Sriarumtias, S.Farm., M.Si. 
</t>
  </si>
  <si>
    <t>Truly Sitorus, dkk</t>
  </si>
  <si>
    <t>PETAI CINA (Leucaena leucocephala): Penggunaan Tradisional, Fitokimia, dan Aktivitas Farmakologi</t>
  </si>
  <si>
    <t>Harrizul Rivai</t>
  </si>
  <si>
    <t>Rima Ernita/mama ating</t>
  </si>
  <si>
    <t xml:space="preserve">Jalan H. Kodja 4 No. 1A RT01 RW05 Kukusan, Beji, Depok, KOTA DEPOK, BEJI, JAWA BARAT, ID, 16421
</t>
  </si>
  <si>
    <t>Parmi</t>
  </si>
  <si>
    <t xml:space="preserve">Jalan Gg Makam Pecucen, RT.26/RW.4, Bogares Kidul, Pangkah, KAB. TEGAL, PANGKAH, JAWA TENGAH, ID, 52471
</t>
  </si>
  <si>
    <t>Essential Words</t>
  </si>
  <si>
    <t>Ahmad Zubaidi Amrullah</t>
  </si>
  <si>
    <t>Mengenal Karakter Molekuler dan Imunogenesitas Flagella Salmonella Typhi Penyebab Demam Tifoid</t>
  </si>
  <si>
    <t>Sri Darmawati</t>
  </si>
  <si>
    <t>Slamet Purwadi</t>
  </si>
  <si>
    <t>Peran Brake System dalam Pesawat Terbang</t>
  </si>
  <si>
    <t>Indreswari Suroso</t>
  </si>
  <si>
    <t>Tony Hutabarat.</t>
  </si>
  <si>
    <t>Jalan bendungan 3 no 20 kelurahan bangun mulia, kecamatan Medan amplas, Sumatra Utara.</t>
  </si>
  <si>
    <t>Sentuhan Teknik Nuklir dalam Aktivitas Industri</t>
  </si>
  <si>
    <t>Mukhlis Akhadi</t>
  </si>
  <si>
    <t>Jne</t>
  </si>
  <si>
    <t>Saatu lailiyatil qomariyyah</t>
  </si>
  <si>
    <t xml:space="preserve">Asemrudung pondok pesantren al yahya Nusantara
  Kecamatan: Geyer
  Kabupaten/Kota: Grobogan
  Provinsi: jawa tengah (58172) </t>
  </si>
  <si>
    <t>Hukum Pidana</t>
  </si>
  <si>
    <t>Rahmanuddin Tomalili, S.H., M.H.</t>
  </si>
  <si>
    <t>Hadi Tasmono</t>
  </si>
  <si>
    <t>Semolowaru Indah II/S4 Surabaya, Sukolilo, Surabaya, Jawa Timur, 60119</t>
  </si>
  <si>
    <t>Konversi Energi</t>
  </si>
  <si>
    <t>Soetyono Iskandar dan Djuanda</t>
  </si>
  <si>
    <t>Randy Vallentino Neonben</t>
  </si>
  <si>
    <t>Jalan Ahmad Yani km 4 Arah BGR, RT. 007, RW. 002, Kelurahan Tubuhue, Kefamenanu, Timor Tengah Utara, Nusa Tenggara Timur, 85617</t>
  </si>
  <si>
    <t>Silvia Nur</t>
  </si>
  <si>
    <t>Jl Angkrek No.117, Pangaduan Heubeul, Sumedang Utara, Sumedang (Hari Kerja 24 Jam), Sumedang, Sumedang, Jawa Barat, 45321</t>
  </si>
  <si>
    <t>Melinda Mega</t>
  </si>
  <si>
    <t xml:space="preserve">Desa Jatirejo, Dusun Mijil, RT.1/RW.5, Jatirejo, Ngampel , KAB. KENDAL, NGAMPEL, JAWA TENGAH, ID, 51359
</t>
  </si>
  <si>
    <t>amal faradis</t>
  </si>
  <si>
    <t xml:space="preserve">jl. patimura komplek wisma bunga blok C11 Rt 50, KOTA JAMBI, KOTA BARU, JAMBI, ID, 36129
</t>
  </si>
  <si>
    <t>Efektivitas Pengawasan Pendidikan Islam; Menuju Pengawasan Berkualitas dan Terukur</t>
  </si>
  <si>
    <t>Samsudin Siregar</t>
  </si>
  <si>
    <t>Afifah</t>
  </si>
  <si>
    <t>Perum. Sapphire Residence Karangwangkal, Zamrud L9 RT2/RW6 , KAB. BANYUMAS, PURWOKERTO UTARA, JAWA TENGAH, ID, 53122</t>
  </si>
  <si>
    <t>Metta</t>
  </si>
  <si>
    <t>Jalan dara raya blok DG 8 no 10, RT/RW 001/011, kompleks vila pamulang, pondok petir, bojongsari, depok, jawa barat
Bojongsari
Kota Depok
Jawa Barat</t>
  </si>
  <si>
    <t>Menyusun dan Menandatangani Naskah Dinas: 4 Jenis naskah Dinas Sehari-hari (Memorandum, Nota Dinas, Surat Dinas, Telaahan Staf)</t>
  </si>
  <si>
    <t>Khalid Efendi</t>
  </si>
  <si>
    <t>Dyla Putri Salsabila</t>
  </si>
  <si>
    <t>Graha bukit raya 3 blok E3 no 31 , KAB. BANDUNG BARAT, NGAMPRAH, JAWA BARAT, ID, 40727</t>
  </si>
  <si>
    <t>Dokumen Fasilitas perjalanan</t>
  </si>
  <si>
    <t>Hari Rachmadi</t>
  </si>
  <si>
    <t>Dyah ayu</t>
  </si>
  <si>
    <t xml:space="preserve">Gedawang pesona asri blok B no.7A rt 02/07, KOTA SEMARANG, BANYUMANIK, JAWA TENGAH, ID, 50268
</t>
  </si>
  <si>
    <t>Nutrisi dan Metabolisme Ikan Kerapu Macan</t>
  </si>
  <si>
    <t>Dr. Ir. Zainuddin, M.Si.</t>
  </si>
  <si>
    <t>Sherly Oktarianti / Ibu sus</t>
  </si>
  <si>
    <t xml:space="preserve">Jl. Selat panjang GG. Wartawan 3 no. 08, KOTA PONTIANAK, PONTIANAK UTARA, KALIMANTAN BARAT, ID, 78243
</t>
  </si>
  <si>
    <t>Modul Identifikasi Cendawan Penyebab Penyakit Tanaman</t>
  </si>
  <si>
    <t>Nuryani Dewi Permana dan Ummu Salamah Rustiani</t>
  </si>
  <si>
    <t>ladia Rimba Angkasa Sumarwan</t>
  </si>
  <si>
    <t>Nyaen, Pandowoharjo, Kec. Sleman, Kabupaten Sleman, Jogj</t>
  </si>
  <si>
    <t>Fatma fatimah</t>
  </si>
  <si>
    <t>villa grandys blok D3 jl persahabatan 7 rt.10 rw 08 kel kelapa dua wetan kec ciracas jakarta timur Ciracas Kota Administrasi Jakarta Timur 13740
DKI Jakar</t>
  </si>
  <si>
    <t>Ridwan Maronrong</t>
  </si>
  <si>
    <t>Chapter Strategi Pemasaran: UMKM dan Pandemi Covid-19</t>
  </si>
  <si>
    <t>Lina Ariyani, S.E., M.M.. dkk</t>
  </si>
  <si>
    <t>Manajemen Bisnis Berbasis Teknologi Digital Tahun 2017</t>
  </si>
  <si>
    <t>alan Pesantren pasia permai 2 · Pasia Sumatera Barat Kab. Agam Iv Angkat Candung (Ampek Angkek) Indonesia Kab. Agam</t>
  </si>
  <si>
    <t>Jefri T</t>
  </si>
  <si>
    <t>Perumahan Purimas Jl. Kuta Paradise III/G.6 No. 23 Surabaya 60294
  Kecamatan: Gununganyar
  Kabupaten/Kota: Surabaya
  Provinsi: Jawa Timur</t>
  </si>
  <si>
    <t>The Power of Coaching : Melejitkan Potensi Menggapai Kesuksesan dan Kebahagiaan</t>
  </si>
  <si>
    <t>Ansri Yunita Sari</t>
  </si>
  <si>
    <t>Pondokmulya Melatiwangi Blok N4
Kecamatan: Cilengkrang
  Kabupaten/Kota: Bandung
  Provinsi: Jawa Barat</t>
  </si>
  <si>
    <t>INDRI DWI PUTRI</t>
  </si>
  <si>
    <t>JL.RAYA ANYER KARANG BOLONG KM 133,7 DESA BANDULU SMA PESANTREN UNGGUL AL BAYAN ANYER
Anyar
Kabupaten Serang
Banten</t>
  </si>
  <si>
    <t>Landasan Bimbingan dan Konseling Islam</t>
  </si>
  <si>
    <t>M. Fuad Anwar</t>
  </si>
  <si>
    <t>Model Konseling Kelompok Teknik Problem Solving, Teori dan Praktik untuk Meningkatkan Self Efficacy Akademik</t>
  </si>
  <si>
    <t>Antologi: Multi Perspektif Keilmuan di Masa Pandemi Covid-19 (Dalam Tinjauan Agama, Pendidikan, Psikologi dan Konseling)</t>
  </si>
  <si>
    <t>Editor: Delsylia Tresnawaty Ufi, dkk</t>
  </si>
  <si>
    <t>Untukmu Wahai Mahasiswa: Sebuah Pesan Inspiratif Pemantik Semangat</t>
  </si>
  <si>
    <t>Ade Herman Surya Direja</t>
  </si>
  <si>
    <t>Penerapan Konseling Menggunakan Model Pendekatan Psikologi</t>
  </si>
  <si>
    <t>Rasman Sastra Wijaya</t>
  </si>
  <si>
    <t>2 Arrayan Great Sesuatu untuk Dikenang</t>
  </si>
  <si>
    <t>Yuhendra</t>
  </si>
  <si>
    <t>Berhenti Sesaat untuk Melesat</t>
  </si>
  <si>
    <t>Ernawati</t>
  </si>
  <si>
    <t>Catatan Kisah Hidupku, Sabar dan Setia Dalam Perjuangan Demi Mencapai Cita-Cita</t>
  </si>
  <si>
    <t>Neles Esema</t>
  </si>
  <si>
    <t>Ekologi Manusia</t>
  </si>
  <si>
    <t>Eri Barlian dan Iswandi U</t>
  </si>
  <si>
    <t>Selamat Datang Masa Remaja</t>
  </si>
  <si>
    <t>Sri Bulan Musmiah, Nuryani Y. Rustaman &amp; Saefudin</t>
  </si>
  <si>
    <t>Anatomi Tumbuhan: Pengetahuan Dasar untuk Calon Guru IPA dan Biologi</t>
  </si>
  <si>
    <t>Riza Sativani Hayati</t>
  </si>
  <si>
    <t>Biostatistik</t>
  </si>
  <si>
    <t>Herlinawati</t>
  </si>
  <si>
    <t>Pemodelan Matematika Dinamika Populasi Dan Penyebaran Penyakit Teori, Aplikasi, Dan Numerik</t>
  </si>
  <si>
    <t>Meksianis Zadrak Ndii</t>
  </si>
  <si>
    <t>Nge-date Bareng Matematika, Yuk!</t>
  </si>
  <si>
    <t>Joko Ade Nursiyono Jamik Safitri</t>
  </si>
  <si>
    <t>Kimia Dasar</t>
  </si>
  <si>
    <t>Heny Ekawati Haryono</t>
  </si>
  <si>
    <t>Alat Ukur Keterampilan Berfikir Kritis Konsep Kimia untuk Siswa SMA</t>
  </si>
  <si>
    <t>Dr. Kartimi, M.Pd.</t>
  </si>
  <si>
    <t>Menulis di Periferi: Marjinalitas dalam Karya Fiksi dan Non-Fiksi Penulis Asia, Eropa, dan Amerika</t>
  </si>
  <si>
    <t>157 Hari Mencari Makna Hidup</t>
  </si>
  <si>
    <t>DIS</t>
  </si>
  <si>
    <t>I Made Indra P dan Ika Cahyaningrum</t>
  </si>
  <si>
    <t>Nur Rahman</t>
  </si>
  <si>
    <t>Ruko Valencia Blok AC no.08, Ds. Gemurung, Kec. Gedangan, Kabupaten Sidoarjo, Jawa Timur, 61254
(Kecamatan &amp; kota): Sidoarjo</t>
  </si>
  <si>
    <t>DAVID DJERUBU</t>
  </si>
  <si>
    <t>SVD RUTENG (Samping Gereja Katedral lama); Jln. Pelita -
Kecamatan: Langke Rembong
Kabupaten/kota: MANGGARAI/RUTENG
Provinsi: NTT</t>
  </si>
  <si>
    <t>Novi wahyuningtias</t>
  </si>
  <si>
    <t xml:space="preserve"> jl.raya Trunojoyo km.6 no.14 pas selatan mesjid nambakor
  Kecamatan: saronggi
  Kabupaten/Kota: sumenep
  Provinsi: Jawa timur</t>
  </si>
  <si>
    <t>Risma Nurfitria</t>
  </si>
  <si>
    <t>Desa ribang1 rt 13 rw 2 kec muara uya kab tabalong kalimantan selatan
Muara Uya
Kabupaten Tabalong
Kalimantan Selatan
71573</t>
  </si>
  <si>
    <t>Pengantar Pengawasan Pendidikan</t>
  </si>
  <si>
    <t>Besse Marhawati</t>
  </si>
  <si>
    <t>Luky</t>
  </si>
  <si>
    <t>Jl. Cilandak I No 34 A (belakang Citos) Cilandak Kota Administrasi Jakarta Selatan 12430
DKI Jakarta</t>
  </si>
  <si>
    <t>Panduan Tata Laksana Menopause Secara Interdisiplin</t>
  </si>
  <si>
    <t>Muharam</t>
  </si>
  <si>
    <t>Rosita Girsang</t>
  </si>
  <si>
    <t>jln Danau Toba No.1 belakang Rt.017/RW 07
  Kecamatan: Siantar timur
  Kabupaten/Kota:
  Provinsi:Sumatera Utar</t>
  </si>
  <si>
    <t>Miguna Astuti dan Nurhafifah Matondang</t>
  </si>
  <si>
    <t>Erick Estrada Sibagariang</t>
  </si>
  <si>
    <t>Perumahan bagaman citra mas blok A3 no 23a tanjung uncang, Batam., KOTA BATAM, BATU AJI, KEPULAUAN RIAU, ID, 2944</t>
  </si>
  <si>
    <t>Amanda Rizky</t>
  </si>
  <si>
    <t>STIK KESOSI Jl. Bojong Indah Raya No.58, RT.1/RW.5, Rw. Buaya
  Kecamatan: Cengkareng
  Kabupaten/Kota: Jakarta Barat
  Provinsi: Daerah Khusus Ibukota Jakarta</t>
  </si>
  <si>
    <t>Buku Asuhan Keperawatan Jiwa Masalah Kecemasan pada Keluarga dengan Stunting</t>
  </si>
  <si>
    <t>Sekarini &amp; Faizatur Rohmi</t>
  </si>
  <si>
    <t>Buku Ajar Keperawatan Keluarga</t>
  </si>
  <si>
    <t>Dwi Retnaningsih</t>
  </si>
  <si>
    <t>Modul Praktikum Keperawatan Medikal Bedah II</t>
  </si>
  <si>
    <t>Chrisnawati dan Theresia Jamini</t>
  </si>
  <si>
    <t>Dhara</t>
  </si>
  <si>
    <t>Komplek departemen koperasi Blok c93 RT05/09, KOTA DEPOK, CIMANGGIS, JAWA BARAT, ID, 16453</t>
  </si>
  <si>
    <t>Petualangan Si Ipul: My Beach .. My Life</t>
  </si>
  <si>
    <t>Shanty Herawati</t>
  </si>
  <si>
    <t>Komplek departemen koperasi Blok c93 RT05/09, KOTA DEPOK, CIMANGGIS, JAWA BARAT, ID, 16454</t>
  </si>
  <si>
    <t>Aku Ingin Menjadi Dokter Gigi</t>
  </si>
  <si>
    <t>drg. Yufitri Mayasari, M.Kes, Debby Dwie Nurauliasari, S.KG, Deryana Septriannisa, S.KG
Deby Chintya Rahayu, S.KG</t>
  </si>
  <si>
    <t>Rina Husnaini Febriyanti</t>
  </si>
  <si>
    <t>Perumahan Griya Asri Insani Blok D8 
Gang Bakti 3
Jl. Akses UI Kelapa Dua Depok
Kel.Tugu Kec. Cimanggis Jawa Barat
16451</t>
  </si>
  <si>
    <t>yasintha</t>
  </si>
  <si>
    <t xml:space="preserve"> jln aw syahranie GG 7 perum villa darush Shofa lestari blok saiuna no 2c 
  Kecamatan: sempaja
  Kabupaten/Kota: Samarinda utara
  Provinsi: kaltim</t>
  </si>
  <si>
    <t>Bimbingan dan Konseling Populasi Khusus di Institusi Pendidikan</t>
  </si>
  <si>
    <t>Rudi Haryadi, dkk</t>
  </si>
  <si>
    <t>Yan Harlan</t>
  </si>
  <si>
    <t xml:space="preserve">Jl. Prabumulih 4 Blok B/D 141B Komplek Pertamina Bukit Datuk, KOTA DUMAI, DUMAI SELATAN, RIAU, ID, 28825
</t>
  </si>
  <si>
    <t>Riset Operasi “Pendekatan Praktis”</t>
  </si>
  <si>
    <t>Asep Dana Saputra</t>
  </si>
  <si>
    <t>Balanced Scorecard Teori Dan Aplikasi</t>
  </si>
  <si>
    <t>Lailatus Sa’adah dan Moh. Ja’far Sodiq Maksum</t>
  </si>
  <si>
    <t>BAYU RAMADHAN</t>
  </si>
  <si>
    <t>Dusun Bubulak (Samping Masjid Jamie Nurul Iman), Rt/Rw 002/006, Desa Puspasari, Kec. Pedes, Kab. Karawang, Jawa Barat 41353</t>
  </si>
  <si>
    <t>Komputasi dalam Litbang Material Struktur dan Fungsional Reaktor Nuklir</t>
  </si>
  <si>
    <t>Mardiyanto, Ferhat Aziz, Abu Khalid Rivai</t>
  </si>
  <si>
    <t>Ario Wicaksono</t>
  </si>
  <si>
    <t>Jl. Balai Rakyat No.24 RT/RW 001/003, Kelurahan.Gedong
  Kecamatan: Pasar Rebo
  Kabupaten/Kota: Condet - Jakarta Timur
  Provinsi: DKI Jakarta</t>
  </si>
  <si>
    <t>Muhammad Nur Akbar</t>
  </si>
  <si>
    <t xml:space="preserve">Jalan Perumahan Teknik Blok J No.33, Borongloe, Bontomarannu, KAB. GOWA, BONTOMARANNU, SULAWESI SELATAN, ID, 92171
</t>
  </si>
  <si>
    <t>W. Pohan</t>
  </si>
  <si>
    <t>Warnet hello Kity (depan TK. Bhayangkari ) Jl. Soekarno Hatta No.8 Rt. 9 Jambi Selatan Kota Jambi 36138</t>
  </si>
  <si>
    <t>Register Bahasa Hukum</t>
  </si>
  <si>
    <t>Rosma Kadir, S.Pd., M.A.</t>
  </si>
  <si>
    <t>Engkos Kosasih</t>
  </si>
  <si>
    <t>kompleks Saruni permai rt 03/09 (depan paud Az-Zahra), Majasari, Pandeglang Banten</t>
  </si>
  <si>
    <t>Abdul Wahab</t>
  </si>
  <si>
    <t xml:space="preserve">Jl. Holis no 69
  Kelurahan : warung muncang 
  Kecamatan: Bandung kulon
  Kabupaten/Kota: kota Bandung
  Provinsi: Jawa Barat </t>
  </si>
  <si>
    <t>Nugraheni Sarasanti</t>
  </si>
  <si>
    <t>Jatisari Rt 4 Rw 1 (Depan SDN Jatisari 1)
  Kecamatan: Subah
  Kabupaten/Kota: Batang
  Provinsi: Jawa Tengah</t>
  </si>
  <si>
    <t>Meneliti Itu Gampang: Mudah Ber-PTK Bagi Pendidik</t>
  </si>
  <si>
    <t>Muhammad Fajri</t>
  </si>
  <si>
    <t>Menggelorakan Penelitian: Pengenalan dan Penuntun Pelaksanaan Penelitian</t>
  </si>
  <si>
    <t>Restu Kartiko Widi</t>
  </si>
  <si>
    <t>Bea</t>
  </si>
  <si>
    <t>Kota Baru Parahyangan, Jl. Banyak Sumba 33 Padalarang Kab. Bandung Barat 40553
Jawa Barat</t>
  </si>
  <si>
    <t>Ilmu Administrasi dan Analisis Kebijakan Publik Konseptual dan Praktik</t>
  </si>
  <si>
    <t>Etika Administrasi Negara</t>
  </si>
  <si>
    <t>Mukmin Muhammad</t>
  </si>
  <si>
    <t>Jupri Mustofa</t>
  </si>
  <si>
    <t xml:space="preserve"> Politeknik Negeri Tanah Laut, Jl. Ahmad yani KM.6 desa Panggung
  Kecamatan: Pelaihari
  Kabupaten/Kota: tanah laut
  Provinsi: kalimantan selatan</t>
  </si>
  <si>
    <t>Biokimia Pangan Dasar</t>
  </si>
  <si>
    <t>T. Zulfikar</t>
  </si>
  <si>
    <t>Jl. Gunung Paro no. 15 , Gp. Sukaramai/Blower, kec. Baiturrahman, kota Banda Aceh, Prov. Nanggroe Aceh Darussalam</t>
  </si>
  <si>
    <t>Kebijakan Hukum Pidana dalam Pemberantasan Tradisi Omerta Tindak Pidana Korupsi di Indonesia</t>
  </si>
  <si>
    <t>Roni Efendi</t>
  </si>
  <si>
    <t>Ruth Benedicta</t>
  </si>
  <si>
    <t xml:space="preserve">Rumah Sakit Bala Keselamatan( Bu Sri Asih) , Jalan Jendral A Yani No.91, Turen, Turen , KAB. MALANG, TUREN, JAWA TIMUR, ID, 65175
</t>
  </si>
  <si>
    <t>Matematika Untuk Kehidupan: Fungsi Eksponensial</t>
  </si>
  <si>
    <t>Alyon Puguh Saputro</t>
  </si>
  <si>
    <t>Dinda Heni</t>
  </si>
  <si>
    <t>Jl. Granit Nila 3 12D / C50, Perumnas KBD
  Kecamatan: Driyorejo
  Kabupaten/Kota: Gresik
  Provinsi: Jawa timur</t>
  </si>
  <si>
    <t>14 Jam Belajar Cepat Internet of Things (IoT)</t>
  </si>
  <si>
    <t xml:space="preserve">Setiawardhana … [et al.]
</t>
  </si>
  <si>
    <t>Dwiki Ahmad Dhani</t>
  </si>
  <si>
    <t>Jl. moch seruji no 170 patrang (Rumah Bu kasido, Kos cewek pagar oren masuk gang) [Tokopedia Note: RT 03 RW 019] Patrang Kab. Jember 68111
Jawa Timur</t>
  </si>
  <si>
    <t>Arman Fauzi</t>
  </si>
  <si>
    <t>Jl. Anggrek RT. 16 No. 42
  Kecamatan: Tarakan Barat
  Kabupaten/Kota: Tarakan
  Provinsi: Kalimantan Utara</t>
  </si>
  <si>
    <t>Sistem Toll Laut Indonesia Menuju Era Maritim 5.0</t>
  </si>
  <si>
    <t>L. Tri Wijaya N. Kusuma</t>
  </si>
  <si>
    <t>Andi Zulherry</t>
  </si>
  <si>
    <t>Jl. Purwo Dsn. VII no. 2A Desa Kedai Durian
  Kecamatan: Deli Tua
  Kabupaten/Kota: Deli Serdang
  Provinsi: Sumatera Utar</t>
  </si>
  <si>
    <t>Dilla Srikandi Syahadat</t>
  </si>
  <si>
    <t>Jl. Abadi no.16 Kel. Talise
Mantikulore
Kota Palu
Sulawesi Tengah
94118</t>
  </si>
  <si>
    <t>Konsep dan Aplikasi Epidemiologi</t>
  </si>
  <si>
    <t>Fitri Jayanthi</t>
  </si>
  <si>
    <t>Kp. Citerong. Desa Cibedug. Rt. 4. Rw. 4.
Ciawi
Kabupaten Bogor
Jawa Barat</t>
  </si>
  <si>
    <t>Muhammad Nasrulloh Hud</t>
  </si>
  <si>
    <t xml:space="preserve">Jalan Taman Hayam Wuruk No. 142 Surabaya, KOTA SURABAYA, WONOKROMO, JAWA TIMUR, ID, 60242
</t>
  </si>
  <si>
    <t>Nela</t>
  </si>
  <si>
    <t>Jl. Manunggal II, RT. 04, RW. 02, desa Ngampel, rumah bapak h. Sahal, KAB. GRESIK, MANYAR, JAWA TIMUR, ID, 61151</t>
  </si>
  <si>
    <t>Hafiz Himanah</t>
  </si>
  <si>
    <t>Jalan tromol no 081 rt 06 rw 01 sukaraja Prabumulih selatan, KOTA PRABUMULIH, PRABUMULIH SELATAN, SUMATERA SELATAN, ID, 31112</t>
  </si>
  <si>
    <t>Avertebrata air</t>
  </si>
  <si>
    <t>Femy M. Sahami dan Sri Nuryatin Hamzah</t>
  </si>
  <si>
    <t>Jalan Cipunegara Nomor 26, RT 10/RW 13, kecamatan Blimbing, kelurahan Purwantoro, KOTA MALANG, BLIMBING, JAWA TIMUR, ID, 65122</t>
  </si>
  <si>
    <t>Asep Herman N</t>
  </si>
  <si>
    <t>Kp. Cipondoh Girang No. 118 Rt. 02 Rw. 12 Ds. Cinunuk Kec. Cileunyi Kab. Bandung Cileunyi Kab. Bandung 40624
Jawa Barat</t>
  </si>
  <si>
    <t>Nasrul Rahim</t>
  </si>
  <si>
    <t>jln.dr.Ratulangi Radiologi · Labuang Baji Sulawesi Selatan Kota Makassar Mamajang Indonesia Kota Makassar</t>
  </si>
  <si>
    <t>Matematika Fisika (Barisan Dan Deret)</t>
  </si>
  <si>
    <t>Drs. Widodo Budhi, M.Si. dan Zainnur Wijayanto, S.Pd., M.Pd.</t>
  </si>
  <si>
    <t>Uup Harianto</t>
  </si>
  <si>
    <t xml:space="preserve"> Perum legok Permai Blok D, no D1C6 Banten Kab. Tangerang Legok Indonesia Kab. Tangerang</t>
  </si>
  <si>
    <t>Lina Adha Sri Susana</t>
  </si>
  <si>
    <t>Perum Grand Cikarang City Jl. Yudistira 1 Blok B.1 No.6 Ds. Karangraharja Kec. Cikarang Utara Kab. Bekasi
  Kecamatan: Cikarang Utara
  Kabupaten/Kota: Bekasi
  Provinsi: Jawa Barat</t>
  </si>
  <si>
    <t>Model Pembelajaran Bahasa Inggris Berbasis Multimedia</t>
  </si>
  <si>
    <t>Kadaruddin</t>
  </si>
  <si>
    <t>Maura Shelena</t>
  </si>
  <si>
    <t xml:space="preserve">Perumahan Kopian Barat Blok i/2, Probolinggo , KOTA PROBOLINGGO, KADEMANGAN, JAWA TIMUR, ID, 67222
</t>
  </si>
  <si>
    <t>mey</t>
  </si>
  <si>
    <t xml:space="preserve">asrama kodam sunggal jalan tritura no K581, KOTA MEDAN, MEDAN SUNGGAL, SUMATERA UTARA, ID, 20122
</t>
  </si>
  <si>
    <t>Donny indra Lesmana</t>
  </si>
  <si>
    <t>BPJS Kesehatan
Jl pembangunan komplek perkantoran pemda taba pinging lubuklinggau sumatera sekarang kantor bpjs kesehatan depan rs Siri aisyah
Lubuk Linggau Timur Satu (I)
Kota Lubuk Linggau
Sumatera Selatan</t>
  </si>
  <si>
    <t>Muhammar Khamdevi</t>
  </si>
  <si>
    <t>Program Studi Arsitektur Matana University, Lantai 5 ARA Center, Matana University Tower, Jl. CBD Barat Kav. 1 Gading Serpong Kelapa Dua Kab. Tangerang 15810
Banten</t>
  </si>
  <si>
    <t>Dimensi-dimensi Pariwisata Berkelanjutan</t>
  </si>
  <si>
    <t>Riska Wahdini</t>
  </si>
  <si>
    <t>Lab Nita Medical, Jl. A.M Kamarudin, RT.001/RW.001, Kel. Sangaji
Ternate Utara (Kota)
Kota Ternate
Maluku Utara
97727</t>
  </si>
  <si>
    <t>Pajak Internasional</t>
  </si>
  <si>
    <t>Kartika Putri Kumalasari dan Nurlita Sukma Alfandia</t>
  </si>
  <si>
    <t xml:space="preserve">j&amp;t 
</t>
  </si>
  <si>
    <t>Deaniq M</t>
  </si>
  <si>
    <t>Perumahan Serpong Jaya, Cluster The Spring blok SB nomor 01
Serpong
Kota Tangerang Selatan
Banten
15310</t>
  </si>
  <si>
    <t>Gian Yermia</t>
  </si>
  <si>
    <t xml:space="preserve">Jalan poros Mambi (Dusun Ambabang, Desa pambe), KAB. MAMASA, TANDUK KALUA, SULAWESI BARAT, ID, 91366
</t>
  </si>
  <si>
    <t>Hanif faqih</t>
  </si>
  <si>
    <t xml:space="preserve">Mandiri Gas Oksigen Jeruksari 03/21 Wonosari Gunungkidul, KAB. GUNUNG KIDUL, WONOSARI, DI YOGYAKARTA, ID, 55851
</t>
  </si>
  <si>
    <t>Manajemen Komplain dan Kualitas Layanan Pariwisata</t>
  </si>
  <si>
    <t>Aniesa Samira Bafadhal</t>
  </si>
  <si>
    <t>Erna Ernawati</t>
  </si>
  <si>
    <t xml:space="preserve">Blok Sukahurang Desa panyindangan kecamatan banjaran kabupaten majalengka, KAB. MAJALENGKA, BANJARAN, JAWA BARAT, ID, 45468
</t>
  </si>
  <si>
    <t>Ayu Ramadhani</t>
  </si>
  <si>
    <t>Jl. Kayu manis - Muslimin No. 102. Komp. Bromelia
Marpoyan Damai
Kota Pekanbaru
Riau</t>
  </si>
  <si>
    <t>Dampak Kualitas Aliran Sungai terhadap Paparan Merkuri (Hg) pada Penambangan Emas</t>
  </si>
  <si>
    <t>Meilya Farika Indah &amp; Norsita Agustina</t>
  </si>
  <si>
    <t>Bunga Rampai Fisiologi Kedokteran</t>
  </si>
  <si>
    <t>Dr. Tri Pitara Mahanggoro, M.Kes.</t>
  </si>
  <si>
    <t>Desinta (Senyum Media)</t>
  </si>
  <si>
    <t xml:space="preserve"> jalan kalimantan no 25
  Kecamatan: sumbersari
  Kabupaten/Kota: jember
  Provinsi: Jawa Timur</t>
  </si>
  <si>
    <t>Publikasi Ilmiah dan Penulisan Laporan PTK</t>
  </si>
  <si>
    <t>Edi Supriyanto</t>
  </si>
  <si>
    <t>Konsep-Konsep Dasar Menjadi Sekolah Unggul</t>
  </si>
  <si>
    <t>Ondi Saondi, M.Pd. &amp; Sobarudin, M.Pd.I.</t>
  </si>
  <si>
    <t>Teori Graf</t>
  </si>
  <si>
    <t>Farida Daniel &amp; Prida N. L. Taneo</t>
  </si>
  <si>
    <t>Politeknik Negeri Tanah Laut, Jalan Ahmad Yani KM.6 desa Panggung
Takisung
Kabupaten Tanah Laut
Kalimantan Selatan
70815</t>
  </si>
  <si>
    <t>Politeknik Negeri Tanah Laut, Jalan Ahmad Yani KM.6 desa Panggung
Takisung
Kabupaten Tanah Laut
Kalimantan Selatan
70816</t>
  </si>
  <si>
    <t>Prinsip Analisis Komponen Pangan: Makro &amp; Mikro Nutrien</t>
  </si>
  <si>
    <t>Yoni Atma</t>
  </si>
  <si>
    <t>Politeknik Negeri Tanah Laut, Jalan Ahmad Yani KM.6 desa Panggung
Takisung
Kabupaten Tanah Laut
Kalimantan Selatan
70817</t>
  </si>
  <si>
    <t>Metode Kromatografi: Prinsip Dasar, Praktikum dan Pendekatan Pembelajaran Kromatografi</t>
  </si>
  <si>
    <t>Deyner Tatundu Mengga</t>
  </si>
  <si>
    <t>Lorong SMA N 2 Tondano, Lrg. SMA N 2 Tondano, Tondano Sel., Kabupaten Minahasa, Sulawesi Utara [Tokopedia Note: Lorong SMA Negeri 2 Tondano. Kos Pagarmerah. sesuai di MAP] Tondano Selatan Kab. Minahasa 95619
Sulawesi Utara</t>
  </si>
  <si>
    <t>Evaluasi Pembelajaran Pendidikan Kejuruan</t>
  </si>
  <si>
    <t>Dr. Hantje Ponto, DEA, MAP.</t>
  </si>
  <si>
    <t>Yuliantono</t>
  </si>
  <si>
    <t xml:space="preserve">RT 02,Sraten, Plembutan,Canden,Jetis,Bantul, KAB. BANTUL, JETIS, DI YOGYAKARTA, ID, 55781
</t>
  </si>
  <si>
    <t>aliza putri</t>
  </si>
  <si>
    <t xml:space="preserve">graha raya bintaro anggrek loka b7/11 , KOTA TANGERANG SELATAN, SERPONG UTARA, BANTEN, ID, 15324
</t>
  </si>
  <si>
    <t>IHUT ARITONANG</t>
  </si>
  <si>
    <t xml:space="preserve">Jalan Cimanuk Raya no 45, KOTA DEPOK, SUKMAJAYA, JAWA BARAT, ID, 16418
</t>
  </si>
  <si>
    <t>Diviona Annisa Daneyswar</t>
  </si>
  <si>
    <t xml:space="preserve">Jl. Alternatif Cibubur Perumahan Taman Kenari Nusantara Cluster Pasundan Pn 3 no.12A, KAB. BOGOR, GUNUNG PUTRI, JAWA BARAT, ID, 16967
</t>
  </si>
  <si>
    <t>Mario Sutantoputra</t>
  </si>
  <si>
    <t>apartemen Paladian Park Tower C 2503, Jalan Bukit Gading Raya no. 1, kelapa gading (sebelah RS mitra kelapa gading) Kelapa Gading Kota Administrasi Jakarta Utara 1424</t>
  </si>
  <si>
    <t>Aspek Hukum atas Senjata Api Bela Diri</t>
  </si>
  <si>
    <t>Nasrulloh</t>
  </si>
  <si>
    <t>Jl.Masjid Subulussalam No.67 RT.002/013, Kel. Bojong Pondok Terong, Kec. Cipayung, Kota Depok 16436 · Bojong Pondok Terong Jawa Barat Kota Depok Cipayung Indonesia Kota Depok</t>
  </si>
  <si>
    <t>Muhammad Iqbal Ismail</t>
  </si>
  <si>
    <t>blok g7/9 cikarang barat bekasi</t>
  </si>
  <si>
    <t>Manajemen Pemasaran (Model Kepuasan dan Loyalitas Pelanggan)</t>
  </si>
  <si>
    <t>Yudi Julius dan Nandan Limakrisna</t>
  </si>
  <si>
    <t>Josef Monteiro</t>
  </si>
  <si>
    <t>Jl. Perintis Kemerdekaan III/27 RT 24 RW 11 Kelurahan Kelapa Lima Kecamatan Kelapa Lima Kupang NTT</t>
  </si>
  <si>
    <t>sopiyuloh</t>
  </si>
  <si>
    <t>jl Sarimanis blok 16;no 27 kelurahan Sarijadi
  Kecamatan: Sukasari
  Kabupaten/Kota: Kota Bandung
  Provinsi: Jawa Barat</t>
  </si>
  <si>
    <t>Buku Ajar Asuhan Kebidanan Neonatus, Bayi/Balita dan Anak Prasekolah Untuk Para Bidan</t>
  </si>
  <si>
    <t>Liva Maita, SST., M.Kes</t>
  </si>
  <si>
    <t>Ibu Dra.Margaretha prihatiningsih..SE.MM</t>
  </si>
  <si>
    <t>Alfandi Putra Setiawan</t>
  </si>
  <si>
    <t xml:space="preserve"> Jalan Mayjen Panjaitan 63 Rt 07 Rw 02 Kelurahan Dabasah
  Kecamatan: Bondowoso
  Kabupaten/Kota: Bondowoso
  Provinsi: Jawa Timur</t>
  </si>
  <si>
    <t>Dualisme of Love</t>
  </si>
  <si>
    <t>Muh. Agus Syawal</t>
  </si>
  <si>
    <t>Andi Dwi Nugroh</t>
  </si>
  <si>
    <t xml:space="preserve">Jl.Cempaka Lestari IV No.7-8 Komplek Lebak Lestari Indah, Lebak Bulus, Cilandak, KOTA JAKARTA SELATAN, CILANDAK, DKI JAKARTA, ID, 12440
</t>
  </si>
  <si>
    <t>Elektronika: Pendekatan Praktis dan Aplikasi</t>
  </si>
  <si>
    <t>willy</t>
  </si>
  <si>
    <t>teman melati  residence blok C 05 Jl. Joe, Kelapa Tiga, Jagakarsa Jakarta Selatan</t>
  </si>
  <si>
    <t>Antropologi Perdesaan dan Pembangunan Berkelanjutan</t>
  </si>
  <si>
    <t>Sidik Permana</t>
  </si>
  <si>
    <t>Fenomena Korupsi dari Sudut Pandang Epidemiologi</t>
  </si>
  <si>
    <t>Maharso &amp; Tomy Sujarwadi</t>
  </si>
  <si>
    <t>Hukum Berpancasila dalam Optik Pluralisme Masyarakat Indonesia</t>
  </si>
  <si>
    <t>Multikultural &amp; Keberagaman Sosial</t>
  </si>
  <si>
    <t>Abdul Sakban dan Hafsah</t>
  </si>
  <si>
    <t>Kolase Hukum, Reformasi Birokrasi, Demokrasi, Dan Nasionalisme</t>
  </si>
  <si>
    <t>Riswan Erfa Mustajillah</t>
  </si>
  <si>
    <t>Sosiologi Toleransi Kontestasi, Akomodasi, Harmoni</t>
  </si>
  <si>
    <t>Membumikan Dialog Liberatif</t>
  </si>
  <si>
    <t>Samsi Pomalingo</t>
  </si>
  <si>
    <t>Memeluk Cita Dalam Cinta</t>
  </si>
  <si>
    <t>Nurbaya</t>
  </si>
  <si>
    <t>Menangislah Angsa Kecilku</t>
  </si>
  <si>
    <t>Ninik Karalo</t>
  </si>
  <si>
    <t>Menapak di Awan</t>
  </si>
  <si>
    <t>Lisrohli Irawati</t>
  </si>
  <si>
    <t>Meraih Asa</t>
  </si>
  <si>
    <t>Ivalaina Astarina</t>
  </si>
  <si>
    <t>Mereformasi Reformasi</t>
  </si>
  <si>
    <t>Prof. Dr. Idrus Affandi, S.H.</t>
  </si>
  <si>
    <t>Pradakon</t>
  </si>
  <si>
    <t>Fendi Adiatmono dan Arif Rivai Rumin</t>
  </si>
  <si>
    <t>Puisi Dan Sajak Spasi Di Antara Titik Koma Manenga Bouchra</t>
  </si>
  <si>
    <t>Mirra Raissa</t>
  </si>
  <si>
    <t>kasno</t>
  </si>
  <si>
    <t>Jl. Sanur No. A-45 Cluster Bali 2 Kawaluyaan RT 006 RW 013 Sukapura, Kiaracondong, Bandung</t>
  </si>
  <si>
    <t>Putri Apriliani</t>
  </si>
  <si>
    <t xml:space="preserve">jl.raden Qosim RT 01 RW 01 dsn Banjaranyar paciran Lamongan (rumah cat abu abu pagar hitam) , KAB. LAMONGAN, PACIRAN, JAWA TIMUR, ID, 62264
</t>
  </si>
  <si>
    <t>Zafriyadi Bokhari</t>
  </si>
  <si>
    <t xml:space="preserve">Jalan Sultan Alauddin No.54, Karang Jati Kel., Balikpapan Tengah (Rt.01), KOTA BALIKPAPAN, BALIKPAPAN TENGAH, KALIMANTAN TIMUR, ID, 76123
</t>
  </si>
  <si>
    <t>Literasi Pariwisata: Dari Lokal Hingga Global</t>
  </si>
  <si>
    <t>Stephani Layuk</t>
  </si>
  <si>
    <t>Jl. Kedondong Dalam 5, Kel. Gunung Kelua, Kec. Samarinda Ulu, Kota Samarinda, Kalimantan Timur [Tokopedia Note: Kost Puteri Azzahra no. 85 RT 07] Samarinda Ulu Kota Samarinda 75123
Kalimantan Timur</t>
  </si>
  <si>
    <t>Polymerase Chain Reaction (PCR) dan Aplikasinya pada Alfa-Fetoprotein (AFP)</t>
  </si>
  <si>
    <t>Dr. Rini Puspitaningrum, M.Biomed.</t>
  </si>
  <si>
    <t>KRATOM: Kajian Botani, Fitokimia, Farmakologi, Isolasi, dan Analisis</t>
  </si>
  <si>
    <t xml:space="preserve">Adang Firmansyah … [et al.]
</t>
  </si>
  <si>
    <t>Asep Rahma</t>
  </si>
  <si>
    <t>Jl.Swatantra V Gg Mushola Rt.009 Rw.003 No 22 Jatiasih Bekasi Jatiasih Kota Bekasi 17424
Jawa Barat</t>
  </si>
  <si>
    <t>Buku Ajar Anatomi dan Fisiologi bagi Mahasiswa Kebidanan</t>
  </si>
  <si>
    <t>Ani Triana, dkk</t>
  </si>
  <si>
    <t>Januari Sarumaha</t>
  </si>
  <si>
    <t>Kampus Sekolah Tinggi Teologi Anugerah Misi Nias Barat.
Desa Simaeasi, Kec. Mandrehe, Kab. Nias Barat, Prov. Sumatera Utara.</t>
  </si>
  <si>
    <t>Coretan Guru dalam Artikel</t>
  </si>
  <si>
    <t>Nur Mashariyah</t>
  </si>
  <si>
    <t>Manajemen Pendidikan Modern</t>
  </si>
  <si>
    <t>Pengembangan Media Pembelajaran Kreatif untuk Meningkatkan Motivasi Belajar Bidang Kewirausahaan (Entrepreneurship)</t>
  </si>
  <si>
    <t>Nila Krisnawati, Esa T. Mbouw dan Sumini Salem</t>
  </si>
  <si>
    <t>Identifikasi dan Layanan Pendidikan Khusus bagi Anak Cerdas Istimewa dan Bakat Istimewa</t>
  </si>
  <si>
    <t>Dewi Ratih Rapisa</t>
  </si>
  <si>
    <t>Indah Puspasari Kiay Demak, dkk</t>
  </si>
  <si>
    <t>Kewirausahaan Suatu Pengantar</t>
  </si>
  <si>
    <t>Candrianto</t>
  </si>
  <si>
    <t>Mendongkrak Profesionalisme Guru di Daerah Tertinggal</t>
  </si>
  <si>
    <t>Cucu Suwandana</t>
  </si>
  <si>
    <t>Martabat Pendidikan</t>
  </si>
  <si>
    <t>Perspektif Pendidikan dalam Bingkai Ilmu dan Tokoh</t>
  </si>
  <si>
    <t>Pengembangan Kompetensi Kepribadian Guru Perspektif Pendidikan Abad 21</t>
  </si>
  <si>
    <t>Perkembangan Peserta Didik</t>
  </si>
  <si>
    <t>Nefri Anra Saputra dan Yuniarti Munaf</t>
  </si>
  <si>
    <t>Makna Sistem Pendidikan Nasional</t>
  </si>
  <si>
    <t>Ilmu Logika (Mantiq)</t>
  </si>
  <si>
    <t>Wajah Pendidikan Nasional</t>
  </si>
  <si>
    <t>Trik Example Non Example dalam Merdeka Belajar</t>
  </si>
  <si>
    <t>Amiruddin</t>
  </si>
  <si>
    <t>Panduan Menguasai Analisis Data Penelitian dengan SPSS (Disertai dengan Soal Latihan)</t>
  </si>
  <si>
    <t>Muhammad Iman Hidayat &amp; Yusnidah</t>
  </si>
  <si>
    <t xml:space="preserve">Strategi Model Pembelajaran “Asyik” di Masa Pandemi Covid-19
</t>
  </si>
  <si>
    <t>Astutiati</t>
  </si>
  <si>
    <t>Mohammad Yasin</t>
  </si>
  <si>
    <t>Jl. Damanhuri RT 64 Perum Borneo Mukti 1 Blok D No.2 
  Kecamatan: Sungai Pinang
  Kabupaten/Kota: Samarinda
  Provinsi: Kalimantan Timur</t>
  </si>
  <si>
    <t>Pembimbingan Guru Membuat Kuis Online Kahoot Dengan Combo</t>
  </si>
  <si>
    <t>Sumarso</t>
  </si>
  <si>
    <t>Yuandi Hermana</t>
  </si>
  <si>
    <t>Cluster Goldfinch,Jalan Goldfinch Raya no 31,Desa Cihuni
  Kecamatan: Pagedangan
  Kabupaten : Tangerang
  Provinsi: Banten</t>
  </si>
  <si>
    <t>Lucia Ratih</t>
  </si>
  <si>
    <t>Merawat Pluralisme Merawat Indonesia (Potret Pendidikan Pluralisme Agama di Jembrana-Bali)</t>
  </si>
  <si>
    <t>Merawat Pluralisme Merawat Indonesia (Potret Pendidikan Pluralisme Agama Di Jembrana-Bali)</t>
  </si>
  <si>
    <t>Made Saihu</t>
  </si>
  <si>
    <t>Fr. Doni</t>
  </si>
  <si>
    <t xml:space="preserve">Biara Pratista Kumara Warabrata, Jalan Sultan Agung No.2, Citarum, Bandung Wetan (Disamping (Satu Kompleks) SMA Aloysius Sultan Agung), KOTA BANDUNG, BANDUNG WETAN, JAWA BARAT, ID, 40115
</t>
  </si>
  <si>
    <t>Arcy NF</t>
  </si>
  <si>
    <t xml:space="preserve">SRC Ikhwan Pasar Lengkong, Desa Lengkong Kecamatan Batangan Kabupaten Pati, KAB. PATI, BATANGAN, JAWA TENGAH, ID, 59186
</t>
  </si>
  <si>
    <t>Buku Ajar Metodologi Studi Islam (Kajian Metode dalam Ilmu Keislaman)</t>
  </si>
  <si>
    <t>Drs. Achmad Slamet, M.S.I.</t>
  </si>
  <si>
    <t>Alifiandi Laksana</t>
  </si>
  <si>
    <t>Citra Gading blok E5 no 2 Rt 02 Rw 06 Karundang
  Kecamatan: Cipocok Jaya
  Kabupaten/Kota: Kota Serang
  Provinsi: Banten</t>
  </si>
  <si>
    <t>Kuliah Konversi Energi Jilid 1</t>
  </si>
  <si>
    <t>Henky P. Rahardjo</t>
  </si>
  <si>
    <t>Anna Fauziah</t>
  </si>
  <si>
    <t>Margareta Dyah Sarani</t>
  </si>
  <si>
    <t xml:space="preserve">Kost Isnawan Putri, Jalan Panggung Harjo, RT.7/RW.9, Panggungharjo, Sewon, KAB. BANTUL, SEWON, DI YOGYAKARTA, ID, 55188
</t>
  </si>
  <si>
    <t>ASIH</t>
  </si>
  <si>
    <t xml:space="preserve">Sci Media, Jalan Parangtritis No.6.0, RT.2, Bangunharjo, Sewon (Kos Putri. Pintu warna hitam), KAB. BANTUL, SEWON, DI YOGYAKARTA, ID, 55797
</t>
  </si>
  <si>
    <t>Miftahur</t>
  </si>
  <si>
    <t>Siwalankerto tengah 81 surabaya (Blkg toko hidayah), KOTA SURABAYA, WONOCOLO, JAWA TIMUR, ID, 60236</t>
  </si>
  <si>
    <t>Rani Sulastri</t>
  </si>
  <si>
    <t>Ds. Weton Kulon Dkh. Sembir Rt.01 Rw.01 Kec. Puring Kab. Kebumen, KAB. KEBUMEN, PURING, JAWA TENGAH, ID, 54383</t>
  </si>
  <si>
    <t>Dasar – Dasar Fisiologi Tumbuhan</t>
  </si>
  <si>
    <t>Linda Advinda</t>
  </si>
  <si>
    <t>Yayasan Oetie Hermawan. Jl Pratama Gang Pendidikan No. 168 Benoa,Kuta Selatan,Badung,Bali. , KAB. BADUNG, KUTA SELATAN, BALI, ID, 80363</t>
  </si>
  <si>
    <t>Kunci Sukses Pemandu Wisata</t>
  </si>
  <si>
    <t>Yustisia Kristiana, Pascalis Sinulingga, dan Ricca Lestari</t>
  </si>
  <si>
    <t>Kristin Martin Syamnur</t>
  </si>
  <si>
    <t>Jorong Koto Alam, nagari Tabek Patah
  Kecamatan: Salimpaung
  Kabupaten/Kota: tanah Datar
  Provinsi: Sumatera Barat</t>
  </si>
  <si>
    <t>Asep Saefuloh</t>
  </si>
  <si>
    <t>RT 04 RW 02 no 110
Desa Talaga
  Kecamatan: Cikupa
  Kabupaten/Kota: Tangerang
  Provinsi: Banten 15710</t>
  </si>
  <si>
    <t>Alexander Samosir</t>
  </si>
  <si>
    <t>Kantor Gereja Advent Sumatera Kawasan Tengah Jalan Pandau Jaya No 1 Pasir Putih Pekanbaru</t>
  </si>
  <si>
    <t>Uswatun Ilhamir</t>
  </si>
  <si>
    <t>Dusun.Rejoso Ds. Candirejo RT.004 RW.007
  Kecamatan: Ponggok
  Kabupaten/Kota: Blitar
  Provinsi: Jawa Timur</t>
  </si>
  <si>
    <t>H. Setiawan dan Dewi Agustya Ningrum</t>
  </si>
  <si>
    <t>Mutia</t>
  </si>
  <si>
    <t>Perumahan Zahira (rumah paling tengah) Jl. Danau Ranau Gang 4 Utara Pasar Pagi Lelateng, Desa Lelateng,
  Kecamatan: Negara
  Kabupaten/Kota: Jembrana
  Provinsi: Bali</t>
  </si>
  <si>
    <t>Hendry Yuliawan</t>
  </si>
  <si>
    <t>Jl. Gombel Permai VIII No. 202, Rt.05, Rw.07, Ngesrep
  Kecamatan: Banyumanik
  Kabupaten/Kota: Semarang
  Provinsi: Jawa Tengah</t>
  </si>
  <si>
    <t>Farida Yulianti, S.E., M.M., Lamsah, S.E., M.M., Periyadi, S.E., M.M.</t>
  </si>
  <si>
    <t>Yessi Yuzar</t>
  </si>
  <si>
    <t>Jl Angku Basa no 23 a, kel. Puhun Tembok, kec. MKS 
Kota Bukittinggi Sumatera Barat</t>
  </si>
  <si>
    <t>Kristian Suhartadi</t>
  </si>
  <si>
    <t>Jalan Diponegoro VI nomor 12 (Masuk gang depan roti wina sebelah smatfren ), KAB. JEMBER, KALIWATES, JAWA TIMUR, ID, 68132</t>
  </si>
  <si>
    <t>Beny</t>
  </si>
  <si>
    <t>Jl. H. Tongo No.2  Gg. VII RT.007 RW.003, Kel. Jatikramat, Kec. Jatiasih, Kota Bekasi</t>
  </si>
  <si>
    <t>STKIP ADZIKIA PADANG</t>
  </si>
  <si>
    <t>Jalan Taratak Paneh No. 7 Kel. Korong Gadang Kec. Kuranji Kota padang (Perpustakaan STKIP Adzkia)</t>
  </si>
  <si>
    <t>Pengantar Microteaching</t>
  </si>
  <si>
    <t>Uswatun Khasanah, M.Pd.I.</t>
  </si>
  <si>
    <t>Pembelajaran Fisika Gampang Asyik dan Menyenangkan</t>
  </si>
  <si>
    <t>Muhammad Ali</t>
  </si>
  <si>
    <t>Belajar Mengembangkan Model Penilaian Autentik dalam Pembelajaran Bahasa Indonesia</t>
  </si>
  <si>
    <t>Muhlis Fajar Wicaksana</t>
  </si>
  <si>
    <t>Perkembangan Bahasa dalam Bermain dan Permainan: Untuk Pendidikan Anak Usia Dini</t>
  </si>
  <si>
    <t>Dr. Muhammad Usman, M.Pd.</t>
  </si>
  <si>
    <t>Program Latihan Koordinasi Sensomotorik Bagi Anak Usia Dini Dan Anak Berkebutuhan Khusus</t>
  </si>
  <si>
    <t>Modul Micro Teaching</t>
  </si>
  <si>
    <t>Indahyati, dkk</t>
  </si>
  <si>
    <t>METODOLOGI PENELITIAN PENDIDIKAN (Teori dan Implementasi)</t>
  </si>
  <si>
    <t>Buku Ajar Kurikulum Bahan dan Media Pembelajaran PLS</t>
  </si>
  <si>
    <t>Ummyssalam A.T.A Duludu</t>
  </si>
  <si>
    <t>Buku Ajar Metode Penelitian Pengajaran Bahasa Indonesia</t>
  </si>
  <si>
    <t>Ninit Alfianika</t>
  </si>
  <si>
    <t>Analisis Numerik: Pemograman Matlab Berbasis Simulasi E-Learning</t>
  </si>
  <si>
    <t>Reza Kusuma Setyansah &amp; Davi Apriandi</t>
  </si>
  <si>
    <t>Bahan Kuliah: Pendidikan Pancasila di Perguruan Tinggi</t>
  </si>
  <si>
    <t>Triyanto</t>
  </si>
  <si>
    <t>Belajar Dan Pembelajaran</t>
  </si>
  <si>
    <t>Belajar dan Pembelajaran Dilengkapi dengan Model Pembelajaran, Strategi Pembelajaran, Pendekatan Pembelajaran dan Metode Pembelajaran</t>
  </si>
  <si>
    <t>Lefudin</t>
  </si>
  <si>
    <t>Bimbingan dan Konseling Perkembangan di Sekolah Teori dan Praktik</t>
  </si>
  <si>
    <t>Ulul Azam</t>
  </si>
  <si>
    <t>Pembelajaran Tematik Di Sekolah Dasar</t>
  </si>
  <si>
    <t>Sintayana Muhardini</t>
  </si>
  <si>
    <t>Profesi Keguruan</t>
  </si>
  <si>
    <t>Strategi Belajar Mengajar</t>
  </si>
  <si>
    <t>Rahmah Johar &amp; Latifah Hanum</t>
  </si>
  <si>
    <t>Statistik Pendidikan</t>
  </si>
  <si>
    <t>Yulingga Nanda Hanief dan Wasis Himawanto</t>
  </si>
  <si>
    <t>Buku Referensi Media dan Multimedia Pembelajaran</t>
  </si>
  <si>
    <t>Media dan Sumber Belajar</t>
  </si>
  <si>
    <t>Mahsup &amp; Abdillah</t>
  </si>
  <si>
    <t>Wiko</t>
  </si>
  <si>
    <t>Jl. Taruna Jaya Gg. Anggrek 2 No. 30 RT 17/02 Kel. Serdang, Kemayoran JakPus, Kemayoran, Jakarta Pusat, DKI Jakarta, 10650</t>
  </si>
  <si>
    <t>Riza Baihaqie</t>
  </si>
  <si>
    <t>Perumahan Taman Asri Blok H 15 Rt/Rw 02/03 Tanjunganom, Tanjungkulon, Jl. Mandurorejo , KAB. PEKALONGAN, KAJEN, JAWA TENGAH, ID, 51161</t>
  </si>
  <si>
    <t>Risky Triadmadan</t>
  </si>
  <si>
    <t>Kampus Stmik Amik Riau, Jalan Purwodadi Indah No.10, Sidomulyo Barat, Tampan, KOTA PEKANBARU, TAMPAN, RIAU, ID, 28294</t>
  </si>
  <si>
    <t>Pak Amin/Eis</t>
  </si>
  <si>
    <t xml:space="preserve">Jl. KH. Gholib, Pringsewu barat, Pringsewu, RT 4 RW 2. Fotokopi fadewa depan King karoke lama (Fadewa fotocopy), KAB. PRINGSEWU, PRINGSEWU, LAMPUNG, ID, 35373
</t>
  </si>
  <si>
    <t>Fajriah Nuraeni</t>
  </si>
  <si>
    <t>Jalan paledang Gg. Ramayana 2 Rt.09/17 No.19, KAB. KARAWANG, KARAWANG BARAT, JAWA BARAT, ID, 4131</t>
  </si>
  <si>
    <t>Rifa Fitriani</t>
  </si>
  <si>
    <t>Dusun Krajan RT. 01/RW. 07, desa Plososari, kec. Grati, kab. Pasuruan. , KAB. PASURUAN, GRATI, JAWA TIMUR, ID, 67184</t>
  </si>
  <si>
    <t>Dwi Syukriady, S.Pd., M.Pd</t>
  </si>
  <si>
    <t>PERINTIS KEMERDEKAAN III BTN ANTARA BLOK A2 NO. 2, KEL. TAMALANREA INDAH, KEC. TAMALANREA, KOTA MAKASSAR, SULSAWESI SELATAN, 90245 (RUMAH ORANGE TKT 2, DEKAT PONTREN BABUTTAUBAH) Tamalanrea Kota Makassar 90245
Sulawesi Selata</t>
  </si>
  <si>
    <t>anisa</t>
  </si>
  <si>
    <t>jl. Dontor setia budi pamulang 1 barat (asrama yatim) · Pamulang Barat Banten Kota Tangerang Selatan Pamulang Indonesia Kota Tangerang Selatan</t>
  </si>
  <si>
    <t>Cara Praktis Meningkatkan Motivasi Siswa Sekolah Dasar</t>
  </si>
  <si>
    <t>Arief Rachman Hakim</t>
  </si>
  <si>
    <t>Kosan Pondok Rakyat Kamar Nomor 1 Jl. Bungur I No. 14 RT/RW 01/02 Kel. Pondok Cina Kec. Beji Kota Depok
Beji
Kota Depok
Jawa Bara</t>
  </si>
  <si>
    <t>ASDEDI</t>
  </si>
  <si>
    <t xml:space="preserve">JLN. MANTILAYO NO 15 KELURAHAN MAMBORO
  Kecamatan:MANTIKULORE 
  Kabupaten/Kota: PALU
  Provinsi: SULAWESI TENGAH </t>
  </si>
  <si>
    <t>Sefi Esa Gavini</t>
  </si>
  <si>
    <t>Jl Kostrad Raya Komplek Pusri No C 15
Pesanggrahan
Kota Jakarta Selatan
DKI Jakarta</t>
  </si>
  <si>
    <t>Evita Salma Utami</t>
  </si>
  <si>
    <t>Susukan 3 Genjahan, RT.1/RW.10, Genjahan, Ponjong, KAB. GUNUNG KIDUL, PONJONG, DI YOGYAKARTA, ID, 55892</t>
  </si>
  <si>
    <t>Lilis Astuti</t>
  </si>
  <si>
    <t>RT 01/RW 06 ,KEC Punggelan kab. Banjarnegara Jawa tengah</t>
  </si>
  <si>
    <t>Kapita Selekta Pendidikan Mengurai Benang Kusut Pendidikan Islam</t>
  </si>
  <si>
    <t>Kurnali</t>
  </si>
  <si>
    <t>dhea fadilla melyanti</t>
  </si>
  <si>
    <t xml:space="preserve">jaln komura gang komura 22 blok v no 122 rt 08, KOTA SAMARINDA, SAMARINDA SEBERANG, KALIMANTAN TIMUR, ID, 75133
</t>
  </si>
  <si>
    <t>jaelani</t>
  </si>
  <si>
    <t>gg.sawah rt04/rw11 no rumah 76 Jawa Barat Kota Bogor Bogor Selatan - Kota Indonesia Kota Bogor</t>
  </si>
  <si>
    <t>Bedah Fisika Dasar</t>
  </si>
  <si>
    <t>Kurrotul Ainiyah</t>
  </si>
  <si>
    <t>lisa ayu marfaita</t>
  </si>
  <si>
    <t>Rumah makan "Doni" simpang terawas
  Kecamatan: Stl.ulu terawas
  Kabupaten/Kota: lubuk linggau
Kode pos : 30771
  Provinsi: sumatera selatan</t>
  </si>
  <si>
    <t>Iriawan Surya</t>
  </si>
  <si>
    <t xml:space="preserve"> Jl Dr Sam Ratulangi No. 36 Dok V
  Kecamatan: Jayapura Utara
  Kabupaten/Kota: Kota Jayapura
  Provinsi: Papua</t>
  </si>
  <si>
    <t>Gabriela</t>
  </si>
  <si>
    <t>Kp. Bantar Gedang Rt 03 Rw 09 No. 31 Desa Mekarsari
  Kecamatan: Ngamprah
  Kabupaten/Kota: Bandung Barat
  Provinsi: Jawa Barat</t>
  </si>
  <si>
    <t>Dwi Syukriady</t>
  </si>
  <si>
    <t>Universitas Islam Makassar (UIM)
Perintis Kemerdekaan III, BTN Antara Blok A2 No.2 (Dekat Pontren Babuttaubah)
Tamalanrea
Kota Makassar
Sulawesi Selatan</t>
  </si>
  <si>
    <t>Buku Ajar Pembelajaran Kritik Sastra</t>
  </si>
  <si>
    <t>Samsuddin</t>
  </si>
  <si>
    <t>Bahasa Indonesia Profesi: Buku Ajar Bahasa Indonesia Akademik</t>
  </si>
  <si>
    <t>Zainal Aqib dan Hendrix Irawan</t>
  </si>
  <si>
    <t>Marthen Rio Hunam</t>
  </si>
  <si>
    <t>PT.KASAKATA KIMIA Jl. Pahlawan RT 007/005, Karangasem Barat
  Kecamatan: Citeureup
  Kabupaten/Kota: Bogor
  Provinsi: Jawa Barat</t>
  </si>
  <si>
    <t>ARYA SURYA GUMILANG</t>
  </si>
  <si>
    <t xml:space="preserve"> jalur 4 sp 1 jalan kesehatan , kampung lele
  Kecamatan: perhentian raja
  Kabupaten/Kota: Kampar-Pekanbaru
  Provinsi: Riau</t>
  </si>
  <si>
    <t>Fitri Perpustakaan</t>
  </si>
  <si>
    <t>Jl. Tarmizi Kadir No. 71 Kel. Pakuan Baru, Kec. Jambi Selatan (Kampus STIKES Harapan Ibu Jambi)</t>
  </si>
  <si>
    <t>Nasrul Wathoni, dkk</t>
  </si>
  <si>
    <t>Manajemen Stres Kerja (Sebuah Kajian Keselamatan dan Kesehatan Kerja dari Aspek Psikologis pada ATC)</t>
  </si>
  <si>
    <t>Lalu Muhammad Saleh, Syamsiar S. Russeng dan Istiana Tadjuddin</t>
  </si>
  <si>
    <t>Fajri Jefansa</t>
  </si>
  <si>
    <t>Jl. Surilang no. 06A 003/001, Gedong, Pasar Rebo
Pasar Rebo
Kota Jakarta Timur
DKI Jakarta
13760</t>
  </si>
  <si>
    <t>Manajemen Kewirausahaan</t>
  </si>
  <si>
    <t>Budiawan Sulaeman</t>
  </si>
  <si>
    <t>STIK KESOSI Jl. Bojong Indah Raya No.58, RT.1/RW.5, Rw. Buaya
  Kecamatan: Cengkareng
  Kabupaten/Kota: Jakarta Barat
  Provinsi: Daerah Khusus Ibukota Jakart</t>
  </si>
  <si>
    <t>Teknik Relaksasi Lima Jari Terhadap Kualitas Tidur, Fatique dan Nyeri pada Pasien Kanker Payudara</t>
  </si>
  <si>
    <t>Rosliana Dewi</t>
  </si>
  <si>
    <t>Yunita</t>
  </si>
  <si>
    <t>Pondok Pekayon Indah. Blok C.11 no.20. 17148
  Kecamatan: Pekayon Jaya
  Kabupaten/Kota: Bekasi
  Provinsi: Jawa Barat</t>
  </si>
  <si>
    <t>Peterson Moy</t>
  </si>
  <si>
    <t>Kantor Stasiun Klimatologi Kupang Jalan Timor Raya km.10,7 Lasiana, Kelapa Lima, Kupang, Nusa Tenggara Timur, 85228</t>
  </si>
  <si>
    <t>Penerapan Klimatologi dalam Pertanian 4.0</t>
  </si>
  <si>
    <t>Bayu Dwi Apri Nugroho</t>
  </si>
  <si>
    <t>Hanifah Hani</t>
  </si>
  <si>
    <t>Royal Palace Blok A - 19 - Jl. Prof. Dr. Soepomo, SH., No. 178 Jakarta 1287</t>
  </si>
  <si>
    <t>Judicial Activism</t>
  </si>
  <si>
    <t>Safri Abdullah</t>
  </si>
  <si>
    <t>Royal Palace Blok A - 19 - Jl. Prof. Dr. Soepomo, SH., No. 178 Jakarta 1288</t>
  </si>
  <si>
    <t>Malpraktik Kedokteran Perspektif Dokter dan Pasien Kajian Hukum dan Kode Etik Kedokteran Indonesia (KODEKI)</t>
  </si>
  <si>
    <t>Indra Yudha Koswara</t>
  </si>
  <si>
    <t>Nur Intan</t>
  </si>
  <si>
    <t>Jalan Abd Rahman No.2, RT.6/RW.2, Abeli,, KOTA KENDARI, ABELI, SULAWESI TENGGARA, ID, 93234</t>
  </si>
  <si>
    <t>Bringelia Muriany</t>
  </si>
  <si>
    <t xml:space="preserve">Jalan piere tandean galala ambon , gereja isa almasih (Samping gereja isa Almasih), KOTA AMBON, SIRIMAU, MALUKU, ID, 97128
</t>
  </si>
  <si>
    <t>Ariani Agustina(Bu Sutarm</t>
  </si>
  <si>
    <t>Ds.Sambirejo dsn.Mbiroto RT/RW : 05/03, KAB. PATI, GABUS, JAWA TENGAH, ID, 59173</t>
  </si>
  <si>
    <t>Asep Saepudin</t>
  </si>
  <si>
    <t>Jln Harapan II NO 13 RT 01 RW 01 Kelurahan Kelapa Gading Barat
  Kecamatan: Kelapa Gading
  Kabupaten/Kota: Jakarta Utara
  Provinsi: DKI Jakarta</t>
  </si>
  <si>
    <t>Bunga Rampai Penelitian dalam Pendidikan Agama Islam</t>
  </si>
  <si>
    <t>TIM DOSEN PAI</t>
  </si>
  <si>
    <t>Pendidikan Pesantren dan Perkembangan Sosial-Kemasyarakatan (Studi Atas Pemikiran K.H. Abdullah Syafi’ie)</t>
  </si>
  <si>
    <t>Hasbi Indra</t>
  </si>
  <si>
    <t>Ontologi Pendidikan Islam: Mengupas Hakikat Pendidikan Islam dari Konsep Khalifah, Insan Kamil, Takwa, Akhlak, Ihsan, dan Khairu Al-Ummah</t>
  </si>
  <si>
    <t>Sehat Sultoni Dalimunthe</t>
  </si>
  <si>
    <t>Devi/ida</t>
  </si>
  <si>
    <t>Jl. Cut Meutia, Kec. Samarinda Kota, Kota Samarinda, Kalimantan Timur [Tokopedia Note: yayasan yongjing] Samarinda Kota Kota Samarinda 75117</t>
  </si>
  <si>
    <t>Naufal Fadillah</t>
  </si>
  <si>
    <t>Jalan Swadaya No. 116, RT 007, RW 03
  Kecamatan: Pancoran
  Kabupaten/Kota: Jakarta Selatan
  Provinsi: Dki Jakarta</t>
  </si>
  <si>
    <t xml:space="preserve">Rumah Ketiga Dari Bengkel Mobil, Jalan Padang Kemiling, RT.5/RW.2, Pekan Sabtu, Selebar, KOTA BENGKULU, SELEBAR, BENGKULU, ID, 38213
</t>
  </si>
  <si>
    <t>Tatit Ugroseno</t>
  </si>
  <si>
    <t>Jalan Gayungsari Timur No. 2/MGN Surabaya, Surabaya, Surabaya, Jawa Timur, 60234</t>
  </si>
  <si>
    <t>Kesehatan Lingkungan Sanitasi, Kesehatan Lingkungan dan K3</t>
  </si>
  <si>
    <t>FAOSO F. TELAUMBANUA</t>
  </si>
  <si>
    <t>Komplek Departemen Perdagangan Jl. Niaga IV Blok B No.10 Ciledug, RT 01 RW 08
Kelurahan: Karang Timur
Kecamatan: Karang Tengah
Kota Tangerang
Kode Pos: 15157 
Propinsi: Banten (tapi deka</t>
  </si>
  <si>
    <t>Hukuman Mati dan Permasalahannya di Indonesia</t>
  </si>
  <si>
    <t>Dr. Hj. Tina Asmarawati, S.H., M.H</t>
  </si>
  <si>
    <t>Pidana dan Pemidanaan dalam Sistem Hukum di Indonesia (Hukum Penitensier)</t>
  </si>
  <si>
    <t>Yuliana Ritonga</t>
  </si>
  <si>
    <t>edurenan depok RT 02 RW 02 No. 22, Kelurahan Cisalak Pasar (Rumah Bapak RW 02)
  Kecamatan: Cimanggis
  Kabupaten/Kota: Depok
  Provinsi: Jawa Barat</t>
  </si>
  <si>
    <t>Manajemen Informasi Publik Konsep dan Praktik di Indonesia</t>
  </si>
  <si>
    <t>Andreas Pandiangan</t>
  </si>
  <si>
    <t>Disya Dwi Nurhidayah</t>
  </si>
  <si>
    <t xml:space="preserve">Blok Mekarmulya, Rt002/Rw002, Desa Kasokandel, Kec.Kasokandel, Kab.Majalengka, Prov.Jawa Barat.
Kode pos 45453
  Kecamatan: Kasokandel
  Kabupaten/Kota: Majalengka
  Provinsi: Jawa Barat
</t>
  </si>
  <si>
    <t>Percikan Gagasan Menelaah Problematika Kontemporer Kewarganegaraan</t>
  </si>
  <si>
    <t>Yakob Godlif Malatuny</t>
  </si>
  <si>
    <t>Kusuma Hati</t>
  </si>
  <si>
    <t>STMIK Antar Bangsa
Kampus STMIK Antar Bangsa, Jl. HOS Cokroaminoto, Kawasan Bisnis CBD Ciledug, Blok A5 No. 29-36
Karang Tengah
Kota Tangerang
Banten</t>
  </si>
  <si>
    <t>Frendi Antono</t>
  </si>
  <si>
    <t xml:space="preserve">Jl.Raya Kincan No.17 RT.004/RW.014 Jatibening, Kec.Pondok Gede, Bekasi -17412
Pondok Gede
Kota Bekasi
Jawa Barat
17412
</t>
  </si>
  <si>
    <t>Amanatul Maula</t>
  </si>
  <si>
    <t xml:space="preserve">
Desa merden RT 7 RW 1 gang kompas, KAB. BANJARNEGARA, PURWONEGORO, JAWA TENGAH, ID, 53472
</t>
  </si>
  <si>
    <t>devina</t>
  </si>
  <si>
    <t>tulungagung</t>
  </si>
  <si>
    <t>david</t>
  </si>
  <si>
    <t xml:space="preserve"> Jl. TB Simatupang Komplek Nyaman Lestari No.C1 
  Kecamatan: Medan Sunggal
  Kabupaten/Kota: Medan
  Provinsi: Sumatera Utara</t>
  </si>
  <si>
    <t>Azy Syarif Hidayatullah</t>
  </si>
  <si>
    <t xml:space="preserve">Blok cimukti RT/RW 003/002 Desa Sukamukti Kec.Cikijing, KAB. MAJALENGKA, CIKIJING, JAWA BARAT, ID, 45466
</t>
  </si>
  <si>
    <t>Dahsyatnya Mindset Afirmasi</t>
  </si>
  <si>
    <t>August Munar</t>
  </si>
  <si>
    <t>Aji Santoso</t>
  </si>
  <si>
    <t xml:space="preserve">Kompleks PGRI samping kanan cukur rambut (tower) depan foto copy (gor/lap bulutangkis), KAB. LAMPUNG TIMUR, BATANGHARI, LAMPUNG, ID, 34381
</t>
  </si>
  <si>
    <t>Tommy Harianto</t>
  </si>
  <si>
    <t>Siti Nurrohmah</t>
  </si>
  <si>
    <t xml:space="preserve">Toko Batik Nusantara Elektro, Jalan Pangeran Sutajaya No.88, Gebang Ilir, Gebang. (DepanOppo), KAB. CIREBON, GEBANG, JAWA BARAT, ID, 45191
</t>
  </si>
  <si>
    <t>Buku Pintar Untuk Memahami Balagah Edisi Revisi 2019</t>
  </si>
  <si>
    <t>Maman Dzul Iman</t>
  </si>
  <si>
    <t>Hanif</t>
  </si>
  <si>
    <t xml:space="preserve">Sebrang Perum Puri Palm, Jalan Gg Adil No.64, RT.5/RW.2, Pasirkuda, Bogor Barat - Kota , KOTA BOGOR, BOGOR BARAT - KOTA, JAWA BARAT, ID, 16119
</t>
  </si>
  <si>
    <t>Erly intan</t>
  </si>
  <si>
    <t>Jl. Raja Indra gg. Saeful kavlingan jati wangi no.B4, KOTA BANDAR LAMPUNG, TANJUNG SENANG, LAMPUNG, ID, 35141</t>
  </si>
  <si>
    <t>Indikator Pencemaran Lingkungan</t>
  </si>
  <si>
    <t>Dr. Oksfriani Jufri Sumampouw, M.Kes. &amp; Prof. Yenni Risjani, DEA, Ph.D.</t>
  </si>
  <si>
    <t>Jl. Raja Indra gg. Saeful kavlingan jati wangi no.B4, KOTA BANDAR LAMPUNG, TANJUNG SENANG, LAMPUNG, ID, 35142</t>
  </si>
  <si>
    <t>Sulthaanah Jiilaan Fauziyy</t>
  </si>
  <si>
    <t>Omah Lor Kost, Jalan Gg Wisnu No.18, Catur Tunggal, Depok , KAB. SLEMAN, DEPOK, DI YOGYAKARTA, ID, 5528</t>
  </si>
  <si>
    <t>Tika noviatur Rahma</t>
  </si>
  <si>
    <t>Silir, RT.3/RW.1, Silir, Wates, KAB. KEDIRI, WATES, JAWA TIMUR, ID, 64174</t>
  </si>
  <si>
    <t>Corry Anggreyny Br Gintin</t>
  </si>
  <si>
    <t xml:space="preserve">Jalan Mekar Jaya ni.73 ( Samping Warkop Gloria ), KAB. DELI SERDANG, PANCUR BATU, SUMATERA UTARA, ID, 20353
</t>
  </si>
  <si>
    <t>Iyum wahyuni</t>
  </si>
  <si>
    <t>Ardio,jln Ciwaringin tanah sewa Rt 06/01 Gang lurah no 16
  Kecamatan: Bogor tengah,kel Cibogor
  Kabupaten/Kota: Bogor kota
  Provinsi: Jawa barat</t>
  </si>
  <si>
    <t>Bahagia Bersama Qur'an</t>
  </si>
  <si>
    <t>Dedi Ilyasa</t>
  </si>
  <si>
    <t>Laina Hilma Sari</t>
  </si>
  <si>
    <t xml:space="preserve"> Jl. Teuku Umar no 200, Depan canai mamak Setui.
 Kecamatan:Baiturrahman. Kode pos 23243
  Kabupaten/Kota: Banda Aceh 
  Provinsi: Aceh</t>
  </si>
  <si>
    <t>MOHAMMAD RUSDY</t>
  </si>
  <si>
    <t>Perum Harmony Residence Blok B No. 11 Komp. Perum Limas Indah Estate Kel. Krapyak
  Kecamatan: Pekalongan Utara
  Kabupaten/Kota: Kota Pekalongan
  Provinsi: Jawa Tengah</t>
  </si>
  <si>
    <t xml:space="preserve"> </t>
  </si>
  <si>
    <t>Naurah atiradhia</t>
  </si>
  <si>
    <t xml:space="preserve">Jl. Merak Utama, Tangerang Labuai. Rumah nya pagar hitam orange ada tulisan BSK 37 , KOTA PEKANBARU, BUKIT RAYA, RIAU, ID, 28281
</t>
  </si>
  <si>
    <t>Buku Ajar Ekonomi Pangan dan Gizi</t>
  </si>
  <si>
    <t>Ninik Rustanti, S.T.P., M.Si.</t>
  </si>
  <si>
    <t>Anggita Sekar Rini</t>
  </si>
  <si>
    <t xml:space="preserve">Kregolan, Margomulyo, Seyegan, RT 03 RW 13. (Toko Amanah/Pak Sutanto) belakang bank BRI, KAB. SLEMAN, SEYEGAN, DI YOGYAKARTA, ID, 55561
</t>
  </si>
  <si>
    <t>kania alleyda</t>
  </si>
  <si>
    <t xml:space="preserve">Oriana permata blok f18 no 18, bintaro sektor 9 tangsel. (dekat sekolah jepang), KOTA TANGERANG SELATAN, CIPUTAT, BANTEN, ID, 15414
</t>
  </si>
  <si>
    <t>Nurul Fatimah</t>
  </si>
  <si>
    <t>Jalan Rorotan IX No.23, RT.3/RW.7, Rorotan, Cilincing, KOTA JAKARTA UTARA, CILINCING, DKI JAKARTA, ID, 1414</t>
  </si>
  <si>
    <t>Pauline Desty</t>
  </si>
  <si>
    <t>Jl. Patang II No. 46 (Studio 46), Kel. Tomarundung Wara Barat Kota Palopo 91921
Sulawesi Selatan</t>
  </si>
  <si>
    <t>Devi ida</t>
  </si>
  <si>
    <t>Buku Ajar Aplikasi Komputer</t>
  </si>
  <si>
    <t>Dwi Krisbiantoro</t>
  </si>
  <si>
    <t>Jl. Cut Meutia, Kec. Samarinda Kota, Kota Samarinda, Kalimantan Timur [Tokopedia Note: yayasan yongjing] Samarinda Kota Kota Samarinda 75118</t>
  </si>
  <si>
    <t>Universitas Islam Makassar (UIM)
Perintis Kemerdekaan III, BTN Antara Blok A2 No.2 (Dekat Pontren Babuttaubah)
Tamalanrea
Kota Makassar</t>
  </si>
  <si>
    <t>Memahami Puisi</t>
  </si>
  <si>
    <t>Dina Ramadhanti &amp; Diyan Permata Yanda</t>
  </si>
  <si>
    <t>dani</t>
  </si>
  <si>
    <t xml:space="preserve">Kp. Gunung goong rt 01/01 (depan puskesmas) desa cipurut kecamatan cireunghas kabupaten sukabumi </t>
  </si>
  <si>
    <t>Dini widyastuti</t>
  </si>
  <si>
    <t>Sekolah SMA Pesantren Peradaban ACT, Desa Cintabodas Kecamatan Culamega Kab. Tasikmalaya, KAB. TASIKMALAYA, CULAMEGA, JAWA BARAT, ID, 46188</t>
  </si>
  <si>
    <t>Sekolah SMA Pesantren Peradaban ACT, Desa Cintabodas Kecamatan Culamega Kab. Tasikmalaya, KAB. TASIKMALAYA, CULAMEGA, JAWA BARAT, ID, 46189</t>
  </si>
  <si>
    <t>Febrilia Ekawati</t>
  </si>
  <si>
    <t>Buku Saku Calon Pengantin: Mempersiapkan Generasi Bebas Stunting</t>
  </si>
  <si>
    <t>Betty Yosephin, Anang Wahyudi, dan Sandy Ardiansyah</t>
  </si>
  <si>
    <t>Suwarno Suwarno</t>
  </si>
  <si>
    <t>Mebel Citra Jepara, Jln. Dr. Murjani 2
Tanjung Redeb
Kabupaten Berau
Kalimantan Timur
77311</t>
  </si>
  <si>
    <t>Irza Setiawan</t>
  </si>
  <si>
    <t xml:space="preserve">Jln rakha Rt 1 no 006 desa Pamintangan, KAB. HULU SUNGAI UTARA, AMUNTAI UTARA, KALIMANTAN SELATAN, ID, 71471
</t>
  </si>
  <si>
    <t>Roni Erwinsyah</t>
  </si>
  <si>
    <t>Jl. Sempurna Gg. Bidan No. 112A Medan 20218, KOTA MEDAN, MEDAN KOTA, SUMATERA UTARA, ID, 20218</t>
  </si>
  <si>
    <t>DITA SEPTIANI</t>
  </si>
  <si>
    <t>jalan kebon pedes gang melati no.67 RT 06 RW 03 kecamatan tanah Sareal kelurahan kebon pedes kota Bogor Jawa barat Indonesia 16162 Tanah Sereal Kota Bogor 16162
Jawa Barat</t>
  </si>
  <si>
    <t>Farmakologi Kedokteran Gigi Praktis</t>
  </si>
  <si>
    <t>Evi Sovia Euis &amp; Reni Yuslianti</t>
  </si>
  <si>
    <t>nanang sujatmiko</t>
  </si>
  <si>
    <t>jl permata no 14 hotel reddorz near Halim 3 · Kebon Pala DKI Jakarta Kota Jakarta Timur Makasar Indonesia Kota Jakarta Timur</t>
  </si>
  <si>
    <t>M.yusuf</t>
  </si>
  <si>
    <t xml:space="preserve">Jl.lintas sumatra desa pagar kec.blambangan pagar kab.lampung utara, KAB. LAMPUNG UTARA, BLAMBANGAN PAGAR, LAMPUNG, ID, 34571
</t>
  </si>
  <si>
    <t>Azizah Dwi Khairunnisa</t>
  </si>
  <si>
    <t>Komplek Pulo Gebang Kirana Blok B3 no 20 Cakung Jakarta Timur, KOTA JAKARTA TIMUR, CAKUNG, DKI JAKARTA, ID, 13950</t>
  </si>
  <si>
    <t>Ilmu Perundang-undangan yang Baik untuk Negara Indonesia</t>
  </si>
  <si>
    <t>Restio Adam Pahlevi</t>
  </si>
  <si>
    <t>Taman Jatisari Permai , Jalan Kayangan blok DO 1 no 11
  Kecamatan: jatiasih kelurahan : jatisari
  Kabupaten/Kota: bekasi 17436
  Provinsi: jawa barat</t>
  </si>
  <si>
    <t>Devi Fortuna</t>
  </si>
  <si>
    <t>Sraten Permai c1 rt. 01 rw. 07, Kel. Sraten, Kec. Tuntang, Kab. Semarang, Jawa Tengah, 50773
  Kecamatan: Tuntang
  Kabupaten/Kota: Semarang
  Provinsi:</t>
  </si>
  <si>
    <t>Monograf Penggunaan Gadget Sebagai Dampak Gangguan Pemusatan Perhatian Edisi 2021</t>
  </si>
  <si>
    <t>Enny Fitriahadi &amp; Menik Sri Daryanti</t>
  </si>
  <si>
    <t>Monograf Nonagon Model Kualitas Pembelajaran Jarak Jauh Pendidikan Tinggi Terhadap Kepuasan Mahasiswa Saat Pandemi Covid-19</t>
  </si>
  <si>
    <t>Leonnard</t>
  </si>
  <si>
    <t>Putri Ghal</t>
  </si>
  <si>
    <t>Jalan Labu 1 no.1, Wawondula, Towuti, KAB. LUWU TIMUR, TOWUTI, SULAWESI SELATAN, ID, 92982</t>
  </si>
  <si>
    <t>Fatimah Indah</t>
  </si>
  <si>
    <t xml:space="preserve">Jl. Kramat Asem No.36,Rt.12/Rw.12, Utan Kayu Selatan,kecamatan Matraman,Jakarta Timur, KOTA JAKARTA TIMUR, MATRAMAN, DKI JAKARTA, ID, 13120
</t>
  </si>
  <si>
    <t>adriani setyaningrum</t>
  </si>
  <si>
    <t>DSN PULOREJO , RT/RW 05/02 , Desa Pulorejo ( BENGKEL MOTOR BANTENG ), KAB. JOMBANG, NGORO, JAWA TIMUR, ID, 61473</t>
  </si>
  <si>
    <t>Ronald Rofiandri</t>
  </si>
  <si>
    <t xml:space="preserve"> Jl. Rancho Indah RT 04 RW 02 No 64 Tanjung Barat Jagakarsa Jakarta Selatan 12530
Kecamatan: Jagakarsa
Kabupaten/Kota: Jakarta Selatan
Provinsi: DKI Jakarta</t>
  </si>
  <si>
    <t>Sinda Oktaviani</t>
  </si>
  <si>
    <t>Perumahan Bumi Arca Indah Blok 5 no 5A
Purwokerto Timur
Kabupaten Banyumas
Jawa Tengah
53113</t>
  </si>
  <si>
    <t>Perumahan Bumi Arca Indah Blok 5 no 5A
Purwokerto Timur
Kabupaten Banyumas
Jawa Tengah
53114</t>
  </si>
  <si>
    <t>Perumahan Bumi Arca Indah Blok 5 no 5A
Purwokerto Timur
Kabupaten Banyumas
Jawa Tengah
53115</t>
  </si>
  <si>
    <t>Williandari</t>
  </si>
  <si>
    <t xml:space="preserve">Dusun 4 Tanjung Alam kec. Sei Dadap, KAB. ASAHAN, SEI DADAP, SUMATERA UTARA, ID, 21291
</t>
  </si>
  <si>
    <t>chika</t>
  </si>
  <si>
    <t>Jalan Gaharu Timur Dalam VIII No 274, KOTA SEMARANG, BANYUMANIK, JAWA TENGAH, ID, 50263</t>
  </si>
  <si>
    <t>Darwel</t>
  </si>
  <si>
    <t>Jurusan Kesling Poltekkes Kemenkes Padang. Jalan simpang Pondok Kopi Siteba Kelurahan surau Gadang
  Kecamatan: Nanggalo
  Kota: Padang
  Provinsi: Sumatera Barat</t>
  </si>
  <si>
    <t>taufiq</t>
  </si>
  <si>
    <t>Griya Anggraini Blok D3 no.22
  Kecamatan: Citeureup
  Kabupaten:  Bogor
  Provinsi: Jawa Barat</t>
  </si>
  <si>
    <t>Pentingnya Aparatur Mengenal Coaching</t>
  </si>
  <si>
    <t>Muhammad Rizky Abubak</t>
  </si>
  <si>
    <t>Jalan Bangau 1 Perumahan Kramat Jaya Indah No.05, Kelurahan Lasoani , KOTA PALU, MANTIKULORE, SULAWESI TENGAH, ID, 94116</t>
  </si>
  <si>
    <t>Rahmi Apri</t>
  </si>
  <si>
    <t>Jl. P. Sidempuan Km.7, Sibuluan Raya. UD. Yanti
  Kecamatan: Pandan
  Kabupaten/Kota: Kabupaten Tapanuli Tengah
  Provinsi: Sumatera Utara</t>
  </si>
  <si>
    <t>Putri Ayu Wardani</t>
  </si>
  <si>
    <t>Komplek Versailles, Jl. Griya Loka Raya Blok F8 No.7 BSD, Serpong, Tangerang Selatan.
Serpong
Kota Tangerang Selatan
Banten</t>
  </si>
  <si>
    <t>Manahati Zebua</t>
  </si>
  <si>
    <t>Pemasaran Produk Jasa Kesehatan</t>
  </si>
  <si>
    <t>boy</t>
  </si>
  <si>
    <t>cimanggis, bojong gede, Bogor</t>
  </si>
  <si>
    <t>Resam Perkawinan Masyarakat Gayo</t>
  </si>
  <si>
    <t>Isma Tantawi</t>
  </si>
  <si>
    <t>Urgensi dan Relevansi Agama Islam dalam Perjuangan Kemerdekaan dan Pengelolaan Negara Berdasarkan Pancasila dan UUD 45</t>
  </si>
  <si>
    <t>Mohammad Daud Gayo</t>
  </si>
  <si>
    <t>Demi Bahasa Bermanfaat dan Bermartabat: Percikan Pemikiran Strategi Kebahasaan dalam Dinamika Bahasa, Pendidikan, dan Kebudayaan Era Kiwari</t>
  </si>
  <si>
    <t>Bayu Permana Sukma, dkk</t>
  </si>
  <si>
    <t>Arah &amp; Kata</t>
  </si>
  <si>
    <t>Idzhar Fathoni &amp;Firman Oktivendra</t>
  </si>
  <si>
    <t>I Wrote these Poems for YOU</t>
  </si>
  <si>
    <t>Vuri Fitria Sar</t>
  </si>
  <si>
    <t>Antologi Puisi: Sang Pencipta, Cinta dan Renungan Kehidupan</t>
  </si>
  <si>
    <t>Anik Puji Rahayu</t>
  </si>
  <si>
    <t>Tarian Pena Si Kuli Tinta</t>
  </si>
  <si>
    <t>Hendrianto, Elvi Suzia Rita &amp; Dewi Kinasih</t>
  </si>
  <si>
    <t>Life Poetries by Mom and Daughter</t>
  </si>
  <si>
    <t>Citra Kusumasari &amp; Alisha Zara Quinsha</t>
  </si>
  <si>
    <t>Kumpulan Puisi Perjalanan Diri</t>
  </si>
  <si>
    <t>Atif Faizah</t>
  </si>
  <si>
    <t>Menanti Pasti</t>
  </si>
  <si>
    <t>Harmonis dengan Alam</t>
  </si>
  <si>
    <t>Ahmad Zainudin … [et al.]</t>
  </si>
  <si>
    <t>Buku Kajian Hukum Tata Negara Tentang Kedudukan Mahkamah Konstitusi dalam Menegakan Hukum dan Konstitusi Negara</t>
  </si>
  <si>
    <t>kebayoran lama, jakarta selatan</t>
  </si>
  <si>
    <t>Maria Nugrahayu</t>
  </si>
  <si>
    <t>Perpustakaan Universitas Dinamika
Jl. Raya kedung Baruk 98 Surabaya
Rungkut
Kota Surabaya
Jawa Timur
60298</t>
  </si>
  <si>
    <t>Vicky</t>
  </si>
  <si>
    <t xml:space="preserve">Kel Pisang, Jalan Dj Wakketok No.46, Pisang, Pauh, KOTA PADANG, PAUH, SUMATERA BARAT, ID, 25161
</t>
  </si>
  <si>
    <t>Dwina Resmi</t>
  </si>
  <si>
    <t>Ikhwannul Fahmi Hidayatullah</t>
  </si>
  <si>
    <t>Jalan Letjend Suprapto VI No. 97 (Samping Balai RW 10 Lingkungan Sumberdandang) Sumbersari Kab. Jember 68122
Jawa Timur</t>
  </si>
  <si>
    <t>Dr. I Gusti Bagus Rai Utama, SE., MMA., MA.</t>
  </si>
  <si>
    <t>Intan Lucky Andrian</t>
  </si>
  <si>
    <t>Jalan Melati C 13 No. 12 Perum Bedali Indah RT 03 RW 11 · Bedali Jawa Timur Kab. Malang Lawang Indonesia Kab. Malang</t>
  </si>
  <si>
    <t>rizal</t>
  </si>
  <si>
    <t>gondang rt 05 rw 02 · Rejomulyo Jawa Timur Kab. Ngawi Karangjati Indonesia Kab. Ngawi</t>
  </si>
  <si>
    <t>Mustakin</t>
  </si>
  <si>
    <t xml:space="preserve"> Jln. Rappokalling timur, Kelurahan Rappokalling, Kec. Tallo Kota Makassar (note: Sekitar masjid Al jihad) 
  Kecamatan: Tallo
  Kabupaten/Kota: Makassar
  Provinsi: Sulawesi Selatan</t>
  </si>
  <si>
    <t>GIRINIUS WENDA, S. Sos., M. Si</t>
  </si>
  <si>
    <t>Jln. Hom-hom. Kampus UNAIM Jayawijaya-Wamena Papua, Wamena, Jayawijaya, Papua, 99511</t>
  </si>
  <si>
    <t>Problematika Pembangunan Daerah</t>
  </si>
  <si>
    <t>Agus Anjar</t>
  </si>
  <si>
    <t>Nathania Arintasya</t>
  </si>
  <si>
    <t>Jl. Setiaki no.21A, Wirobrajan, KOTA YOGYAKARTA, WIROBRAJAN, DI YOGYAKARTA, ID, 55252</t>
  </si>
  <si>
    <t>Bu Santy</t>
  </si>
  <si>
    <t>Perumahan Dinar Mas, Gang 13 No.7, RT.3/RW.18, Meteseh, Tembalang, KOTA SEMARANG, TEMBALANG, JAWA TENGAH, ID, 50272</t>
  </si>
  <si>
    <t>Fitri Azhari (asa)</t>
  </si>
  <si>
    <t>Komplek Cendana Blok C no 7 kelurahan tarantang , KOTA PADANG, LUBUK KILANGAN, SUMATERA BARAT, ID, 25234</t>
  </si>
  <si>
    <t>Buku Ajar Program Linier</t>
  </si>
  <si>
    <t>Dra. Rahmi, M.Si &amp; Mulia Suryani, M.Pd</t>
  </si>
  <si>
    <t>Intan</t>
  </si>
  <si>
    <t>Jln.piai tangah dibawah lapangan futsal, KOTA PADANG, PAUH, SUMATERA BARAT, ID, 25161</t>
  </si>
  <si>
    <t>Tasya nabi</t>
  </si>
  <si>
    <t xml:space="preserve">Komplek mekar melati blok c/3 kel. Lubuk minturun kec. Koto tangah. Padang, KOTA PADANG, KOTO TANGAH, SUMATERA BARAT, ID, 25175
</t>
  </si>
  <si>
    <t>Nadya Khairunnisa</t>
  </si>
  <si>
    <t xml:space="preserve">Kampung Pili Parik Gadang, Jalan Kumpulan Koto Kaciak, Koto Kaciak, Bonjol, KAB. PASAMAN, BONJOL, SUMATERA BARAT, ID, 26381
</t>
  </si>
  <si>
    <t>Nurul Wiadi</t>
  </si>
  <si>
    <t>Desa Dororejo RT05 RW01 Kecamatan Tayu Kabupaten Pati, Tayu, Pati, Jawa Tengah, 59155</t>
  </si>
  <si>
    <t>NUNU NAHNUDIN</t>
  </si>
  <si>
    <t>SMPIT Babunnajah, Kp. Benteng, rt 002/005, Desa Menes
  Kecamatan: Menes
  Kabupaten/Kota: Pandeglang
  Provinsi: Banten</t>
  </si>
  <si>
    <t>Tegor…[et.al.]</t>
  </si>
  <si>
    <t>Depa Sepriyani</t>
  </si>
  <si>
    <t>Jalan Lintas Timur Sumatera/RT 003 - RW 003 Desa Pematang Pauh
  Kecamatan: Tungkal Ulu
  Kabupaten/Kota: Kabupaten Tanjung Jabung Barat
  Provinsi: Jambi</t>
  </si>
  <si>
    <t>bpk christiano</t>
  </si>
  <si>
    <t>TEKNIK RISET OPERASI MENGGUNAKAN POM QM FOR WINDOWS 3</t>
  </si>
  <si>
    <t>Ikhsan Parinduri, S.Si., M.Si. &amp; Havid Syafwan, S.Si., M.Kom.</t>
  </si>
  <si>
    <t>kampus buku</t>
  </si>
  <si>
    <t>Eko Pandu Wicaksono</t>
  </si>
  <si>
    <t xml:space="preserve">Pemeliharaan Sistem Pneumatik dan Hidrolik
</t>
  </si>
  <si>
    <t xml:space="preserve">Adhan Efendi, S.Pd., M.Pd., Aditya Nugraha, S.Pd., M.S., Oyok Yudiyanto, S.T., M.T. 
</t>
  </si>
  <si>
    <t>SILVIA MAHARANI</t>
  </si>
  <si>
    <t>Desa Sekapuk Rt 08/Rw 05 (wisata setigi ke timur) rumah no.15, KAB. GRESIK, UJUNG PANGKAH, JAWA TIMUR, ID, 6115</t>
  </si>
  <si>
    <t>Wulan Pasaribu</t>
  </si>
  <si>
    <t xml:space="preserve">Jalan Tuamang No.228, Sidorejo Hilir, Medan Tembung, KOTA MEDAN, MEDAN TEMBUNG, SUMATERA UTARA, ID, 20222
</t>
  </si>
  <si>
    <t>siti T.</t>
  </si>
  <si>
    <t>jln. Masjid pakes desa terosan 
Kecamatan: Banyuates
  Kabupaten/Kota: sampang
  Provinsi: jatim</t>
  </si>
  <si>
    <t>Belajar Bahasa Inggris Melalui Podcasts Untuk Pemula Jilid 1</t>
  </si>
  <si>
    <t>Muhammad Rizal Lampatta, SH MH</t>
  </si>
  <si>
    <t>Universitas Pohuwato, Fakultas Hukum
Jl. Trans Sulawesi No. 147 , Marisa, Kab. Pohuwato. Gorontalo</t>
  </si>
  <si>
    <t>Filsafat Pendidikan Operasional</t>
  </si>
  <si>
    <t>Aswasulasikin</t>
  </si>
  <si>
    <t>febrisi dwita</t>
  </si>
  <si>
    <t>Jl Narogong Molek VI No 1B RT 02 RW 19 (depan lapangan gawat), KOTA BEKASI, RAWALUMBU, JAWA BARAT, ID, 17115</t>
  </si>
  <si>
    <t>muslimin</t>
  </si>
  <si>
    <t xml:space="preserve">JALAN GUNUNG MERAPI LORONG 86 / NO. 09, KOTA MAKASSAR, UJUNG PANDANG, SULAWESI SELATAN, ID, 90111
</t>
  </si>
  <si>
    <t>Mega</t>
  </si>
  <si>
    <t xml:space="preserve">Susukan3 rt1 rw 10, KAB. GUNUNG KIDUL, PONJONG, DI YOGYAKARTA, ID, 55892
</t>
  </si>
  <si>
    <t>Dian elawati</t>
  </si>
  <si>
    <t xml:space="preserve">Jln candimas 2 gg sepakat no 096, KAB. LAMPUNG SELATAN, NATAR, LAMPUNG, ID, 35362
</t>
  </si>
  <si>
    <t>Finesha Sompie</t>
  </si>
  <si>
    <t xml:space="preserve">Kost Putri Teling, Jalan 14 Februari Lrg III Teling Atas, Teling Atas, Wanea (Kost pagar orange), KOTA MANADO, WANEA, SULAWESI UTARA, ID, 95119
</t>
  </si>
  <si>
    <t>Muthia Andini</t>
  </si>
  <si>
    <t xml:space="preserve">Jln Pongtiku Lorong 9 No 3, KOTA MAKASSAR, BONTOALA, SULAWESI SELATAN, ID, 90152
</t>
  </si>
  <si>
    <t>Yuni Asgar</t>
  </si>
  <si>
    <t>Alfamart Dampang, Jalan Raya Parangloe, Parangloe, Tamalanrea, KOTA MAKASSAR, TAMALANREA, SULAWESI SELATAN, ID, 90245</t>
  </si>
  <si>
    <t>Laras /kk Alif</t>
  </si>
  <si>
    <t xml:space="preserve">Jl.menteng Wadas 4 Rt/10 Rw/01 no 23, KOTA JAKARTA SELATAN, SETIA BUDI, DKI JAKARTA, ID, 12970
</t>
  </si>
  <si>
    <t>Andini</t>
  </si>
  <si>
    <t xml:space="preserve">Simpang gugung sorik, koto sawah, ujung gading lembah melintang (Simpang sebelah kiri), KAB. PASAMAN BARAT, LEMBAH MELINTANG, SUMATERA BARAT, ID, 26572
</t>
  </si>
  <si>
    <t>Sekar Arum Sari</t>
  </si>
  <si>
    <t xml:space="preserve">Perum. Metland Cileungsi Blok AB 5 No.11 Desa Cipenjo Kec. Cileungsi Kab. Bogor Jawa Barat, KAB. BOGOR, CILEUNGSI, JAWA BARAT, ID, 16820
</t>
  </si>
  <si>
    <t>Gitri Jumalisa</t>
  </si>
  <si>
    <t>Jalan Pagang Dalam, RT.3/RW.8, Kurao Pagang, Nanggalo, KOTA PADANG, NANGGALO, SUMATERA BARAT, ID, 25147</t>
  </si>
  <si>
    <t>desy susanti</t>
  </si>
  <si>
    <t xml:space="preserve">jl gebang sari dalam no.40A(rumah yg kecilnya/sampingnya) rt/rw.001/005 bambu apus, KOTA JAKARTA TIMUR, CIPAYUNG, DKI JAKARTA, ID, 13890
</t>
  </si>
  <si>
    <t>Endy Chai</t>
  </si>
  <si>
    <t>Jalan Pantai Impian Gg.Lumba-lumba 4 No.94 Tanjung Pinang Barat Kota Tanjung Pinang 29113
Kepulauan Riau</t>
  </si>
  <si>
    <t>Pendidikan Anti Korupsi Berbasis Multimedia (Untuk Perguruan Tinggi)</t>
  </si>
  <si>
    <t>Tri Karyanti, Yani Prihati, dan Sinta Tridian Galih</t>
  </si>
  <si>
    <t>Fulki Ghifari Chalik</t>
  </si>
  <si>
    <t>Jl. Desa Cipadung Cibiru Kota Bandung 40614
Jawa Barat</t>
  </si>
  <si>
    <t>Perencanaan Pendidikan Islam</t>
  </si>
  <si>
    <t>Sanusi Uwes</t>
  </si>
  <si>
    <t>Tirka</t>
  </si>
  <si>
    <t>Greenville, GV4 / 27 RT38 · Sidodadi Jawa Timur Kab. Sidoarjo Taman Indonesia Kab. Sidoarjo</t>
  </si>
  <si>
    <t>Supardi Rustam</t>
  </si>
  <si>
    <t xml:space="preserve">Jalan Tirto Agung Barat 2 No 3B RT 02 / RW 03 Kelurahan Pedalangan, Kecamatan Banyumanik, Kota Semarang, Jawa Tengah (KOS ASSALAM), Kode Pos : 50268
</t>
  </si>
  <si>
    <t>Dedi Inan</t>
  </si>
  <si>
    <t>Kompleks Manorian Jl. Reremi Puncak Gg. Melati No.11 Manokwari Kab. Manokwari 98314
Papua Barat</t>
  </si>
  <si>
    <t>Derawati Yahya</t>
  </si>
  <si>
    <t xml:space="preserve">PT. SAKA TEHNIK UTAMA Jl Raya Cibarusah No.12 Cikarang Selatan, Kabupaten Bekasi, KAB. BEKASI, CIKARANG SELATAN, JAWA BARAT, ID, 17852
</t>
  </si>
  <si>
    <t>Amaludin</t>
  </si>
  <si>
    <t xml:space="preserve">Jl. Syeh Nurjati Wanasaba kidul Blok masjid RT 03 RW 02 Kec. Talun-Cirebon No. 3, KAB. CIREBON, TALUN (CIREBON SELATAN), JAWA BARAT, ID, 45171
</t>
  </si>
  <si>
    <t>Ika Himaya</t>
  </si>
  <si>
    <t>Wuluh Sidokumpul Rt 01/03, KAB. DEMAK, GUNTUR, JAWA TENGAH, ID, 59565</t>
  </si>
  <si>
    <t>Puji Faisal Salim</t>
  </si>
  <si>
    <t>Perumahan taman permata buana, jalan pulau matahari 2 blok a5 no 28 Rt 016 / rw 009 Kembangan Kota Administrasi Jakarta Barat 11610
DKI Jakarta</t>
  </si>
  <si>
    <t>Mewujudkan Good Corporate Governance (Tata Kelola Perusahaan yang Baik) di Era Revolusi Industri 4.0 dan Masyarakat 5.0</t>
  </si>
  <si>
    <t>R. Ricky Agusiady … [et al.</t>
  </si>
  <si>
    <t>Yudha Ari Purnama</t>
  </si>
  <si>
    <t>Perum Green City Residence, Jl. Wahid Hasyim 2, Kec. Samarinda Utara, Kota Samarinda, Kalimantan Timur, 75243 [Tokopedia Note: Perum. Green City Residence, Blok E-6, Sempaja Barat] Samarinda Utara Kota Samarinda 75243
Kalimantan Timur</t>
  </si>
  <si>
    <t>Pneumatik dan Hidrolik</t>
  </si>
  <si>
    <t>Wirawan Sumbodo, Rizki Setiadi dan Sigit Poedjiono</t>
  </si>
  <si>
    <t>UPT Perpustakaan</t>
  </si>
  <si>
    <t>Jl. Colombo Yogyakarta No. 1, Karang Malang, Caturtunggal, Kec. Depok, Kabupaten Sleman, Jogja [Tokopedia Note: Gedung UPT Perpustakaan UNY] Depok Kab. Sleman 55281
D.I. Yogyakarta</t>
  </si>
  <si>
    <t>Panduan Model INQUIRY LEARNING</t>
  </si>
  <si>
    <t>Dr. Syamsidah, M.Pd. dan Dra. Ratnawati, T.M.Hum.</t>
  </si>
  <si>
    <t>Miftakhul Jannah</t>
  </si>
  <si>
    <t>Universitas Muhammadiyah Surabaya
Bulak Banteng Baru Gg Flamboyan 2 No 51
Kenjeran
Kota Surabaya
Jawa Timur
60128</t>
  </si>
  <si>
    <t>Perencanaan dan Perancangan Hotel</t>
  </si>
  <si>
    <t>I Made Trisna Semara</t>
  </si>
  <si>
    <t>Universitas Muhammadiyah Surabaya
Bulak Banteng Baru Gg Flamboyan 2 No 51
Kenjeran
Kota Surabaya
Jawa Timur
60129</t>
  </si>
  <si>
    <t>Universitas Muhammadiyah Surabaya
Bulak Banteng Baru Gg Flamboyan 2 No 51
Kenjeran
Kota Surabaya
Jawa Timur
60130</t>
  </si>
  <si>
    <t>Pendinginan Pasif Untuk Arsitektur Tropis Lembab</t>
  </si>
  <si>
    <t>Laila Dwiastani</t>
  </si>
  <si>
    <t>RSUD Kota Depok
Grand Putra Mandiri B5, Jl. Balongan RT 11/12
Beji
Kota Depok
Jawa Barat</t>
  </si>
  <si>
    <t>Modul Model Simple Integrasi Etik dalam Pelayanan Kesehatan Primer dan di Rumah Sakit</t>
  </si>
  <si>
    <t>Suharyati, dkk</t>
  </si>
  <si>
    <t>Alvin Sebastian</t>
  </si>
  <si>
    <t>PT Concentrix
Kp.cikuda , rt 37 rw 16
Gunung Putri
Kabupaten Bogor
Jawa Barat
16963</t>
  </si>
  <si>
    <t>Structural Equation Modeling Konsep dan Implementasinya Pada Kajian Ilmu Manajemen Dengan Menggunakan AMOS</t>
  </si>
  <si>
    <t>Zulkifli Musannip Efendi Siregar [et al.]</t>
  </si>
  <si>
    <t>WENNI PRIHATINI</t>
  </si>
  <si>
    <t xml:space="preserve">JL Babaran Gg Mutiara No 32C RT 15 RW 04 Pandeyan Umbulharjo Yogyakarta, KOTA YOGYAKARTA, UMBULHARJO, DI YOGYAKARTA, ID, 55161
</t>
  </si>
  <si>
    <t>Meiske Claudia</t>
  </si>
  <si>
    <t xml:space="preserve"> JL. Belitung Darat No. 1 RT 10 
  Kecamatan: Banjarmasin Barat
  Kabupaten/Kota: Banjarmasin
  Provinsi: Kalimantan Selatan</t>
  </si>
  <si>
    <t>Indikator Strategi Pengembangan Kepariwisataan</t>
  </si>
  <si>
    <t>CONCEPT &amp; INDICATOR Human Resources Management for Management Research</t>
  </si>
  <si>
    <t>Dr. Pandi Afandi, M.M.</t>
  </si>
  <si>
    <t>Ani Safitri</t>
  </si>
  <si>
    <t>Perumahan mars residen blok D1, pringkumpul, Pringsewu Selatan
  Kecamatan: Pringsewu
  Kabupaten/Kota: Pringsewu
  Provinsi: Lampung</t>
  </si>
  <si>
    <t>Akuntansi Manajemen: Implementasi dalam Kasus Indonesia</t>
  </si>
  <si>
    <t>Ibrahim Ingga</t>
  </si>
  <si>
    <t>agung budi santoso</t>
  </si>
  <si>
    <t>LPM, GEDUNG TERPADU, IAIN MANADO. jl.ring road malendeng tikala kota manado, sulawesi utara Tikala Kota Manado 95128
Sulawesi Utara</t>
  </si>
  <si>
    <t>Andi Fatimah Mustovia N</t>
  </si>
  <si>
    <t xml:space="preserve">BTN HAMZY BLOK T2 NO.3, KOTA MAKASSAR, TAMALANREA, SULAWESI SELATAN, ID, 90245
</t>
  </si>
  <si>
    <t>Keselamatan Dan Kesehatan Kerja Kelautan: (Kajian Keselamatan Dan Kesehatan Kerja Sektor Maritim)</t>
  </si>
  <si>
    <t>Dr. Lalu Muhammad Saleh, SKM., M.Kes</t>
  </si>
  <si>
    <t>Syarif Ibnu Rahman Al</t>
  </si>
  <si>
    <t xml:space="preserve">Jalan gusti haidir Antibar RT 03 RW 01 Kecamatan mempawah timur, KAB. PONTIANAK, MEMPAWAH TIMUR, KALIMANTAN BARAT, ID, 78917
</t>
  </si>
  <si>
    <t>Purmini</t>
  </si>
  <si>
    <t>Jln. Tembok Baru no 2, RT 09, RW 03, Anggut Atas
  Kecamatan: Ratu Samban
  Kabupaten/Kota: Bengkulu
  Provinsi: Bengkulu</t>
  </si>
  <si>
    <t>Ekonom Otodidak</t>
  </si>
  <si>
    <t>Abd. Jamal</t>
  </si>
  <si>
    <t>Fadia Novesa</t>
  </si>
  <si>
    <t>Jl. T Nyak Arief Komplek Awak Awai Pondok Nasywa, No. 18 Rukoh, Darussalam (di belakang Pegadaian Syariah Darussalam) Lt. 2
Syiah Kuala
Kota Banda Aceh
Daerah Istimewa Aceh</t>
  </si>
  <si>
    <t>Hukum Waris Islam</t>
  </si>
  <si>
    <t>Iman Jauhari dan T. Muhammad Ali Bahar</t>
  </si>
  <si>
    <t>Kuswanto Kuswanto</t>
  </si>
  <si>
    <t>Paradise Serpong City J52/25
Setu
Kota Tangerang Selatan
Banten
10110</t>
  </si>
  <si>
    <t>Faiz Muhammad</t>
  </si>
  <si>
    <t>Pemda 2 Jl. P. Midai No. 69
Batu Aji
Kota Batam
Kepulauan Riau</t>
  </si>
  <si>
    <t>MODEL HAP (High Alert Patient) dalam Praktik Etika Keperawatan</t>
  </si>
  <si>
    <t>Ahmad Farid Rivai</t>
  </si>
  <si>
    <t>Etika Keperawatan Buku Praktis Pembelajaran Bagi Mahasiswa Kesehatan</t>
  </si>
  <si>
    <t>Home Care Pada Pasien Pasca Stroke</t>
  </si>
  <si>
    <t>Amila, Evarina Sembiring dan Janno Sinaga</t>
  </si>
  <si>
    <t>Buku Keperawatan Latihan Efektif untuk Pasien Diabetes Mellitus Berbasis Hasil Penelitian</t>
  </si>
  <si>
    <t>Ida Suryati</t>
  </si>
  <si>
    <t>Jalan Boulevard Transito City cluster Dubai No. DD 17
Sintang
Kabupaten Sintang
Kalimantan Barat
78614</t>
  </si>
  <si>
    <t>prima</t>
  </si>
  <si>
    <t>Ghaitsa Qotrunnada Wisf</t>
  </si>
  <si>
    <t xml:space="preserve">Jalan Mulawarman Gang Ranggaina RT 41 No 12 kelurahan Karang Anyar (GANG HELLO), KOTA TARAKAN, TARAKAN BARAT, KALIMANTAN UTARA, ID, 77111
</t>
  </si>
  <si>
    <t>Syacitra Arl</t>
  </si>
  <si>
    <t xml:space="preserve">Jalan Barukang Utara Lr.15, KOTA MAKASSAR, UJUNG TANAH, SULAWESI SELATAN, ID, </t>
  </si>
  <si>
    <t>Larasati</t>
  </si>
  <si>
    <t xml:space="preserve">jl.sultan kaharudin gang singaraja,pagesangan Barat saren (gg.depan apotek sekarbela farma), KOTA MATARAM, MATARAM, NUSA TENGGARA BARAT (NTB), ID, 83127
</t>
  </si>
  <si>
    <t>Psikologi Agama: Memahami dan Menjadikan Psikologi Sebagai Peneguh Jati</t>
  </si>
  <si>
    <t>Yuminah Rohmatullah</t>
  </si>
  <si>
    <t>RISKY MARTAHAY</t>
  </si>
  <si>
    <t>Perumahan Wilis indah II blog H-9 nomer 8 Mojoroto Kota Kediri 64115
Jawa Timur</t>
  </si>
  <si>
    <t>Heny Suherni</t>
  </si>
  <si>
    <t xml:space="preserve">Jl. Nanggeleng No 28 RT 002 RW 003 Desa Neglasari, KAB. CIANJUR, CIKALONGKULON, JAWA BARAT, ID, 43291
</t>
  </si>
  <si>
    <t>Desain dan Perencanaan Pembelajaran</t>
  </si>
  <si>
    <t>Rudi Ahmad Suryadi &amp; Aguslani Mushlih</t>
  </si>
  <si>
    <t>Imelda butar butar</t>
  </si>
  <si>
    <t>Taman Jaya blok D V / 14. Cipondoh makmur RT.03 / RW 11 Cipondoh - Tangerang, KOTA TANGERANG, CIPONDOH, BANTEN, ID, 15148</t>
  </si>
  <si>
    <t>Siti Sahara Ismail</t>
  </si>
  <si>
    <t xml:space="preserve">Jalan Rajawadipalapa Desa Dulomo No. 80 Kompleks Kantor Desa Dulomo, KAB. GORONTALO, TILANGO, GORONTALO, ID, 96282
</t>
  </si>
  <si>
    <t>Ratih Heksana</t>
  </si>
  <si>
    <t>Jalan Parangtritis KM 9,5 Gabusan RT 06Timbulharjo, KAB. BANTUL, SEWON, DI YOGYAKARTA, ID, 55186</t>
  </si>
  <si>
    <t>English Vocabulary Word Games and Pictures for Elementary Level-Book 1</t>
  </si>
  <si>
    <t>Santri E.P Djahimo</t>
  </si>
  <si>
    <t>Jalan Parangtritis KM 9,5 Gabusan RT 06Timbulharjo, KAB. BANTUL, SEWON, DI YOGYAKARTA, ID, 55187</t>
  </si>
  <si>
    <t>Zevera Erinna</t>
  </si>
  <si>
    <t>Akademi Kesehatan John Paul II
Jl. Permata I No. 32 RT. 3, RW. 5, Kel. Bandar Raya, Kec. Payung Sekaki
Payung Sekaki
Kota Pekanbaru
Riau</t>
  </si>
  <si>
    <t>Teknik Laboratorium</t>
  </si>
  <si>
    <t>Wawan Muliawan</t>
  </si>
  <si>
    <t>Ismu Bahaiduri</t>
  </si>
  <si>
    <t>Villa Serpong, Jalan kencana VIII Blok C.8 Nomor 14.B, Kelurahan Jelupang Serpong Utara Kota Tangerang Selatan 15320
Banten</t>
  </si>
  <si>
    <t>PAJAK ITU MUDAH STORE</t>
  </si>
  <si>
    <t>bogor</t>
  </si>
  <si>
    <t xml:space="preserve"> Addy Tampubolon, S.H., M.H.
Zulham Al Farizi, S.E., M.Acc.
Karianton Tampubolon., S.E., M.Acc., Ak., BKP., CA., CPA.</t>
  </si>
  <si>
    <t>Kartika Putri Kumalasari
Nurlita Sukma Alfandia</t>
  </si>
  <si>
    <t xml:space="preserve"> Astri Warih Anjarwi, S.E., M.S.A., Ak., CA.</t>
  </si>
  <si>
    <t>Bunga Septria Vionit</t>
  </si>
  <si>
    <t>Pasir Harja RT/RW 15/10 Jawa Barat Kab. Subang Subang Indonesia Kab. Subang</t>
  </si>
  <si>
    <t>YUDI HERDIANA</t>
  </si>
  <si>
    <t>PT. ARTHABINTEK INDUSTRI
Jl. Cikarang - Cibarusah KM. 8.8 No. 46 Kp. Langkap Lancar
Serang Baru
Kabupaten Bekasi
Jawa Barat</t>
  </si>
  <si>
    <t>Kupas Tuntas Penerbangan</t>
  </si>
  <si>
    <t>Pepen Pendi</t>
  </si>
  <si>
    <t>bambang</t>
  </si>
  <si>
    <t>Jl Jati indah I No 12</t>
  </si>
  <si>
    <t>Mumtazah Syarafi</t>
  </si>
  <si>
    <t>Jl. Ketib Anom No.1 Blok Rebo, Maja Selatan RT/RW 03/04 Maja, Kab. Majalengka, Jawa Barat 45461
Maja
Kabupaten Majalengka
Jawa Barat</t>
  </si>
  <si>
    <t>Anita Ramadona</t>
  </si>
  <si>
    <t>Sejarah Pemikiran Ekonomi</t>
  </si>
  <si>
    <t>Edry Adam</t>
  </si>
  <si>
    <t>Perum. Griya Satria Indah Sumampir Jl. Batumulia C-9 Purwokerto Utara
  Kecamatan: Purwokerto Utara
  Kabupaten/Kota: Banyumas
  Provinsi:Jawa Tengah</t>
  </si>
  <si>
    <t>rini</t>
  </si>
  <si>
    <t>taman manyar indah ab-10
  Kecamatan: Sukolilo
  Kabupaten/Kota:surabaya
  Provinsi: Jawa Timur</t>
  </si>
  <si>
    <t>Pengembangan Kepribadian</t>
  </si>
  <si>
    <t>IK. Sihombing</t>
  </si>
  <si>
    <t>rainie</t>
  </si>
  <si>
    <t>Jl. Jend Sudirman No. 59 RT. 01 masuk lorong buntu sebrang taman PKK thehok, KOTA JAMBI, JAMBI SELATAN, JAMBI, ID, 36138</t>
  </si>
  <si>
    <t>misata</t>
  </si>
  <si>
    <t>Jln. IR.Sutami, komplek ruko akasia No.20 ( Kantor JNT), KOTA TANJUNG PINANG, BUKIT BESTARI, KEPULAUAN RIAU, ID, 29122</t>
  </si>
  <si>
    <t>Sosiologi Keluarga</t>
  </si>
  <si>
    <t>Safrudin dan H. Darwin</t>
  </si>
  <si>
    <t>kian</t>
  </si>
  <si>
    <t>Jalan Kenanga Wangi Buntu, RT.12/RW.2, Kalisari, Pasar Rebo (Rumah pager warna putih), KOTA JAKARTA TIMUR, PASAR REBO, DKI JAKARTA, ID, 13790</t>
  </si>
  <si>
    <t>Jalan Kenanga Wangi Buntu, RT.12/RW.2, Kalisari, Pasar Rebo (Rumah pager warna putih), KOTA JAKARTA TIMUR, PASAR REBO, DKI JAKARTA, ID, 13791</t>
  </si>
  <si>
    <t>unititis</t>
  </si>
  <si>
    <t>kiasta</t>
  </si>
  <si>
    <t>Grand Regency, Jl. Grand Regency IV Blok B3 No 8, KOTA BEKASI, MUSTIKA JAYA, JAWA BARAT, ID, 1715</t>
  </si>
  <si>
    <t>Metodologi Penelitian</t>
  </si>
  <si>
    <t>Mayang Sari Lubis</t>
  </si>
  <si>
    <t>nur</t>
  </si>
  <si>
    <t>Jl. Perbal II Rt.05 Rw.01,Sembungharjo,kec. Genuk, Kota Semarang, KOTA SEMARANG, GENUK, JAWA TENGAH, ID, 50117</t>
  </si>
  <si>
    <t>aning</t>
  </si>
  <si>
    <t>Jl. Cemp. 6, Kec. Bekasi Utara, Kota Bks, Jawa Barat, 17610 [Tokopedia Note: taman wisma asri blok t27 no 143 RT 03 RW 30 ] Bekasi Utara Kota Bekasi 17610</t>
  </si>
  <si>
    <t>petrus</t>
  </si>
  <si>
    <t>Komp. Taman setia budi Indah (TASBIH) Blok OO no. 53 Medan Sunggal Kota Medan 20122
Sumatera Utara</t>
  </si>
  <si>
    <t>Keuangan Untuk Usaha Mikro Dan Kecil</t>
  </si>
  <si>
    <t>Henky Hendrawan</t>
  </si>
  <si>
    <t>husen</t>
  </si>
  <si>
    <t>Jl. Perhubungan VIII No. 52 RT. 01 RW. 07 · Jati DKI Jakarta Kota Jakarta Timur Pulo Gadung Indonesia Kota Jakarta Timur</t>
  </si>
  <si>
    <t>Akuntansi Dasar Sesuai Dengan SAK EMKM</t>
  </si>
  <si>
    <t>Sri Mangesti Rahayu, Wita Ramadhanti dan Taufik Margi Widodo</t>
  </si>
  <si>
    <t>tia</t>
  </si>
  <si>
    <t>Dsn.Bojongsari Desa Gegempalan Rt04 Rw011 kec.cikoneng kab.ciamis, KAB. CIAMIS, CIKONENG, JAWA BARAT, ID, 46261</t>
  </si>
  <si>
    <t>Leny Yulyaningsi</t>
  </si>
  <si>
    <t>Mengelo Tengah RT 2 RW 10 Kec. Sooko, KAB. MOJOKERTO, SOOKO, JAWA TIMUR, ID, 61361</t>
  </si>
  <si>
    <t>Teknologi Pengolahan Hasil Tanaman Karet</t>
  </si>
  <si>
    <t>Suroso</t>
  </si>
  <si>
    <t>Sivaun Iklil</t>
  </si>
  <si>
    <t>Jl. 7 Unit 2. Rimbo Bujang (Arah BTN) 
  Kecamatan: Rimbo Bujang 
  Kabupaten/Kota: Tebo 
  Provinsi: Jambi</t>
  </si>
  <si>
    <t>Pemahaman Dasar Membaca</t>
  </si>
  <si>
    <t>Meliyawati</t>
  </si>
  <si>
    <t>Agusta Prihantoro,</t>
  </si>
  <si>
    <t xml:space="preserve"> Kantor Balai Desa Karangduwur, 
Jl. Petanahan-Puring, KM 01, Desa Karangduwur, Kec. Petanahan, Kab. Kebumen, Jawa Tengah. </t>
  </si>
  <si>
    <t>bpk sigit</t>
  </si>
  <si>
    <t>Jl. Braga, No. 115,  Kel. Braga, Kec. Sumur Bandung, Kota Bandung, 40112</t>
  </si>
  <si>
    <t>Jl. Braga, No. 115,  Kel. Braga, Kec. Sumur Bandung, Kota Bandung, 40113</t>
  </si>
  <si>
    <t>Jl. Braga, No. 115,  Kel. Braga, Kec. Sumur Bandung, Kota Bandung, 40114</t>
  </si>
  <si>
    <t>Trihartini</t>
  </si>
  <si>
    <t>Jalan Prof Dr Soepomo Kebun Jeruk No.1072, RT.17/RW.4, Pahlawan, Kemuning ( Lunar Kost Kamar 22), KOTA PALEMBANG, KEMUNING, SUMATERA SELATAN, ID, 30128</t>
  </si>
  <si>
    <t>Edi Susanto</t>
  </si>
  <si>
    <t>perumahan Karang Sari Permai. Jalan Cendana No. 323 Karang Sari
Baturaja Timur
Kabupaten Ogan Komering Ulu
Sumatera Selatan
32113</t>
  </si>
  <si>
    <t>perumahan Karang Sari Permai. Jalan Cendana No. 323 Karang Sari
Baturaja Timur
Kabupaten Ogan Komering Ulu
Sumatera Selatan
32114</t>
  </si>
  <si>
    <t>M. Fakhruddin</t>
  </si>
  <si>
    <t>Jl. Masjid Baiturahman No. 121 Duren Jaya (depan toko bangunan Usaha Baru/Gemilang)
  Kecamatan: Bekasi Timur
  Kabupaten/Kota: Kota Bekasi
  Provinsi: Jawa Barat</t>
  </si>
  <si>
    <t>Flora Honey Darmawan</t>
  </si>
  <si>
    <t>Universitas Jenderal Achmad Yani Cimahi
Komp. Bumi Parahyangan Cimahi Blok F No. 1
Cimahi Selatan
Kota Cimahi
Jawa Barat</t>
  </si>
  <si>
    <t>Meningkatkan Soft Skills Pada Pendidikan Kebidanan</t>
  </si>
  <si>
    <t>Erika Agung</t>
  </si>
  <si>
    <t>Prof. Riyanto</t>
  </si>
  <si>
    <t>Kantor Dekan FMIPA  UII, Kampus Terpadu Jl. Kaliurang KM 14,5 Sleman Yogyakarta 
  Kecamatan: Ngaglik
  Kabupaten/Kota: Sleman 
  Provinsi: Yogyakarta</t>
  </si>
  <si>
    <t>Daswati M.Keb</t>
  </si>
  <si>
    <t>Prodi Kebidanan FKIK Universitas Muhammadiyah Makassar
Jln. AP.Pettarani II No 31
Panakkukang
Kota Makassar
Sulawesi Selatan</t>
  </si>
  <si>
    <t>Panduan Asuhan Nifas dan Evidence Based Practice</t>
  </si>
  <si>
    <t>Susilo Rini dan Feti Kumala D</t>
  </si>
  <si>
    <t>Pratiwi Putri Tjahjono</t>
  </si>
  <si>
    <t>IHK Sworn Translator
Mojoklanggru Wetan III42 E23
Gubeng
Kota Surabaya
Jawa Timur
60285</t>
  </si>
  <si>
    <t>Dede Subara</t>
  </si>
  <si>
    <t>potokopi bintang.com / agen Jne bandar dalam rt 001rw004ec. negeri agung kab. way kanan, KAB. WAY KANAN, NEGERI AGUNG, LAMPUNG, ID, 34768</t>
  </si>
  <si>
    <t>Finka Intan Nurifentisa</t>
  </si>
  <si>
    <t>Eri Yudanti</t>
  </si>
  <si>
    <t>Kos 99999 Jln paingan 3 no 99999 RT 6 RW 5, Maguwoharjo, KAB. SLEMAN, DEPOK, DI YOGYAKARTA, ID, 55282</t>
  </si>
  <si>
    <t>Ivana Wardani</t>
  </si>
  <si>
    <t>Poltekbang medan, jalan penerbangan no.85. P.Bulan km 8,5 medan selayang, KOTA MEDAN, MEDAN SELAYANG, SUMATERA UTARA, ID, 20131</t>
  </si>
  <si>
    <t>monica</t>
  </si>
  <si>
    <t>Jalan Raya Karangkobar 03/02 · Sijenggung Jawa Tengah Kab. Banjarnegara Banjarmangu Indonesia Kab. Banjarnegara</t>
  </si>
  <si>
    <t>Ashofa Purnamasari</t>
  </si>
  <si>
    <t>Perum. Taman Semesta Mas
Tajurhalang
Kabupaten Bogor
Jawa Barat</t>
  </si>
  <si>
    <t>Dinda Nabila</t>
  </si>
  <si>
    <t>Villa Mutiara Jaya, blok m21 no1 rt7 rw9, Jl.permata 2
  Kecamatan: Cibitung
  Kabupaten/Kota: Kab.Bekasi
  Provinsi: Jawa Barat</t>
  </si>
  <si>
    <t>Annisa Kamilia</t>
  </si>
  <si>
    <t xml:space="preserve"> taman wisma asri jalan sawo jajar selatan B 31 No. 30 RT 05 RW 17, Teluk Pucunh
  Kecamatan: Bekasi Utara
  Kabupaten/Kota: Bekasi
  Provinsi: Jawa Barat</t>
  </si>
  <si>
    <t>mita</t>
  </si>
  <si>
    <t>Keuangan Negara dan Daerah</t>
  </si>
  <si>
    <t>Prof. Dr. Hj. Ida Rosnidah, S.E., M.M., Ak., CA.</t>
  </si>
  <si>
    <t>Carminanda</t>
  </si>
  <si>
    <t>Menelaah Historiografi Nasional Indonesia: Kajian Kritis terhadap Buku Indonesia dalam Arus Sejarah</t>
  </si>
  <si>
    <t>Ahmad Choirul Rofiq</t>
  </si>
  <si>
    <t>Buku Ajar Pendidikan Pancasila Dan Kewarganegaraan</t>
  </si>
  <si>
    <t>Wahono dan Abdul Atsar</t>
  </si>
  <si>
    <t>Klipang Blok R 15/9 Sendangmulyo, KOTA SEMARANG, TEMBALANG, JAWA TENGAH, ID, 50272</t>
  </si>
  <si>
    <t>Fara Putri</t>
  </si>
  <si>
    <t>Jalan Kenanga Wangi Buntu, RT.12/RW.2, Kalisari, Pasar Rebo (Rumah pager warna putih), KOTA JAKARTA TIMUR, PASAR REBO, DKI JAKARTA, ID, 1379</t>
  </si>
  <si>
    <t>Belajar Mudah Aplikasi Komputer Myob Accounting V.17</t>
  </si>
  <si>
    <t>Yanah, SE.I., M.Si.</t>
  </si>
  <si>
    <t>Jalan Kenanga Wangi Buntu, RT.12/RW.2, Kalisari, Pasar Rebo (Rumah pager warna putih), KOTA JAKARTA TIMUR, PASAR REBO, DKI JAKARTA, ID, 1380</t>
  </si>
  <si>
    <t>Safrenol</t>
  </si>
  <si>
    <t>Jl. Pendidikan Patok 6 Gg Nur Iman no 29
  Kecamatan: Rasau Jaya
  Kabupaten/Kota: Kubu Raya
  Provinsi: Kalimantan Barat</t>
  </si>
  <si>
    <t>Untuk SMP &amp; SMA Panduan Wisata Edukasi Desa Wisata Jernih Kabupaten Sarolangun</t>
  </si>
  <si>
    <t>Sonya Amalia, Bambang Hariyadi &amp; Winda Dwi Kartika</t>
  </si>
  <si>
    <t>Nida Muthia Lamis</t>
  </si>
  <si>
    <t>Perumahan Puri Nirwana 3 Blok AE No 6 Cibinong Bogor
  Kecamatan:Karadenan
  Kabupaten/Kota:Bogor
  Provinsi:Jawa Barat</t>
  </si>
  <si>
    <t>Buku Antologi Kumpulan Cerpen dan Puisi Cerita Inspirasi</t>
  </si>
  <si>
    <t>Ujung Destinasi</t>
  </si>
  <si>
    <t>Tiara Septiani Satrap</t>
  </si>
  <si>
    <t xml:space="preserve"> jl.gatot Subroto Perum graha mandiri samping kodim no 34 depan kost2an kaloko
  Kecamatan: Indramayu
  Kelurahan: Kepandean
  Kabupaten/Kota: Indramayu
  Provinsi: Jawa Barat </t>
  </si>
  <si>
    <t>Sosiologi hukum</t>
  </si>
  <si>
    <t>Urip Sucipto</t>
  </si>
  <si>
    <t>Grace siadari</t>
  </si>
  <si>
    <t>Jalan Toba I No.8, Toba, Siantar Selatan, KOTA PEMATANG SIANTAR, SIANTAR SELATAN, SUMATERA UTARA, ID, 21121</t>
  </si>
  <si>
    <t>Professional Development For Teachers Of English (Prodevet) In 4.0 Era</t>
  </si>
  <si>
    <t>Selviana Napitupulu, Fenty Debora Napitupulu dan Kisno</t>
  </si>
  <si>
    <t>Sri Haryati</t>
  </si>
  <si>
    <t>Kampung Weronsari rt 4 rw 4 Kelurahan Mlipak Kecamatan Wonosobo Kabupaten Wonosobo, KAB. WONOSOBO, WONOSOBO, JAWA TENGAH, ID, 56312</t>
  </si>
  <si>
    <t>Bahasa Jawa Xa</t>
  </si>
  <si>
    <t>Eko Gunawan</t>
  </si>
  <si>
    <t>Kampung Weronsari rt 4 rw 4 Kelurahan Mlipak Kecamatan Wonosobo Kabupaten Wonosobo, KAB. WONOSOBO, WONOSOBO, JAWA TENGAH, ID, 56313</t>
  </si>
  <si>
    <t>Bahasa Jawa XB</t>
  </si>
  <si>
    <t>Makmur Sianipar</t>
  </si>
  <si>
    <t>Perumahan Bogor Asri, Blok AB-4 No. 23 Nanggewer Cibinong Cibinong Kab. Bogor 16912
Jawa Barat</t>
  </si>
  <si>
    <t>Metodologi Penelitian Pendidikan</t>
  </si>
  <si>
    <t>Zainal Aqib &amp; Mohammad Hasan Rasidi</t>
  </si>
  <si>
    <t>Eko Darmawan</t>
  </si>
  <si>
    <t>RS PKU Muhamadiyah Jl. Lkr. Utara, kemorosari II, Piyaman, Kec. Wonosari, Kabupaten Gunung Kidul, Daerah Istimewa Yogyakarta, Wonosari, Gunung Kidul, Daerah Istimewa Yogyakarta, 55851</t>
  </si>
  <si>
    <t>Artika</t>
  </si>
  <si>
    <t>Jalan Mahasantri, Perum. Paradise blok u no · Simpangbaru Riau Kota Pekanbaru Tampan Indonesia Kota Pekanbaru</t>
  </si>
  <si>
    <t>Gramedia Lampung</t>
  </si>
  <si>
    <t xml:space="preserve"> jl. Raden intan no. 63 bandar Lampung</t>
  </si>
  <si>
    <t>ALIYAH NURJANAH</t>
  </si>
  <si>
    <t>PPI 34 Cibegol
Pesantren Persis 34 Cibegol
Kutawaringin
Kabupaten Bandung
Jawa Barat</t>
  </si>
  <si>
    <t>Sosiologi Administrasi Pendidikan</t>
  </si>
  <si>
    <t>Titis Fitrianto</t>
  </si>
  <si>
    <t>Perumahan citra Karawang megah blok A10 no. 10 desa lemahmulya
  Kecamatan: Majalaya
  Kabupaten/Kota: Karawang
  Provinsi: jawa barat</t>
  </si>
  <si>
    <t>Liku Menggapai Impian</t>
  </si>
  <si>
    <t>Daelami Ahmad</t>
  </si>
  <si>
    <t>Fahreza</t>
  </si>
  <si>
    <t>noer indah</t>
  </si>
  <si>
    <t xml:space="preserve"> jalan puskesmas no 6a rt 04 rw 06 kelapa gading timur
Kecamatan: kelapa gading 
Kabupaten/Kota: jakarta utara
Provinsi: dki jakarta </t>
  </si>
  <si>
    <t>Fiaaaa</t>
  </si>
  <si>
    <t>Jalan Cempaka III No. 7 Rt 006 Rw 02 Kecamatan Cempaka Putih Kelurahan Cempaka Putih Barat  Jakarta Pusat 10520
  Kecamatan: Cempaka Putih
  Kabupaten/Kota: Jakarta Pusat
  Provinsi: DKI JAKARTA</t>
  </si>
  <si>
    <t>Rania Usny Puspa ayu</t>
  </si>
  <si>
    <t>Perum Grand Puri Bunga Nirwana Cluster California Blok N30 kecamatan Sumbersari Kabupaten Jember, KAB. JEMBER, SUMBER SARI, JAWA TIMUR, ID, 68121</t>
  </si>
  <si>
    <t>Perum Grand Puri Bunga Nirwana Cluster California Blok N30 kecamatan Sumbersari Kabupaten Jember, KAB. JEMBER, SUMBER SARI, JAWA TIMUR, ID, 68122</t>
  </si>
  <si>
    <t>Perum Grand Puri Bunga Nirwana Cluster California Blok N30 kecamatan Sumbersari Kabupaten Jember, KAB. JEMBER, SUMBER SARI, JAWA TIMUR, ID, 68123</t>
  </si>
  <si>
    <t>Teknologi Pengolahan Kopi Terkini</t>
  </si>
  <si>
    <t>Asmak Afriliana</t>
  </si>
  <si>
    <t>Perum Grand Puri Bunga Nirwana Cluster California Blok N30 kecamatan Sumbersari Kabupaten Jember, KAB. JEMBER, SUMBER SARI, JAWA TIMUR, ID, 68124</t>
  </si>
  <si>
    <t>Pengawasan Mutu Bahan Pangan</t>
  </si>
  <si>
    <t>Adi Saputrayadi dan Marianah</t>
  </si>
  <si>
    <t>Perum Grand Puri Bunga Nirwana Cluster California Blok N30 kecamatan Sumbersari Kabupaten Jember, KAB. JEMBER, SUMBER SARI, JAWA TIMUR, ID, 68125</t>
  </si>
  <si>
    <t>Teknologi Pengolahan Tepung Dan Pati Biji-Bijian Berbasis Tanaman Kayu</t>
  </si>
  <si>
    <t>Perum Grand Puri Bunga Nirwana Cluster California Blok N30 kecamatan Sumbersari Kabupaten Jember, KAB. JEMBER, SUMBER SARI, JAWA TIMUR, ID, 68126</t>
  </si>
  <si>
    <t>Teknologi Pengolahan Ubi-ubian dan Sagu</t>
  </si>
  <si>
    <t>Eduard Fransisco Tethool, Budi Santoso dan Angela Myrra Puspita Dewi</t>
  </si>
  <si>
    <t>Perum Grand Puri Bunga Nirwana Cluster California Blok N30 kecamatan Sumbersari Kabupaten Jember, KAB. JEMBER, SUMBER SARI, JAWA TIMUR, ID, 68127</t>
  </si>
  <si>
    <t>Dona</t>
  </si>
  <si>
    <t>Jalan seroja indah no 11A Rt 004 / Rw 001 kel. Tangkerang Timur, KOTA PEKANBARU, TENAYAN RAYA, RIAU, ID, 28282</t>
  </si>
  <si>
    <t>jl.sultan kaharudin gang singaraja,pagesangan Barat saren (gg.depan apotek sekarbela farma), KOTA MATARAM, MATARAM, NUSA TENGGARA BARAT (NTB), ID, 83127</t>
  </si>
  <si>
    <t>Psikologi Agama: Manajemen Mental, Aplikasi, Teori, Praktik Berbasis Kearifan Lokal</t>
  </si>
  <si>
    <t>Dr. Siti Zaenab, M.Pd.</t>
  </si>
  <si>
    <t>Syarah Aliifah</t>
  </si>
  <si>
    <t>Jalan Bunga Rampai 3 No.196/33, RT.2/RW.9, Malaka Jaya, Duren Sawit, KOTA JAKARTA TIMUR, DUREN SAWIT, DKI JAKARTA, ID, 13460</t>
  </si>
  <si>
    <t>Pendekatan-Pendekatan Konseling (Teori dan Aplikasi)</t>
  </si>
  <si>
    <t>Jalan Bunga Rampai 3 No.196/33, RT.2/RW.9, Malaka Jaya, Duren Sawit, KOTA JAKARTA TIMUR, DUREN SAWIT, DKI JAKARTA, ID, 13461</t>
  </si>
  <si>
    <t>raphael r</t>
  </si>
  <si>
    <t>Perumahan Telkomas, Blok i no 7, Jaga 8, Watutumou, Kec. Kalawat, Minahasa Utara, KAB. MINAHASA UTARA, KALAWAT, SULAWESI UTARA, ID, 95381</t>
  </si>
  <si>
    <t>Wisnu Prayudha</t>
  </si>
  <si>
    <t>KPP PRATAMA SEMARANG TIMUR JL KI MANGUN SARKORO NO 34, KOTA SEMARANG, SEMARANG TENGAH, JAWA TENGAH, ID, 50138</t>
  </si>
  <si>
    <t>Agama Manusia &amp; Tuhan, dalam Perspektif Al Qur'an</t>
  </si>
  <si>
    <t>mBah Lul</t>
  </si>
  <si>
    <t>Agus Warsidi</t>
  </si>
  <si>
    <t>griya citra persada blok x-38, Dawuan Timur Cikampek Kab. Karawang 41373
Jawa Barat</t>
  </si>
  <si>
    <t>Dianingsih Maryanti</t>
  </si>
  <si>
    <t>Klinik ABDUL RADJAK MH Thamrin II (JST), Jl. Peta Sel. Dalam, Kec. Kalideres, Kota Jakarta Barat, Daerah Khusus Ibukota Jakarta, 11840 [Tokopedia Note: Ruko Kalideres Indah blok A1-A2,Rt 07/Rw11] Kalideres Kota Administrasi Jakarta Barat 11840
DKI Jakarta</t>
  </si>
  <si>
    <t>Manajemen SDM; Berbasis Revolusi Industri 4.0</t>
  </si>
  <si>
    <t>Dr. Luis Marnisah, M.M.</t>
  </si>
  <si>
    <t>Muh Miftachul Riza</t>
  </si>
  <si>
    <t>SMKN 1 GEDANGAN, Jl. Sumberrejo, Desa Sumberrejo, Kecamatan Gedangan (65178) · Sumberejo Jawa Timur Kab. Malang Gedangan Indonesia Kab. Malang</t>
  </si>
  <si>
    <t>Yuli Irma</t>
  </si>
  <si>
    <t>RT 08/03 · Jaticempaka Jawa Barat Kota Bekasi Pondok Gede Indonesia Kota Bekasi</t>
  </si>
  <si>
    <t>Hiv-Aids, Ibu Hamil Dan Pencegahan Pada Janin</t>
  </si>
  <si>
    <t>Alinea Dwi Elisanti</t>
  </si>
  <si>
    <t>Penerapan Ancaman Sanksi Pidana Tambahan Bagi Pengembalian Kerugian Keuangan Negara Dalam Tindak Pidana Korupsi</t>
  </si>
  <si>
    <t>Husin Wattimena</t>
  </si>
  <si>
    <t>Perspektif Korupsi dari Akar Penyebabnya</t>
  </si>
  <si>
    <t>Hariawan Bihamding</t>
  </si>
  <si>
    <t>Ati Hidayati</t>
  </si>
  <si>
    <t>Jl. Kebagusan Wates Gg. Mangga I RT 010 RW 005 No. 39 Jagakarsa Jakarta Selatan 12620</t>
  </si>
  <si>
    <t>Pendidik dalam Konsepsi Imam Al-Ghazali</t>
  </si>
  <si>
    <t>Muhammad Nafi</t>
  </si>
  <si>
    <t>Devi Meika Sar</t>
  </si>
  <si>
    <t>JL KH Abd Rohman RT 2 RW 2 Dsn. Santren Ds. Banjarworo Kec. Bangilan Tuban, KAB. TUBAN, BANGILAN, JAWA TIMUR, ID, 62364</t>
  </si>
  <si>
    <t>KIMIA FISIKA</t>
  </si>
  <si>
    <t>Yuli Rohyami, M.Sc.</t>
  </si>
  <si>
    <t>Hilma wardatunisa</t>
  </si>
  <si>
    <t>kp.cikupa, depan gerbang sdn negeri cikup · Parakan Salak (Parakansalak) Jawa Barat Kab. Sukabumi Parakan Salak Indonesia Kab. Sukabumi</t>
  </si>
  <si>
    <t>Sarah.Widiawati</t>
  </si>
  <si>
    <t>Purimulia blok A2 no 10 rt/rw.02/04 ds jatimerta
  Kecamatan:Gn.jati
  Kabupaten/Kota:Cirebon
  Provinsi:Jawa Barat</t>
  </si>
  <si>
    <t>Usep</t>
  </si>
  <si>
    <t>Perum Buana Residence Blok 1 No.4 RT 01 RW 021
Garut Kota
Kabupaten Garut
Jawa Barat</t>
  </si>
  <si>
    <t>Sastia Prasasti</t>
  </si>
  <si>
    <t>Kp.Ciicung Rt 04/07
Purwakarta
Kabupaten Purwakarta
Jawa Bara</t>
  </si>
  <si>
    <t>Peran Proses Pengecoran Logam Dalam Aplikasi Di Dunia Industri</t>
  </si>
  <si>
    <t>Pengecoran Logam (Metode Evaporative)</t>
  </si>
  <si>
    <t>Suherman</t>
  </si>
  <si>
    <t>Mesin Hybrid</t>
  </si>
  <si>
    <t>Wahyudi, dkk</t>
  </si>
  <si>
    <t>Jakfar Syodik</t>
  </si>
  <si>
    <t xml:space="preserve"> Perpustakaan Universitas Yudharta Pasuruan, Jl. Yudharta No.7 Sengonagung</t>
  </si>
  <si>
    <t>“The Power of Gratitude” Kekuatan Syukur dalam Menurunkan Stress Kerja</t>
  </si>
  <si>
    <t>Eko Wahyu Cahyono, S.Psi., M.Psi. Psikolog.</t>
  </si>
  <si>
    <t>Asuhan Keperawatan Jiwa Masalah Psikososial Di Pelayanan Klinis Dan Komunitas</t>
  </si>
  <si>
    <t>Mad Zaini</t>
  </si>
  <si>
    <t>Dance Counseling</t>
  </si>
  <si>
    <t>Karyanti</t>
  </si>
  <si>
    <t>Iman Sebagai Basis Psikologi Pengembangan Karakter</t>
  </si>
  <si>
    <t>Dr. H. Alivermana Wiguna, M.Ag.</t>
  </si>
  <si>
    <t>Kenali Otakmu Dengan Golongan Darah</t>
  </si>
  <si>
    <t>Konstruk Pesan Berdampak Psikologis</t>
  </si>
  <si>
    <t>Hascaryo Pramudibyanto</t>
  </si>
  <si>
    <t>Mendidik Perspektif Psikologi</t>
  </si>
  <si>
    <t>Abdul Kadir Sahlan</t>
  </si>
  <si>
    <t>Mengatasi Stress saat Beraktivitas Setiap Haripeony Elgina</t>
  </si>
  <si>
    <t>Peony Elgina</t>
  </si>
  <si>
    <t>Menumbuhkan Karakter Anak (Perspektif Ibn Abd Al-Barr Al-Andalusi)</t>
  </si>
  <si>
    <t>Muslim, Abdul Hayyie Al-Kattani &amp; Wido Supraha</t>
  </si>
  <si>
    <t>Peranan Keteladanan Orang Tua Dalam Mendidik Anak (Kecerdasan Spiritual, Kecerdasan Intelektual, Dan Kecerdasan Emosional) Edisi Revisi</t>
  </si>
  <si>
    <t>Amalliah Kadir, M.Pd.</t>
  </si>
  <si>
    <t>Perkembangan Sosial Emosional Anak Usia Dini</t>
  </si>
  <si>
    <t>Abd. Malik Dachlan, Nasrul Fuad Erfansyah dan Taseman</t>
  </si>
  <si>
    <t xml:space="preserve">Seni Mendidik Anak Nukilan Hikmah Menjadi Orang Tua Efektif
</t>
  </si>
  <si>
    <t>Dr. MA. Muazar Habibi, S.Psi., M.Pd.</t>
  </si>
  <si>
    <t>Buku Ajar Manajemen Pemasaran Islam</t>
  </si>
  <si>
    <t>Tati Handayani &amp; Muhammad Anwar Fathoni</t>
  </si>
  <si>
    <t>Kapital Multikultural Pesantren</t>
  </si>
  <si>
    <t>Sauqi Futaqi</t>
  </si>
  <si>
    <t>CONVERGENTIVE DESIGN Kurikulum Pendidikan Pesantren (Konsepsi dan Aplikasinya)</t>
  </si>
  <si>
    <t>Zuhri, S.Sos.I., M.Pd.I.</t>
  </si>
  <si>
    <t>Pengembangan Kurikulum Pendidikan Agama Islam Transformatif</t>
  </si>
  <si>
    <t>Umar, dkk</t>
  </si>
  <si>
    <t>PENERAPAN KONSEP “PLEA BARGAINING” Dalam Rancangan Kitab Undang-Undang Hukum Acara Pidana (RKUHAP) dan Manfaatnya Bagi Sistem Peradilan Pidana di Indonesia</t>
  </si>
  <si>
    <t>Aset Hak Kekayaan Intelektual Sebagai Jaminan Dalam Perbankan</t>
  </si>
  <si>
    <t>Indra Rahmatullah, SH.I, MH.</t>
  </si>
  <si>
    <t>Fik Hdyt</t>
  </si>
  <si>
    <t>Jln.Ratu Sianum Lr.H.Umar No:699A Rt:19 Rw:04 Kelurahan 1 Ilir, KOTA PALEMBANG, ILIR TIMUR II, SUMATERA SELATAN, ID, 30116</t>
  </si>
  <si>
    <t>Farah Dilla</t>
  </si>
  <si>
    <t>Jalan masjid nurul iman rt009/02 no. 63, KOTA JAKARTA BARAT, CENGKARENG, DKI JAKARTA, ID, 117</t>
  </si>
  <si>
    <t>Andri (Toko Lumintu)</t>
  </si>
  <si>
    <t>Dusun Kesambi RT 10 RW 3, Desa Kesambi , KAB. SIDOARJO, PORONG, JAWA TIMUR, ID, 61274, KAB. SIDOARJO, PORONG, JAWA TIMUR, ID, 61274</t>
  </si>
  <si>
    <t>weni nuraeni</t>
  </si>
  <si>
    <t xml:space="preserve"> salemba raya no 9 kantor bksda dki jakrta kementrian kehutanan DKI Jakarta Kota Jakarta Pusat Senen Indonesia Kota Jakarta Pusat</t>
  </si>
  <si>
    <t>Ade Irawan</t>
  </si>
  <si>
    <t>Fotokatalisis Dalam Pengolahan Limbah Tekstil</t>
  </si>
  <si>
    <t>Noor Hindryawati</t>
  </si>
  <si>
    <t>Millah Maryam</t>
  </si>
  <si>
    <t>Millah Maryam As-Sa'idah
Ujung Berung
Kota Bandung
Jawa Barat</t>
  </si>
  <si>
    <t>PAI Interdisipliner: Layanan Khusus CIBI, Kenakalan Remaja, Integrasi IMTAQ &amp; IPTEK, Pendidikan Anti Kekerasan, dan Kurikulum berbasis Karakter</t>
  </si>
  <si>
    <t>Rahmat</t>
  </si>
  <si>
    <t>Dinda</t>
  </si>
  <si>
    <t>Komplek Puri Tiara Indah Blok B No. B7 RT 6 RW 4 Jl. Cagar Alam Selatan, KOTA DEPOK, CIPAYUNG, JAWA BARAT, ID, 16439</t>
  </si>
  <si>
    <t>Wiwit Puspita Sari</t>
  </si>
  <si>
    <t>Dusun Batu Buil, Jalan Batu Batu Buil, Batu Buil, Belimbing, KAB. MELAWI, BELIMBING, KALIMANTAN BARAT, ID, 79672</t>
  </si>
  <si>
    <t>fawas</t>
  </si>
  <si>
    <t>Perum Betawi Permai Blok E6/9, RT1/14 Kel. Jati Rangga, Kec. Jati Sampurna, KOTA BEKASI, JATI SAMPURNA, JAWA BARAT, ID, 17434</t>
  </si>
  <si>
    <t>Hesti Dyah Puspitasar</t>
  </si>
  <si>
    <t>rudi</t>
  </si>
  <si>
    <t>Suatu Pengantar Metode dan Riset Desain Komunikasi Visual DKV</t>
  </si>
  <si>
    <t>Eva., S.Ds., M.Si</t>
  </si>
  <si>
    <t>Antropologi Budaya Pendekatan Habonaron Do Bona sebagai Falsafah Hidup Masyarakat Simalungun</t>
  </si>
  <si>
    <t>Pengantar Komunikasi Lintas Budaya</t>
  </si>
  <si>
    <t>Wa Nur Fida</t>
  </si>
  <si>
    <t>Desain Grafis Kemasan UMKM</t>
  </si>
  <si>
    <t>Sudjadi Tjipto Rahardjo</t>
  </si>
  <si>
    <t>Etika Peserta Didik: Menurut Syaikh Muhammad bin Shalih Al-Utsaimin</t>
  </si>
  <si>
    <t>Memahami Potensi Otak Peserta Didik Dalam Pembelajaran Di Tingkat Pendidikan Dasar: Suatu Pengantar</t>
  </si>
  <si>
    <t>Nani Restati Siregar &amp; Muhammad Ilham</t>
  </si>
  <si>
    <t>Pengetahuan Dasar Teknik Tari Modern</t>
  </si>
  <si>
    <t>Susasrita Lora Vianti</t>
  </si>
  <si>
    <t>Kerajinan Sulam Koto Gadang Sumatera Barat</t>
  </si>
  <si>
    <t>Ranelis &amp; Rahmad Washinton P</t>
  </si>
  <si>
    <t>Khazanah Fotografi &amp; Desain Grafis</t>
  </si>
  <si>
    <t>Yulius Widi Nugroho</t>
  </si>
  <si>
    <t>𝖡𝗉𝗄. 𝖲𝗎𝗁𝖺𝗋𝗍𝗈𝗇𝗈</t>
  </si>
  <si>
    <t>Fisiologi Dasar untuk Mahasiswa Farmasi, Keperawatan dan Kebidanan</t>
  </si>
  <si>
    <t>Ronny Lesmana, Hanna Goenawan &amp; Rizky Abdulah</t>
  </si>
  <si>
    <t>Septiningtyas Fera Siskayanti</t>
  </si>
  <si>
    <t xml:space="preserve"> Perum. Pondok Jaya Indah Blok D4 No. 10
  Kecamatan: MunjulJaya
  Kabupaten/Kota: Purwakarta 
  Provinsi: Jawa Barat</t>
  </si>
  <si>
    <t>Cara Praktis Merakit Pembangkit Listrik Tanpa BBM di Kelurahan Manggar</t>
  </si>
  <si>
    <t>Andi Sri Irtawaty… [et.al.]</t>
  </si>
  <si>
    <t>bukalapaK</t>
  </si>
  <si>
    <t>EDY RIYANTO</t>
  </si>
  <si>
    <t>Jl. Saluyu XV A, No.259, Komplek Riung Bandung, RT.4/RW.7, Kel. Cipamokolan, Kec. Rancasari, Kota Bandung 40292, Rancasari, Bandung, Jawa Barat, 40292</t>
  </si>
  <si>
    <t>dimas</t>
  </si>
  <si>
    <t>Lumajang</t>
  </si>
  <si>
    <t>Setiawardhana … [et al.]</t>
  </si>
  <si>
    <t>Buku Ajar Cloud Computing</t>
  </si>
  <si>
    <t>Mohamad Jamil dkk</t>
  </si>
  <si>
    <t xml:space="preserve"> Jumadil Makmur</t>
  </si>
  <si>
    <t>Jln. Buru Lr. 311 No. 37, Kota Makassar. Kode Pos 90171
Wajo, Kota Makassar, Sulawesi Selatan, 90171</t>
  </si>
  <si>
    <t>Elektroda Superkapasitor Dari Material Magnetik Pasir Besi</t>
  </si>
  <si>
    <t>Ricka Prasdiantika, Abdul Rohman dan Niyar Candra Agustin</t>
  </si>
  <si>
    <t>Si Cepat</t>
  </si>
  <si>
    <t>Muhammad Salman Amir</t>
  </si>
  <si>
    <t>BTN. Andi Tonro Permai Blok F1A No. 4, Kabupaten Gowa. Kode pos 92111
Somba Opu, Kab. Gowa, Sulawesi Selatan, 92111</t>
  </si>
  <si>
    <t>Dr. Ir. Subiyanto, S.T., M.T., dkk</t>
  </si>
  <si>
    <t>Muhammad Nur</t>
  </si>
  <si>
    <t>Jln. Buru Lr. 311 No. 37, Kota Makassar. Kode pos 90171
Wajo, Kota Makassar, Sulawesi Selatan, 90171</t>
  </si>
  <si>
    <t>Teori Dasar dan Aplikasi Pendingin Termoelektrik (Pendingin Tanpa Freon)</t>
  </si>
  <si>
    <t>Mirmanto, Syahrul &amp; Made Wirawan</t>
  </si>
  <si>
    <t>ariyani</t>
  </si>
  <si>
    <t>Diambil</t>
  </si>
  <si>
    <t>Zulafiff Senen atau Mas Afiff</t>
  </si>
  <si>
    <t>Jl. Prawiro Kuat, Ngringin, Condongcatur, Kec. Depok, Kabupaten Sleman, Daerah Istimewa Yogyakarta 55283 Kost bu Iyah Komplek masjid Sirojuddin</t>
  </si>
  <si>
    <t>Moh. Irma Sukarelawan</t>
  </si>
  <si>
    <t>Surodinanggan Jambidan Banguntapan Bantul,
Jalan Depan Masjid An Nur, RT.7, Jambidan,
Banguntapan, BANGUNTAPAN, KAB. BANTUL, DI
YOGYAKARTA</t>
  </si>
  <si>
    <t>Mendiagnosis Sifat Perubahan Konseptual Siswa: Penerapan Teknik Analisis Stacking dan Racking Rasch Model</t>
  </si>
  <si>
    <t>Lukman Abdul Rauf Laliyo</t>
  </si>
  <si>
    <t>Amel</t>
  </si>
  <si>
    <t>Dekat Gor Gelora Sejahtera Perumahan, Jalan
Tavanjuka Permai, Palu Selatan, PALU SELATAN,
KOTA PALU, SULAWESI TENGAH</t>
  </si>
  <si>
    <t>Metode dan Teknik Pekerjaan Sosial dalam Penanganan Masalah Klien</t>
  </si>
  <si>
    <t>Slamet Widodo</t>
  </si>
  <si>
    <t>Zahra Azizah Amalia</t>
  </si>
  <si>
    <t>Kos Putri Amalia, Jalan Kabut No.43, RT.3/RW.23, Jebres, Jebres (Kost Putri Amalia), KOTA SURAKARTA (SOLO), JEBRES, JAWA TENGAH, ID, 5712</t>
  </si>
  <si>
    <t>Juwanda</t>
  </si>
  <si>
    <t>ALAN PADANG - SOLOK BANDAR BUAT NO. 4
TOKO (TOSERBAUNIKPADANG), LUBUK
KILANGAN, KOTA PADANG, SUMATERA BARAT</t>
  </si>
  <si>
    <t>Komunikasi &amp; Konseling (Feminisme) Dalam Pelayanan Kebidanan</t>
  </si>
  <si>
    <t>Wahyu Nuraisya, S.Si.T., M.Keb. dan Dwi Yuliawati, S.S.T., M.Keb.</t>
  </si>
  <si>
    <t>Elis</t>
  </si>
  <si>
    <t>Kp cikacapi Rt01/02, Desa bagoang, kec jasinga,
kab Bogor, JASINGA, KAB. BOGOR, JAWA BARAT</t>
  </si>
  <si>
    <t>Aggy Ramida Putr</t>
  </si>
  <si>
    <t>Talang Timur, Jalan Talang Babungo, Talang Babungo, Hiliran Gumanti (Klinik Bidan Sonya), KAB. SOLOK, HILIRAN GUMANTI, SUMATERA BARAT, ID, 27372</t>
  </si>
  <si>
    <t>Muhammad Helmy Rosyadi</t>
  </si>
  <si>
    <t>Dusun Klego, RT.1/RW.9, Candirejo, Tuntang (Kos-kosan Pak Rifa'i), KAB. SEMARANG, TUNTANG, JAWA TENGAH, ID, 50773</t>
  </si>
  <si>
    <t>Dessy Amelia</t>
  </si>
  <si>
    <t>Komplek Persada Permai Baru 1, jalur 16 RT 47, No.218 Handil bakti (( Sebelah mushola At Taubah)), KOTA BANJARBARU, BANJAR BARU UTARA, KALIMANTAN SELATAN, ID, 70712</t>
  </si>
  <si>
    <t>Bagus Ali Rachman</t>
  </si>
  <si>
    <t>Rt 05 Rw 03 Ds. Kepunten Kec. Tulangan Sidoarjo, KAB. SIDOARJO, TULANGAN, JAWA TIMUR, ID, 612</t>
  </si>
  <si>
    <t>Heri Rian</t>
  </si>
  <si>
    <t>Jl. Kartika plaza, toko Alfamart Kartika plaza 2, Kuta kab. Badung, bali, KAB. BADUNG, KUTA, BALI, ID, 80361</t>
  </si>
  <si>
    <t>Islamnya Asia Tenggara; Analisis Perubahan Sosial, Budaya, Ekonomi Masyarakat, Sebelum dan Setelah Masuknya Islam ke Aceh</t>
  </si>
  <si>
    <t>Ichsan</t>
  </si>
  <si>
    <t>Rizky Amelia</t>
  </si>
  <si>
    <t>Jl Cibungur - tarisi Km 1 Ciomas, Tenjo - Bogor (SMPN 3 TENJO ), KAB. BOGOR, TENJO, JAWA BARAT, ID, 16370</t>
  </si>
  <si>
    <t>Metode Penelitian</t>
  </si>
  <si>
    <t>Masayu Rosyidah &amp; Rafiqa Fijra</t>
  </si>
  <si>
    <t>Agus Kenedi</t>
  </si>
  <si>
    <t>Jalan Pangeran Antasari Blok Kragilan No.1, RT.22/RW.2 Desa Marikangen, KAB. CIREBON, PLUMBON, JAWA BARAT, ID, 45655</t>
  </si>
  <si>
    <t>Bojong Depok Baru blok ne/8 rt/rw 001/009 Kec. Bojonggede, Kota/Kab. Kab. Bogor Jawa Barat, 16921
Bojonggede, Kab. Bogor, Jawa Barat, 16921</t>
  </si>
  <si>
    <t>Komunikasi Krisis</t>
  </si>
  <si>
    <t>Virga Ristiana Safitri</t>
  </si>
  <si>
    <t>Jalan Arjuna desa Pupus Rt 04 Rw 05
Kecamatan: Lembeyan
Kabupaten/Kota: Magetan
Provinsi: Jawa Timur</t>
  </si>
  <si>
    <t>Cerdas Kimia Melalui Teknik Mnemonic Hahelibe untuk Siswa SMA dan MA</t>
  </si>
  <si>
    <t>Agung Dwijo Purwono</t>
  </si>
  <si>
    <t>Didi Junaedi</t>
  </si>
  <si>
    <t>Perumnas Bumi Guwosari Blok 6 B No. 49, RT 03,
Pringgading, Guwosari , PAJANGAN, KAB.
BANTUL, DI YOGYAKARTA</t>
  </si>
  <si>
    <t>SI CEPAT</t>
  </si>
  <si>
    <t>Adi Muhammad</t>
  </si>
  <si>
    <t>Jl. Kusuma Barat 28 Blok Dd3 No.1, RT.6/RW.18,
Duren Jaya, Bekasi Timur (Rumah kuning), BEKASI
TIMUR, KOTA BEKASI, JAWA BARAT</t>
  </si>
  <si>
    <t>Muhammad Ibnu Mas'ud</t>
  </si>
  <si>
    <t>Kos Jenaya Kos Tingkat Warna Orange, Jalan
Jenengan Raya Maguwoharjo Depok,
Maguwoharjo, Depok, DEPOK, KAB. SLEMAN, DI
YOGYAKARTA</t>
  </si>
  <si>
    <t>Nur krisna</t>
  </si>
  <si>
    <t>The Soft Power of South Korea</t>
  </si>
  <si>
    <t>Iin Rachmawati</t>
  </si>
  <si>
    <t>Muhamad Ariyanto</t>
  </si>
  <si>
    <t>Perumahan graha kencana rt 01 rw 04 blok E2 No
12, Kelurahan Kuta Jaya, PASAR KEMIS, KAB.
TANGERANG, BANTEN</t>
  </si>
  <si>
    <t>Dini Anggraini</t>
  </si>
  <si>
    <t>Jl.suka senang VI no 4a , kelurahan cikutra, rt 07/rw
15, CIBEUNYING KIDUL, KOTA BANDUNG, JAWA
BARAT</t>
  </si>
  <si>
    <t>Pengembangan Industri Kuliner Berbasis Makanan Tradisional Khas Sulawesi</t>
  </si>
  <si>
    <t>Makhsun Baidlowi (Stikes Wira Husada)</t>
  </si>
  <si>
    <t>L Babarsari, Glendongan, Tambak Bayan, Caturtunggal, Kec. Depok, Kabupaten Sleman, Daerah Istimewa Yogyakarta 55281
Kecamatan: Depok
Kabupaten/Kota: Sleman
Provinsi: DI Yogyakarta</t>
  </si>
  <si>
    <t>erwin</t>
  </si>
  <si>
    <t>Jl. Meteorologi Gg. Masjid Rt. 03/08 No. 43 (Pojokan Rumah Bu Nur) Kel. Tanah Tinggi Kec. Tangerang Kota Tangerang 15119</t>
  </si>
  <si>
    <t>Yuni Sari</t>
  </si>
  <si>
    <t>jln. Peurada utama, lr. Meurendam Dewi no 1, Rhania Kostel, KOTA BANDA ACEH, SYIAH KUALA, NANGGROE ACEH DARUSSALAM (NAD), ID, 231</t>
  </si>
  <si>
    <t>Rifa Shinta Putri</t>
  </si>
  <si>
    <t>Jalan Panunggalan Kidul, RT.9/RW.3, Panunggalan, Pengadegan, Purbalingga, Jawa Tengah, KAB. PURBALINGGA, PENGADEGAN, JAWA TENGAH, ID, 53393</t>
  </si>
  <si>
    <t>Aisyah Irfiana Putri</t>
  </si>
  <si>
    <t>Jln avia b12 bumi dirgantara permai, KOTA BEKASI, JATIASIH, JAWA BARAT, ID, 17424</t>
  </si>
  <si>
    <t>Evan Julian</t>
  </si>
  <si>
    <t>Kompleks Lina Indah Blok E No.4, Jalan Bandengan Selatan 84, Jakarta Utara, KOTA JAKARTA UTARA, PENJARINGAN, DKI JAKARTA, ID, 14450</t>
  </si>
  <si>
    <t>Agus munajat</t>
  </si>
  <si>
    <t>SDN13 · Agung Batin Lampung Kab. Mesuji Simpang Pematang Indonesia Kab. Mesuji</t>
  </si>
  <si>
    <t>Dian Rezkia</t>
  </si>
  <si>
    <t>lorong kuwou
  Kecamatan: wowanggu
  Kabupaten/Kota: Kendari
  Provinsi: Sulawesi tenggara</t>
  </si>
  <si>
    <t>cv asia karya</t>
  </si>
  <si>
    <t>link. sukadamai rt. 03/07 kec. jombang kel. panggung rawi cilegon-banten</t>
  </si>
  <si>
    <t>Barakah Ziarah Etnografi Kuburan di Bumi Parahyangan</t>
  </si>
  <si>
    <t>Abdurrahman Misno Bambang Prawiro dkk.</t>
  </si>
  <si>
    <t>Buku Ajar Pendidikan Agama Islam Di Perguruan Tinggi</t>
  </si>
  <si>
    <t>Rusyja Rustam dan Zainal A. Haris</t>
  </si>
  <si>
    <t>Dimensi-Dimensi Manusia: Perspektif Pendidikan Islam</t>
  </si>
  <si>
    <t>Dr. Rudi Ahmad Suryadi, S.Pd.I., M.Ag.</t>
  </si>
  <si>
    <t>Inspirasi Al-Qur’an untuk Pendidikan</t>
  </si>
  <si>
    <t>Ceceng Andri Ripki Hadi</t>
  </si>
  <si>
    <t>Menjaga Adat, Menguatkan Agama Katoba dan Identitas Muslim Muna</t>
  </si>
  <si>
    <t>Asliah Zainal</t>
  </si>
  <si>
    <t>Yuni Kurniatin</t>
  </si>
  <si>
    <t>Ds.Kedungwungu Rt.002/Rw.001
Todanan
Kabupaten Blora
Jawa Tengah
58256</t>
  </si>
  <si>
    <t>Djuli Pontjowijono</t>
  </si>
  <si>
    <t>Perum Jenggolo Indah 2 Blok E No.15 DS. Gogorante
  Kecamatan: Ngasem
  Kabupaten: Kediri 64182
  Provinsi: Jawa Timur</t>
  </si>
  <si>
    <t>Fisika Radiasi dan Aplikasi dalam Kehidupan</t>
  </si>
  <si>
    <t>Linda Sekar Utami dan Dewi Ropita</t>
  </si>
  <si>
    <t>Dewi Anggraeni</t>
  </si>
  <si>
    <t>Plosodoyong RT.003/009 · Ngalang Di Yogyakarta Kab. Gunung Kidul Gedang Sari Indonesia Kab. Gunung Kidu</t>
  </si>
  <si>
    <t>Rahasia Dibalik Wanita Bercadar</t>
  </si>
  <si>
    <t>Rizal Munadi</t>
  </si>
  <si>
    <t>Kurnia Dianandari</t>
  </si>
  <si>
    <t>Jalan RTM Gang Bakti Nomor 16 RT 12 RW 10 Kel. Tugu
  Kecamatan : Cimanggis
  Kabupaten/Kota : Depok 16451
  Provinsi: Jawa Barat</t>
  </si>
  <si>
    <t>hamidah</t>
  </si>
  <si>
    <t>Jl. P. Drajat No. 40 A
  Kecamatan: Kesambi
  Kabupaten/Kota: Kota Cirebon
  Provinsi: Jawa Barat</t>
  </si>
  <si>
    <t>Buku Ajar Kebidanan Asuhan Kehamilan Holistik</t>
  </si>
  <si>
    <t>Anis Setyowati</t>
  </si>
  <si>
    <t>Buku Pegangan Petugas Kua: Sebagai Konselor 1000 HPK Dalam Mengedukasi Calon Pengantin Menuju Bengkulu Bebas Stunting</t>
  </si>
  <si>
    <t>Betty Yosephin, dkk</t>
  </si>
  <si>
    <t>Buku Ajar Konsep Kebidanan</t>
  </si>
  <si>
    <t>Nurrobikha, S.S.T. &amp; Asmawati Burhan, S.S.T., S.A.P</t>
  </si>
  <si>
    <t>Sudi Hermanto</t>
  </si>
  <si>
    <t>gedung rusunawa IAI AL AZIS , Al zaytun, ds. Mekarjaya, kec. Gantar, Indramayu, Jawa barat .</t>
  </si>
  <si>
    <t>AgoesThony</t>
  </si>
  <si>
    <t xml:space="preserve">jln seruni perum villa mitra bawah no 18 Kel bukit lama, kec Ilir timur 1, kota Palembang, prop sumatera selatan, </t>
  </si>
  <si>
    <t>I Made Sucipta</t>
  </si>
  <si>
    <t xml:space="preserve"> Br Merta. Desa Awan
  Kecamatan: Kintamani
  Kabupaten/Kota: Bangli
  Provinsi: Bali</t>
  </si>
  <si>
    <t>Era Revolusi Industri 4.0 dan Paradigma Baru Kepala Sekolah</t>
  </si>
  <si>
    <t>A.A. Ketut Jelantik</t>
  </si>
  <si>
    <t>bapak sigit</t>
  </si>
  <si>
    <t>Konsep Dasar Sistem Informasi Manajemen</t>
  </si>
  <si>
    <t>Setyorini, S.Kom, M.M.</t>
  </si>
  <si>
    <t>Buku Ajar Keperawatan Kesehatan Komunitas</t>
  </si>
  <si>
    <t>Prima Dewi Kusumawati</t>
  </si>
  <si>
    <t>Jl. Braga, No. 115,  Kel. Braga, Kec. Sumur Bandung, Kota Bandung, 40115</t>
  </si>
  <si>
    <t>Pengantar Dasar-Dasar Kepemimpinan</t>
  </si>
  <si>
    <t>H. Kabir, M.Si.</t>
  </si>
  <si>
    <t>Jl. Braga, No. 115,  Kel. Braga, Kec. Sumur Bandung, Kota Bandung, 40116</t>
  </si>
  <si>
    <t>Jl. Braga, No. 115,  Kel. Braga, Kec. Sumur Bandung, Kota Bandung, 40117</t>
  </si>
  <si>
    <t>Caring Dan Comfort Perawat Dalam Kegawatdaruratan</t>
  </si>
  <si>
    <t>Insana Maria, dkk</t>
  </si>
  <si>
    <t>Jl. Braga, No. 115,  Kel. Braga, Kec. Sumur Bandung, Kota Bandung, 40118</t>
  </si>
  <si>
    <t>Justitia</t>
  </si>
  <si>
    <t>Kantor Notaris Justitia Ferryanto SH SPn, Baloi Permai, Kec. Batam Kota, Kota Batam, Kepulauan Riau, 29444 [Tokopedia Note: ruko Hup Seng Development Blok C No. 8]
Batam Kota, Kota Batam, 29444</t>
  </si>
  <si>
    <t>Kenotariatan dalam Hukum Indonesia dan Hukum/Konvensi Internasional</t>
  </si>
  <si>
    <t>Bambang Hartoyo</t>
  </si>
  <si>
    <t>Ayudia Paramitha</t>
  </si>
  <si>
    <t>Jl. Kp. Jogoyudan, RT 32 RW 08 Kec. Jetis, Kota Yogyakarta, Jogja [Tokopedia Note: kampung jogoyudan, Jetis 3/554, Kota Yogyakarta, 55232]
Jetis, Kota Yogyakarta, 55232</t>
  </si>
  <si>
    <t>Sigit Arif Bowo</t>
  </si>
  <si>
    <t>Wonorejo RT 11, Wonorejo
  Kecamatan: Kedawung
  Kabupaten/Kota: Sragen
  Provinsi: Jawa  Tengah</t>
  </si>
  <si>
    <t>Dwis Irma Wijayanti</t>
  </si>
  <si>
    <t xml:space="preserve">Desa Mangunlegi RT 01 RW 02 depan Mushola, KAB. PATI, BATANGAN, JAWA TENGAH, ID, 59186
</t>
  </si>
  <si>
    <t>Pengentasan Kemiskinan: Program Keluarga Harapan dan Sociopreneur</t>
  </si>
  <si>
    <t>Yusriadi, dkk</t>
  </si>
  <si>
    <t>Akademi kebidanan darmais Jl.belibis no 1 perumahan sopo indah sigulang kecamatn padang sidimpuan tenggara, KAB. TAPANULI SELATAN, SIPIROK, SUMATERA UTARA, ID, 22742</t>
  </si>
  <si>
    <t>Rosmeri</t>
  </si>
  <si>
    <t>Jln ilham gang hidayah 1 rumah btn no 3, KOTA PONTIANAK, PONTIANAK SELATAN, KALIMANTAN BARAT, ID, 78117</t>
  </si>
  <si>
    <t>Bella Silvia</t>
  </si>
  <si>
    <t>kp.Babakan Leuwiliang No.56 RT 002/RW006 Desa Leuwiliang Kecamatan Leuwiliang Kab. Bogor, KAB. BOGOR, LEUWILIANG, JAWA BARAT, ID, 16640</t>
  </si>
  <si>
    <t>kp.Babakan Leuwiliang No.56 RT 002/RW006 Desa Leuwiliang Kecamatan Leuwiliang Kab. Bogor, KAB. BOGOR, LEUWILIANG, JAWA BARAT, ID, 16641</t>
  </si>
  <si>
    <t>Whardana Halking</t>
  </si>
  <si>
    <t>Jl. Menteng Madya, Kec. Cakung, Kota Jakarta Timur, Daerah Khusus Ibukota Jakarta [Tokopedia Note: perum metland blok D2 no.1 rumah putih pagar hitam depan jem]
Cakung, Kota Administrasi Jakarta Timur, 13960
DKI Jakarta</t>
  </si>
  <si>
    <t>Novaria Lailatul Jannah</t>
  </si>
  <si>
    <t>ds. Anggaswangi, RT3 RW2, jln. Putra bangsa no 479, sebelah gang rukem pagar putih.
  Kecamatan: Sukodono
  Kabupaten/Kota: Sidoarjo
  Provinsi: Jawa Timur</t>
  </si>
  <si>
    <t>Nofrizal</t>
  </si>
  <si>
    <t xml:space="preserve">Perumahan Bekasi Griya Asri 2 Blok D1 No 33 Rt 05 Rw 49, Sumber Jaya, Tambun Selatan, Kabupaten Bekasi - Jawa Barat
</t>
  </si>
  <si>
    <t>Penetapan Asas-Asas Hukum Umum dalam Penggunaan Tanah untuk Sebesar-besar Kemakmuran Rakyat (Suatu Kajian Filsafati dan Teoretik tentang Pengaturan dan Penggunaan Tanah di Indonesia)</t>
  </si>
  <si>
    <t>Ronald Z. Titahelu</t>
  </si>
  <si>
    <t>Ucu Ina</t>
  </si>
  <si>
    <t>Jln. Terusan Jakarta No. 212
  Kecamatan : Antapani  
  Kabupaten/Kota : Bandung
  Provinsi : jawa barat</t>
  </si>
  <si>
    <t>Model Pembelajaran Mastery Learning Upaya Peningkatan Keaktifan dan Hasil Belajar Siswa</t>
  </si>
  <si>
    <t>Endang Sri Wahyuningsih</t>
  </si>
  <si>
    <t>Angga Nugraha Prasetio</t>
  </si>
  <si>
    <t>l raden gunawan 2 Perumahan taman palem permai 2 Blok C10 Rajabasa pramuka
 Kabupaten/Kota: kota bandar Lampung
 Provinsi: Lampung</t>
  </si>
  <si>
    <t>Tata Kelola dan Dinamika Penanganan Pelanggaran Pemilihan Kepala Daerah</t>
  </si>
  <si>
    <t>Yahnu Wiguno Sanyoto</t>
  </si>
  <si>
    <t>Rahmah Dwi Nopryana</t>
  </si>
  <si>
    <t>Buku Ajar Human Relations</t>
  </si>
  <si>
    <t>Sa’diyah El Adawiyah</t>
  </si>
  <si>
    <t>Taufik</t>
  </si>
  <si>
    <t>Komplek Bumi Panyileukan 
Jalan Raya Panyileukan No 20
RT 01/02 Kel Cipadung Kidul, Kec Panyileukan kota bandung
(Depan sd al biruni)</t>
  </si>
  <si>
    <t>atria</t>
  </si>
  <si>
    <t>JL.AHMAD YANI JL.SEPAKAT I BLOK F (SEBELAH ASRAMA KAB.LANDAK) NO 12 RUMAH TEMBOK ORANYE UJUNG - RT001/RW007-KELURAHAN BANSIR LAUT-KECAMATAN PONTIANAK TENGGARA-KOTA PONTIANAK
Pontianak Tenggara, Kota Pontianak, 78124</t>
  </si>
  <si>
    <t>Manajemen Belanja Daerah dalam Konsep dan Analisis</t>
  </si>
  <si>
    <t>Wa Ariadi</t>
  </si>
  <si>
    <t>JL.AHMAD YANI JL.SEPAKAT I BLOK F (SEBELAH ASRAMA KAB.LANDAK) NO 12 RUMAH TEMBOK ORANYE UJUNG - RT001/RW007-KELURAHAN BANSIR LAUT-KECAMATAN PONTIANAK TENGGARA-KOTA PONTIANAK
Pontianak Tenggara, Kota Pontianak, 78125</t>
  </si>
  <si>
    <t>JL.AHMAD YANI JL.SEPAKAT I BLOK F (SEBELAH ASRAMA KAB.LANDAK) NO 12 RUMAH TEMBOK ORANYE UJUNG - RT001/RW007-KELURAHAN BANSIR LAUT-KECAMATAN PONTIANAK TENGGARA-KOTA PONTIANAK
Pontianak Tenggara, Kota Pontianak, 78126</t>
  </si>
  <si>
    <t>Implementasi Standar Akuntansi Keuangan di UMKM</t>
  </si>
  <si>
    <t>Eliada Herwiyanti, Permata Ulfah, &amp; Umi Pratiwi</t>
  </si>
  <si>
    <t>JL.AHMAD YANI JL.SEPAKAT I BLOK F (SEBELAH ASRAMA KAB.LANDAK) NO 12 RUMAH TEMBOK ORANYE UJUNG - RT001/RW007-KELURAHAN BANSIR LAUT-KECAMATAN PONTIANAK TENGGARA-KOTA PONTIANAK
Pontianak Tenggara, Kota Pontianak, 78127</t>
  </si>
  <si>
    <t>Kualitas Laporan Keuangan dilengkapi Dengan Hasil Penelitian Pada Lembaga Pemerintahan</t>
  </si>
  <si>
    <t>setyadi</t>
  </si>
  <si>
    <t>jalan raya cikalang-cileunyi no 305.kp cikalang rt3 rw5 desa cimekar Jawa Barat Kab. Bandung Cileunyi Indonesia Kab. Bandung</t>
  </si>
  <si>
    <t>ar rauf</t>
  </si>
  <si>
    <t>Jalan Bawah Duku Mas, RT.2/RW.16, Bungo Pasang, Koto Tangah (No 04), KOTA PADANG, KOTO TANGAH, SUMATERA BARAT, ID, 25171</t>
  </si>
  <si>
    <t>ronaldo</t>
  </si>
  <si>
    <t>Padang Griya IX No.62b, Padangsambian, KOTA DENPASAR, DENPASAR BARAT, BALI, ID, 8011</t>
  </si>
  <si>
    <t>Helmika</t>
  </si>
  <si>
    <t>Toko Barus, Jalan Pembangunan No.79, Padang Bulan, Medan Baru (Jl.pembangunan dokter mansyur usu no. 79 padang bulan (toko barus)), KOTA MEDAN, MEDAN BARU, SUMATERA UTARA, ID, 20155</t>
  </si>
  <si>
    <t xml:space="preserve">Bara Adrian 
</t>
  </si>
  <si>
    <t>Komplek Cinambo indah RT: 02 RW: 05 NO: 72
Cinambo, Kota Bandung, 40294
Jawa Barat</t>
  </si>
  <si>
    <t>Psikologi Pendidikan Karakter Konsep, Metode Intervensi dan Pengukurannya (dilengkapi Cara Pembuatan Skala Pengukuran, Rancangan Penelitian dan Modul Aplikasinya)</t>
  </si>
  <si>
    <t>Noviana Dewi &amp; Nanik Prihartanti</t>
  </si>
  <si>
    <t xml:space="preserve">M. Thoha Abdurrohman
</t>
  </si>
  <si>
    <t>Kp. Parung Poncol RT 005 RW 002 No. 50 (Rumah Bpk. Mukhtar) 
Kelurahan : Duren Mekar
Kecamatan: Bojongsari
Kota: Depok
Provinsi: Jawa Barat
Kode Pos : 16518</t>
  </si>
  <si>
    <t>Islam &amp; Sains: Paradigma Integrasi</t>
  </si>
  <si>
    <t>Hudan Kinan Pranajaya</t>
  </si>
  <si>
    <t xml:space="preserve">Jalan Halimun gang eddy raya 1 no.23 Kel. Guntur
  Kecamatan: Setiabudi 
  Kabupaten/Kota: Jakarta Selatan
  Provinsi: DKI Jakarta </t>
  </si>
  <si>
    <t>Daya Tarik Kampung Baduy Sebagai Destinasi Wisata Budaya</t>
  </si>
  <si>
    <t>Robby Binarwan</t>
  </si>
  <si>
    <t>Hellen Sindim</t>
  </si>
  <si>
    <t>Jln Paseban Raya, No 13
  Kecamatan: Senen
  Kabupaten/Kota: Jakarta Pusat
  Provinsi: DKI jakarta</t>
  </si>
  <si>
    <t>Praktik Kolaborasi Interprofesional Kesehatan yang Efektif di Rumah Sakit</t>
  </si>
  <si>
    <t>Sulistyaningsih</t>
  </si>
  <si>
    <t>evy alvionita yurna</t>
  </si>
  <si>
    <t xml:space="preserve">Jl. A Yani KM 8 Komp. Persadamas Blok Bumi Laras Selatan 1 No 9
Kertak Hanyar
Kabupaten Banjar
Kalimantan Selatan
70654
</t>
  </si>
  <si>
    <t>Eva Amalia</t>
  </si>
  <si>
    <t>Politik Aviasi dan Tantangan Negara Kepulauan</t>
  </si>
  <si>
    <t>Syarif Iqbal</t>
  </si>
  <si>
    <t>Muthia Ferliani Balqis</t>
  </si>
  <si>
    <t xml:space="preserve">Jalan jamin ginting gang karya no 37 (mamak udin) kec, medan baru. Kel, darat. Medan. SUMUT
</t>
  </si>
  <si>
    <t>Rizqa Zidnia</t>
  </si>
  <si>
    <t>Jl. KS Tubun III Gang O Rt 05 Rw 07 No 27 B Slipi 11410 Jakarta Barat</t>
  </si>
  <si>
    <t>Muharram Nurdin</t>
  </si>
  <si>
    <t>Jln. Tanjung Api No 1 Palu
Palu Timur
Kota Palu
Sulawesi Tengah</t>
  </si>
  <si>
    <t>M.Syahrudin</t>
  </si>
  <si>
    <t>Komp.Pesona Cimekar Blok B No.7 Jln. Sukahaji Cimekar Desa Cimekar Cileunyi, KAB. BANDUNG, CILEUNYI, JAWA BARAT, ID, 40623</t>
  </si>
  <si>
    <t>Akuntansi Manajemen</t>
  </si>
  <si>
    <t>Zaenal Aripin dan M. Rizqi Padma Negara</t>
  </si>
  <si>
    <t>Komp.Pesona Cimekar Blok B No.7 Jln. Sukahaji Cimekar Desa Cimekar Cileunyi, KAB. BANDUNG, CILEUNYI, JAWA BARAT, ID, 40624</t>
  </si>
  <si>
    <t>Perilaku Bisnis Etika Bisnis dan Perilaku Konsumen</t>
  </si>
  <si>
    <t>Valentinday Ronsumbre</t>
  </si>
  <si>
    <t>Telang indah gang 3 pop ice , No. Rumah 696 (Kamar 14 lantai 1), KAB. BANGKALAN, KAMAL, JAWA TIMUR, ID, 69162</t>
  </si>
  <si>
    <t>Tanah, Lingkungan dan Pertanian Berkelanjutan</t>
  </si>
  <si>
    <t>Tejoyuwono Notohadiprawiro</t>
  </si>
  <si>
    <t>Anisa rahmawati</t>
  </si>
  <si>
    <t>kp.babakan rt004/003 desa jasinga kecamatan jasinga, KAB. BOGOR, JASINGA, JAWA BARAT, ID, 16670</t>
  </si>
  <si>
    <t>Pengantar Penelitian Kuantitatif</t>
  </si>
  <si>
    <t>Rita Sari</t>
  </si>
  <si>
    <t>kp.babakan rt004/003 desa jasinga kecamatan jasinga, KAB. BOGOR, JASINGA, JAWA BARAT, ID, 16671</t>
  </si>
  <si>
    <t>kp.babakan rt004/003 desa jasinga kecamatan jasinga, KAB. BOGOR, JASINGA, JAWA BARAT, ID, 16672</t>
  </si>
  <si>
    <t>Manajemen Sumber Daya Manusia Strategi Pemberdayaan UMKM</t>
  </si>
  <si>
    <t>Kiki Farida Ferine dan Hendri Sembiring</t>
  </si>
  <si>
    <t>Ria Pratiwi</t>
  </si>
  <si>
    <t xml:space="preserve">Jl. Kp. Leuweung Kolot RT 02 RW 01 No. 4 Desa GiriMulya, KAB. BOGOR, CIBUNGBULANG, JAWA BARAT, ID, 16630
</t>
  </si>
  <si>
    <t>Nurida Ekarin</t>
  </si>
  <si>
    <t>Universitas Darma Persada
Program Studi Bahasa dan Kebudayaan Jepang Universitas Darma Persada Jalan Taman Malaka Selatan
Duren Sawit
Kota Jakarta Timur
DKI Jakarta</t>
  </si>
  <si>
    <t>Pengantar Penerjemahan</t>
  </si>
  <si>
    <t>Aris Wuryantoro</t>
  </si>
  <si>
    <t>Bella Pertiwi</t>
  </si>
  <si>
    <t>Jl panda timur 2 No.1
Pedurungan
Kota Semarang
Jawa Tenga</t>
  </si>
  <si>
    <t>fina</t>
  </si>
  <si>
    <t>KP bulak no 29 B rt 3/7, Kel Klender
  Kecamatan: Duren sawit
  Kabupaten/Kota: Jakarta timur
  Provinsi: DKI Jakarta</t>
  </si>
  <si>
    <t>Mifta Rahman</t>
  </si>
  <si>
    <t>Jalan Pertani Gg Rahul No 16
  Kecamatan: Pontianak Kota
  Kabupaten/Kota: Kota Pontianak
  Provinsi: Kalimantan Barat</t>
  </si>
  <si>
    <t>sisca</t>
  </si>
  <si>
    <t xml:space="preserve"> Graha Family Y-28, Emerald place . WIYUNG, WIYUNG, SURABAYA, JATIM 60228.</t>
  </si>
  <si>
    <t>Rahmawati</t>
  </si>
  <si>
    <t>Jl.Jend A.H Nasution No.G 37 ( Prodi S1 Kesehatan Masyarakat, Universitas Mandala Waluya)
  Kecamatan: Kambu
  Kabupaten/Kota: kendari
  Provinsi: Sulawesi Tenggara</t>
  </si>
  <si>
    <t>Diyana (kontrakan Haji Masduki)</t>
  </si>
  <si>
    <t>Jln. Tawang Mangu Km 11 RT 012 RW 03 Kelurahan Kedaung Kaliangke, Kecamatan Cengkareng, Kota Jakarta Barat,  DKI Jakarta, Kode pos 11710</t>
  </si>
  <si>
    <t>Sensei, Assalamualaikum Desu!</t>
  </si>
  <si>
    <t>Diyana Millah Islami</t>
  </si>
  <si>
    <t>ALIF LAYLA SYA'BANI</t>
  </si>
  <si>
    <t>Karanggayam Sitimulyo Piyungan Pondok Pesantren Islamic Center, Jalan Wonosari No.10, Sitimulyo, Piyungan, KAB. BANTUL, PIYUNGAN, DI YOGYAKARTA, ID, 55792</t>
  </si>
  <si>
    <t>Pencak Silat</t>
  </si>
  <si>
    <t>Juli Candra</t>
  </si>
  <si>
    <t>Nining Ratnaningsih</t>
  </si>
  <si>
    <t>Rs. Paru dr. HA ROTINSULU Bandung Jl. Bukit Jarian No. 40 Bandung (Bagian Keuangan), KOTA BANDUNG, CIDADAP, JAWA BARAT, ID, 40141</t>
  </si>
  <si>
    <t>Rs. Paru dr. HA ROTINSULU Bandung Jl. Bukit Jarian No. 40 Bandung (Bagian Keuangan), KOTA BANDUNG, CIDADAP, JAWA BARAT, ID, 40142</t>
  </si>
  <si>
    <t>Dominikus Niko Dasilva</t>
  </si>
  <si>
    <t>Belakang gereja kaiserea BTN kolhua ( blok i no 82), KOTA KUPANG, MAULAFA, NUSA TENGGARA TIMUR (NTT), ID, 85141</t>
  </si>
  <si>
    <t>Pajak Daerah dalam Pendapatan Asli Daerah</t>
  </si>
  <si>
    <t>Phaureula Artha Wulandari dan Emy Iryanie</t>
  </si>
  <si>
    <t>Anisa Santi</t>
  </si>
  <si>
    <t>Kp. Cisalak rt 01/14 desa cibunian kec. Pamijahan kab. Bogor, KAB. BOGOR, PAMIJAHAN, JAWA BARAT, ID, 16640</t>
  </si>
  <si>
    <t>Trisa Berliana Putri</t>
  </si>
  <si>
    <t>Perumahan taman rahayu regency 1 Blok B 17 No.43 Rt 011/008. Kel Ciketing udik, Kec Bantargebang. Bekasi
Bantar Gebang, Kota Bekasi, 17153
Jawa Barat</t>
  </si>
  <si>
    <t>Bakteriologi: Mikroorganisme Penyebab Infeksi</t>
  </si>
  <si>
    <t>Evy Ratnasari E</t>
  </si>
  <si>
    <t>listiani</t>
  </si>
  <si>
    <t>jl cimanuk 497 tarogong kidul garut 01/18 Jawa Barat Kab. Garut Tarogong Kidul Indonesia Kab. Garut</t>
  </si>
  <si>
    <t>Buku Perkembangan Ilmu Pengetahuan &amp; Teknologi dalam Perspektif Islam</t>
  </si>
  <si>
    <t>Agus Pramono</t>
  </si>
  <si>
    <t>hammiputri</t>
  </si>
  <si>
    <t xml:space="preserve"> jl.abdurrahman shaleh no.25 ds.asem (tk.cahaya hamm) rt.10 rw.04 blok wage · Asem Jawa Barat Kab. Cirebon Lemahabang Indonesia Kab. Cirebon</t>
  </si>
  <si>
    <t>Muhammad Sholeh</t>
  </si>
  <si>
    <t>Perum Graha Prima Sejahtera Blok J 14
Kasihan
Kabupaten Bantul
Daerah Istimewa Yogyakarta
55183</t>
  </si>
  <si>
    <t>Teti Nur Fauziani</t>
  </si>
  <si>
    <t>PT Hadiwaluyono / konsultan.co.id, Wisma Staco Lantai 7, Jln. Casablanca Kav. 18
Tebet, Kota Administrasi Jakarta Selatan, 12960</t>
  </si>
  <si>
    <t>Manajemen Entrepreneurship</t>
  </si>
  <si>
    <t>PT Hadiwaluyono / konsultan.co.id, Wisma Staco Lantai 7, Jln. Casablanca Kav. 18
Tebet, Kota Administrasi Jakarta Selatan, 12961</t>
  </si>
  <si>
    <t>Praktikum Manajemen Biaya</t>
  </si>
  <si>
    <t>PT Hadiwaluyono / konsultan.co.id, Wisma Staco Lantai 7, Jln. Casablanca Kav. 18
Tebet, Kota Administrasi Jakarta Selatan, 12962</t>
  </si>
  <si>
    <t>Good Corporate Governance Manajemen Laba dan Kinerja Keuangan</t>
  </si>
  <si>
    <t>Sochib</t>
  </si>
  <si>
    <t>PT Hadiwaluyono / konsultan.co.id, Wisma Staco Lantai 7, Jln. Casablanca Kav. 18
Tebet, Kota Administrasi Jakarta Selatan, 12963</t>
  </si>
  <si>
    <t>Dasar-Dasar Manajemen Bisnis</t>
  </si>
  <si>
    <t>Karyoto</t>
  </si>
  <si>
    <t>PT Hadiwaluyono / konsultan.co.id, Wisma Staco Lantai 7, Jln. Casablanca Kav. 18
Tebet, Kota Administrasi Jakarta Selatan, 12964</t>
  </si>
  <si>
    <t>Wiji Lestari</t>
  </si>
  <si>
    <t>dsn.Umbulrejo, desa purorejo,kecamatan Tempursari,kabupaten.Lumajang 6737</t>
  </si>
  <si>
    <t>SISTEM INFORMASI GEOGRAFI DAN PENGINDRAAN JAUH (Studi Kasus Analisis Keruangan Menggunakan ArcGIS dan Envi)</t>
  </si>
  <si>
    <t>Dede Prabowo Wiguna, S.Pd., M.Si.</t>
  </si>
  <si>
    <t>Siti Zulaikha</t>
  </si>
  <si>
    <t xml:space="preserve"> jl. Menanggal II gang anggur no 8
  Kecamatan: Gayungan
  Kabupaten/Kota: Surabaya
  Provinsi: Jawa timur</t>
  </si>
  <si>
    <t>Sentuhlah Mereka Tepat di Hatinya</t>
  </si>
  <si>
    <t>sukron</t>
  </si>
  <si>
    <t>Asrama Masjid Al-Hikmah, Jl. Haryono I, Komple. PUPR, Pondok Pinang, Kebayoran Lama, Jakarta Selatan, DKI Jakarta</t>
  </si>
  <si>
    <t>Kompetensi Pendidik dalam Al-Qur’an</t>
  </si>
  <si>
    <t>Arsyis Musyahadah, M.Pd.</t>
  </si>
  <si>
    <t>Kompetensi Pedagogik Dan Profesional Guru PAI Di Perguruan Muhammadiyah Wara Ambon Perspektif Undang-Undang Ri Nomor 14 Tahun 2005 Tentang Guru Dan Dosen</t>
  </si>
  <si>
    <t>Muhajir Abd. Rahman</t>
  </si>
  <si>
    <t>Pentingnya Kompetensi Guru dalam Kegiatan Pembelajaran dalam Perspektif Islam</t>
  </si>
  <si>
    <t>Rofa’ah</t>
  </si>
  <si>
    <t>4 Kompetensi Guru Profesional</t>
  </si>
  <si>
    <t>Abdul Saidir Amir</t>
  </si>
  <si>
    <t>Julian Triansyah</t>
  </si>
  <si>
    <t>Jl. Tengku Munira, Lorong Lamara Regency, Desa Lam Ara, Kecamatan Banda Raya, Kota Banda Aceh
Banda Raya
Kota Banda Aceh
Daerah Istimewa Aceh
23238</t>
  </si>
  <si>
    <t>NURHAYATI</t>
  </si>
  <si>
    <t>PERPUSTAKAAN UNRI
KAMPUS BINA WIDYA KM.12,5 SIMPANG BARU
Tampan
Kota Pekanbaru
Riau
28293</t>
  </si>
  <si>
    <t>Ari Susanto</t>
  </si>
  <si>
    <t>Perpustakaan UMNU Kebumen
Jl. Kusuma No. 75 Kebumen 54316</t>
  </si>
  <si>
    <t>Perpustakaan UMNU Kebumen
Jl. Kusuma No. 75 Kebumen 54317</t>
  </si>
  <si>
    <t>Dwi Maryanti</t>
  </si>
  <si>
    <t>Muliani,</t>
  </si>
  <si>
    <t>MA Dakwah Islamiyah Putri kediri
Jln taruna no 5 kediri selatan kec kediri kab lombok barat</t>
  </si>
  <si>
    <t>Egne Novanda</t>
  </si>
  <si>
    <t>Cirendeu Park 2 Blok C5Jalan poncol Raya, Ciputat timur Kota Tangerang Selatan 15419
Ciputat Timur, Kota Tangerang Selatan, 15419
Banten</t>
  </si>
  <si>
    <t>Kumpulan Puisi Sepucuk Surat Cinta dan Secangkir Kopi</t>
  </si>
  <si>
    <t>Mozza</t>
  </si>
  <si>
    <t>Atik (Bunda Daffa)</t>
  </si>
  <si>
    <t>Jl. Pusaka 30 Gg. Batu Merah 3 No. 29 Rt. 011 Rw. 005
Kelurahan Batu Ampar - Kecamatan Kramat Jati
Jakarta Timur 13520
Kramat Jati, Kota Administrasi Jakarta Timur, 13520
DKI Jakarta</t>
  </si>
  <si>
    <t>AHMAD ROZAQI</t>
  </si>
  <si>
    <t>DSN.BALAK, RT 03 RW 01
  Kecamatan: PAKIS
  Kabupaten/Kota: KAB.MAGELANG
  Provinsi:JAWA TENGAH</t>
  </si>
  <si>
    <t>Perumahan Bukit Asri 2 Blok Q-4 (rumah belakang mushola nurul huda), Desa Lerep
  Kecamatan: Ungaran Barat
  Kabupaten/Kota: Kabupaten Semarang
  Provinsi: Jawa Tengah</t>
  </si>
  <si>
    <t>Sulhah</t>
  </si>
  <si>
    <t>Perumahan Zarindah Permai blok B 27 Samata
  Kecamatan: Somba Opu
  Kabupaten/Kota:Gowa
  Provinsi: Sulawesi Selatan</t>
  </si>
  <si>
    <t>Cari Gara-Gara Strategi Menulis Argumentasi Edisi Revisi</t>
  </si>
  <si>
    <t>Umar Thamrin</t>
  </si>
  <si>
    <t>PERPUSTAKAAN UNRI
KAMPUS BINA WIDYA KM.12,5 SIMPANG BARU
Tampan
Kota Pekanbaru
Riau</t>
  </si>
  <si>
    <t>Dasar-Dasar Menulis Karya Tulis Ilmiah</t>
  </si>
  <si>
    <t>Adhan Efendi, … [et al.]</t>
  </si>
  <si>
    <t>roy</t>
  </si>
  <si>
    <t>Nilai-Nilai Pendidikan Islam (Integrasi Konsep Aqidah, Akhlak, Ibadah dan Sosial dalam Alquran)</t>
  </si>
  <si>
    <t>Rustam Ependi</t>
  </si>
  <si>
    <t>Niko Agustino</t>
  </si>
  <si>
    <t>Jl Sutan Syahrir no 32, KOTA PROBOLINGGO, KANIGARAN, JAWA TIMUR, ID, 67211</t>
  </si>
  <si>
    <t>Tyas Mutiara S</t>
  </si>
  <si>
    <t>Pajangan , Kepanjen ,Delanggu RT 03 RW 03, KAB. KLATEN, DELANGGU, JAWA TENGAH, ID, 5747</t>
  </si>
  <si>
    <t>I'anah Fitriani</t>
  </si>
  <si>
    <t>Jalan Kepatihan no 28 rt 04 rw 10 Kanoman Utara, KOTA CIREBON, PEKALIPAN, JAWA BARAT, ID, 45117</t>
  </si>
  <si>
    <t>Jalan Kepatihan no 28 rt 04 rw 10 Kanoman Utara, KOTA CIREBON, PEKALIPAN, JAWA BARAT, ID, 45118</t>
  </si>
  <si>
    <t>Hafidh Firdaus</t>
  </si>
  <si>
    <t>Desa Cinangka Rt/Rw 01/01 No. 28, KAB. PURWAKARTA, BUNGURSARI, JAWA BARAT, ID, 41182</t>
  </si>
  <si>
    <t>Putri Sahara Riyanto (ara</t>
  </si>
  <si>
    <t>Jl.pahlawan no 44 RT 01 RW 03 GANG SMP PGRI CITEUREUP, KAB. BOGOR, CITEUREUP, JAWA BARAT, ID, 16810</t>
  </si>
  <si>
    <t>moh arianto</t>
  </si>
  <si>
    <t>deres dusun deres · Kadipiro Jawa Tengah Kab. Karanganyar Jumapolo Indonesia Kab. Karanganyar</t>
  </si>
  <si>
    <t>Modul Bisnis Kuliner Berkelanjutan (Sustainable Culinary Business)</t>
  </si>
  <si>
    <t>Jun Surjanti, dkk</t>
  </si>
  <si>
    <t>Muhammad Laksano</t>
  </si>
  <si>
    <t>Villa Dago Tol Blok B2/08, Serua, Ciputat
Ciputat
Kota Tangerang Selatan
Banten</t>
  </si>
  <si>
    <t>Antologi Karya Perpajakan Sebuah Persembahan Mahasiswa Jurusan Pajak</t>
  </si>
  <si>
    <t>Muhammad Fadhil Kusuma Wardana, dkk</t>
  </si>
  <si>
    <t>nurul hidayanti</t>
  </si>
  <si>
    <t>tanah priuk,jl.negara gg.bersama 3 no.70
  Kecamatan: tanah grogot
  Kabupaten/Kota: paser
  Provinsi: kalimantan timur</t>
  </si>
  <si>
    <t>Distress Diabetes Kajian terhadap Berbagai Faktor yang Mempengaruhi Distress pada Pasien Diabetes</t>
  </si>
  <si>
    <t>Diyah Candra Anita … [et al.]</t>
  </si>
  <si>
    <t>Fadila</t>
  </si>
  <si>
    <t>MARIA TEBAI</t>
  </si>
  <si>
    <t>jl Ayapo
  Kecamatan: Heram
  Kabupaten/Kota: Jayapura
  Provinsi: Papua</t>
  </si>
  <si>
    <t>Reni Oktaviani</t>
  </si>
  <si>
    <t>Jl.Transmigrasi, Rt.06, Rw.03, Desa.Sukadamai
  Kecamatan: Mantewe
  Kabupaten/Kota: Tanah Bumbu
  Provinsi: Kalsel0</t>
  </si>
  <si>
    <t>stefiany agung p</t>
  </si>
  <si>
    <t>setro baru 3 no 77 
  Kecamatan: tambaksari
  Kabupaten/Kota: surabaya
  Provinsi: jawa timur</t>
  </si>
  <si>
    <t xml:space="preserve">Financial Management 
</t>
  </si>
  <si>
    <t>Hastuti, S.E., M.M.</t>
  </si>
  <si>
    <t>Azky Abdullah</t>
  </si>
  <si>
    <t>Jl. Raya Ubrug Kp.Cikuya kidul RT02/08 
Kecamatan: Jatiluhur
Kabupaten/Kota: Purwakarta
Provinsi: Jawa Barat</t>
  </si>
  <si>
    <t>Modul Praktikum Robotika</t>
  </si>
  <si>
    <t>Eko Aris Budi Cahyono dan Agus Siswoyo</t>
  </si>
  <si>
    <t>PEGI ADHA</t>
  </si>
  <si>
    <t>Tata Kelola Perguruan Tinggi Berbasis Akreditasi</t>
  </si>
  <si>
    <t>La Ode Almana, dkk</t>
  </si>
  <si>
    <t>Nurul Fajri</t>
  </si>
  <si>
    <t>Perumahan Villa Bekasi Indah 2, Blok K2/28 TAMBUN-BEKASI
Tambun Selatan
Kabupaten Bekasi
Jawa Barat
Alamat em</t>
  </si>
  <si>
    <t>Pengetahuan Kapal Laut dan Muatannya</t>
  </si>
  <si>
    <t>Capt. E. Kartini, Mm., M.Mar</t>
  </si>
  <si>
    <t>Brief History Pemandu Kapal di Indonesia: Kajian Historis Dengan Analisis Normatif</t>
  </si>
  <si>
    <t>Rizky Ahmed Darmawan</t>
  </si>
  <si>
    <t>Kp. Cicadas Rt/Rw 003/006 Desa/kelurahan Cicadas/Nomer Rumah 246, KAB. BOGOR, GUNUNG PUTRI, JAWA BARAT, ID, 16964</t>
  </si>
  <si>
    <t>DUDUM DUMYA</t>
  </si>
  <si>
    <t>Kp.CISARUA RT 02 RW 01, Ds.CANDI, KAB. LEBAK, CURUGBITUNG, BANTEN, ID, 42381</t>
  </si>
  <si>
    <t>Kp.CISARUA RT 02 RW 01, Ds.CANDI, KAB. LEBAK, CURUGBITUNG, BANTEN, ID, 42382</t>
  </si>
  <si>
    <t>Pengantar Metode Penelitian</t>
  </si>
  <si>
    <t>Aan Siti Djuharoh dan Engkus Kuswara</t>
  </si>
  <si>
    <t>Nurul Chotimah</t>
  </si>
  <si>
    <t>Potrojalu RT 03 RW 12, Girimulyo, KAB. KARANGANYAR, NGARGOYOSO, JAWA TENGAH, ID, 57793</t>
  </si>
  <si>
    <t>Krisna Pak Yoyo</t>
  </si>
  <si>
    <t>Jalan Mekar Wangi, RT.2/RW.15, Sariwangi, Parongpong, KAB. BANDUNG BARAT, PARONGPONG, JAWA BARAT, ID, 40559</t>
  </si>
  <si>
    <t>Christa/Monica</t>
  </si>
  <si>
    <t>Perumahan bumi rakata asri cluster 5 blok E2 No. 34-35 Kel.Ciwedus, KOTA CILEGON, CILEGON, BANTEN, ID, 42418</t>
  </si>
  <si>
    <t>Mely Ambarwati</t>
  </si>
  <si>
    <t>Jalan merapi XI Rt 1,Rw 1,kel kebun tebeng,samping masjid Al-iman kosan oren pinggir, KOTA BENGKULU, RATU AGUNG, BENGKULU, ID, 38223</t>
  </si>
  <si>
    <t>ghullam</t>
  </si>
  <si>
    <t>Jl. Cihanjuang Gg. Salwi No. 3 RT/RW 01/18 Kel Cibabat
Cimahi Utara, Kota Cimahi, 40513
Jawa Barat</t>
  </si>
  <si>
    <t>Banun Diyah Probowat</t>
  </si>
  <si>
    <t>Perumahan Seruni blok C no 3 · Banyuajuh (Binajuh / Banyu Ajuh) Jawa Timur Kab. Bangkalan Kamal Indonesia Kab. Bangkalan</t>
  </si>
  <si>
    <t>Erma Suryani, Rully Agus Hendrawan &amp; Ulfa Emi Rahmawati</t>
  </si>
  <si>
    <t>Ruben Heremku</t>
  </si>
  <si>
    <t>Jalan Natuna belakang brimob (Gang pertama) RT 005/ RW 002 · Karang Indah Papua Kab. Merauke Merauke Indonesia Kab. Merauke</t>
  </si>
  <si>
    <t>Serba-Serbi Bahasa Indonesia di Era 4.0 (Berdasarkan Pendekatan Linguistik)</t>
  </si>
  <si>
    <t>Nikolaus Rendi P. Hadi, M.Hum., Yanuarria K. Perwira, S.Pd., M.Hum., Sintaria Kusumaningrum, S.Hum.</t>
  </si>
  <si>
    <t>Ida Achmal</t>
  </si>
  <si>
    <t>kecamatan Pejagoan Kantor kecamatan · Pejagoan Jawa Tengah Kab. Kebumen Pejagoan Indonesia Kab. Kebumen</t>
  </si>
  <si>
    <t>ETPD (Elektronifikasi Transaksi Pemerintah Daerah)</t>
  </si>
  <si>
    <t>Ni Putu Myari Artha</t>
  </si>
  <si>
    <t>Regan</t>
  </si>
  <si>
    <t>Jalan Pesona Amsterdam, Ciangsana Kel., Gunung Putri (Blok I3/15 ), KAB. BOGOR, GUNUNG PUTRI, JAWA BARAT, ID, 16968</t>
  </si>
  <si>
    <t>Rio Adi Trisna</t>
  </si>
  <si>
    <t>SMK SENOPATI, Jl. Senopati, Kec. Sedati, Kabupaten Sidoarjo, Jawa Timur, 61253 [Tokopedia Note: SMK SENOPATI, Jl. Senopati, Kec. Sedati, Kab. Sidoarjo 61253]
Sedati, Kab. Sidoarjo, 61253</t>
  </si>
  <si>
    <t>Ratna Agustin</t>
  </si>
  <si>
    <t>kapas madya barat IX no.2
  Kecamatan: tambaksari
  Kabupaten/Kota: surabaya
  Provinsi: jawa timur</t>
  </si>
  <si>
    <t>Modul Praktikum Nursing Management</t>
  </si>
  <si>
    <t>Ns. Richa Noprianty, S.Kep, MPH</t>
  </si>
  <si>
    <t>Ahmad Yani</t>
  </si>
  <si>
    <t>Muara Satu
  Kabupaten/Kota : Lhokseumawe
  Provinsi : Aceh</t>
  </si>
  <si>
    <t>Albert</t>
  </si>
  <si>
    <t>PT.Friendship Logistics Line, Komplek Ruko Marinatama blok E 8-9, Jl. Gunung Sahari Raya, Pademangan, Jakarta Utara
  Kecamatan: Pademangan
  Kabupaten/Kota: jakarta utara</t>
  </si>
  <si>
    <t>Tinjauan Umum Industri Pertambangan Nikel Dalam Konteks Manajemen Produksi</t>
  </si>
  <si>
    <t>Muas M, Abd. Salam, dan Muhammad Arsyad Suyuti</t>
  </si>
  <si>
    <t>Aulia Nurul Fauziya</t>
  </si>
  <si>
    <t xml:space="preserve"> Jalan taruna 2 no 8 babakan, tangerang. Kos warna kuning, kamar atas no 8., KOTA TANGERANG, TANGERANG, BANTEN, ID, 15111</t>
  </si>
  <si>
    <t>Loth Botahala</t>
  </si>
  <si>
    <t>Universitas Tribuana Kalabahi
Fanating
Teluk Mutiara
Kabupaten Alor
Nusa Tenggara T</t>
  </si>
  <si>
    <t>Perbandingan Efektivitas Daya Adsorpsi Sekam Padi Dan Cangkang Kemiri Terhadap Logam Besi (Fe) Pada Air Sumur Gali</t>
  </si>
  <si>
    <t>MTS ANNAWAWI BERJAN</t>
  </si>
  <si>
    <t>JL KYAI H ZARKASYI BERJAN GEBANG PURWOREJO
  Kecamatan: GEBANG
  Kabupaten/Kota: PURWOREJO
  Provinsi: JAWA TENGAH</t>
  </si>
  <si>
    <t>Membedah Anatomi Karya Ilmiah Pada Pendidikan Jarak Jauh</t>
  </si>
  <si>
    <t>Ilham Syukur</t>
  </si>
  <si>
    <t xml:space="preserve">BTN Ranggong Permai Blok A11 No.11A RT. F RW. 4 Kelurahan Bangkala, Kecamatan Manggala, Kota Makassar (Rumah a.n omja), KOTA MAKASSAR, MANGGALA, SULAWESI SELATAN, ID, 90235
</t>
  </si>
  <si>
    <t>Ibnu Prayudi</t>
  </si>
  <si>
    <t>Purwodadi-pesanggrahan Rt/Rw 004/001 No:27 Kecamatan Tonjong,Kabupaten Brebes, KAB. BREBES, TONJONG, JAWA TENGAH, ID, 52271</t>
  </si>
  <si>
    <t>Aan mba bawang</t>
  </si>
  <si>
    <t>Kampung Binong RT 05 RW 02 Gang Singa, KAB. TANGERANG, CURUG, BANTEN, ID, 15810</t>
  </si>
  <si>
    <t>Sigit Sutanto</t>
  </si>
  <si>
    <t>RS Bhayangkara Anton Soedjarwo (Kamar Bedah) Jl. K. S. Tubun No.14, RT.03/RW.01, Akcaya, Kec. Pontianak Sel., Kota Pontianak, Kalimantan Barat
Pontianak Selatan, Kota Pontianak, 78121
Kalimantan Barat</t>
  </si>
  <si>
    <t>Lela Juliana</t>
  </si>
  <si>
    <t>Bekasi utara jl.ujung harapan gg.bambu kuning rt 07/17 no 57 (pak rt)
Bekasi Utara
Kota Bekasi
Jawa Barat
17612</t>
  </si>
  <si>
    <t>mutadi</t>
  </si>
  <si>
    <t>Basin Kebonarum Klaten</t>
  </si>
  <si>
    <t>If I Were You Refleksi dari Negeri Gajah Putih</t>
  </si>
  <si>
    <t>Agung Purwa Widiyan</t>
  </si>
  <si>
    <t>Ki Luluhur Rekam Jejak Sejarah Raden Aria Wangsakara</t>
  </si>
  <si>
    <t>Lutfi Abdul Gani</t>
  </si>
  <si>
    <t>Lafaz Cinta di Istana Merdeka</t>
  </si>
  <si>
    <t>Fitra Netty</t>
  </si>
  <si>
    <t>Untaian Kalung Melati Tausiah Jombo Fisabilillah Dan Newlywed Marriage Advice</t>
  </si>
  <si>
    <t>Menjadi Pemenang Dalam Kehidupan</t>
  </si>
  <si>
    <t>Marjohan</t>
  </si>
  <si>
    <t>Because of You</t>
  </si>
  <si>
    <t>ROBERTUS WIDIATMOKO, S.S.</t>
  </si>
  <si>
    <t>Sahabat-Sahabat Terbaik</t>
  </si>
  <si>
    <t>Wening R. Winanti</t>
  </si>
  <si>
    <t xml:space="preserve">Secercah Cahaya di Tengah Kegelapan
</t>
  </si>
  <si>
    <t>Darju Prasetya</t>
  </si>
  <si>
    <t>Si Bawang Putih Merajut Asa dan Meraih Mimpi</t>
  </si>
  <si>
    <t>Nur Aliyah, M.Pd.</t>
  </si>
  <si>
    <t>The Power of Dream - Kegigihan Berbuah Keberhasilan</t>
  </si>
  <si>
    <t>Nurul Hidayati, S.Pd., M.Pd.I.</t>
  </si>
  <si>
    <t>Garis Takdir Si Anak Tunggal</t>
  </si>
  <si>
    <t>Anik Nur Yulianingsih, S.Pd.</t>
  </si>
  <si>
    <t>#Ayat-Ayat Jomblo</t>
  </si>
  <si>
    <t>Araziky Elazraq</t>
  </si>
  <si>
    <t>Maafkan Aku</t>
  </si>
  <si>
    <t>Livia Setyawati</t>
  </si>
  <si>
    <t>Ingin Jadi Penulis Belajar Dari Penulis Best Seller</t>
  </si>
  <si>
    <t>Pitwanto</t>
  </si>
  <si>
    <t>Senja Hitam di Balik Bukit</t>
  </si>
  <si>
    <t>Legino. Jr</t>
  </si>
  <si>
    <t>Story of My Life (Berjuang di Tengah Keterbatasan)</t>
  </si>
  <si>
    <t>Desi Jayanti</t>
  </si>
  <si>
    <t>Storyara “tak ada yang baik-baik saja yang namanya perpisahan”</t>
  </si>
  <si>
    <t>Astri Lestari Handayani</t>
  </si>
  <si>
    <t>Taqdir, Cinta dan Kekuasaan</t>
  </si>
  <si>
    <t>M. Yazid Mar’i</t>
  </si>
  <si>
    <t>Knitting Karma Journal of The Soul</t>
  </si>
  <si>
    <t>Zen Toronto</t>
  </si>
  <si>
    <t>Be Nice</t>
  </si>
  <si>
    <t>Linda Ariska</t>
  </si>
  <si>
    <t>Rama’s Story: Gita La Isla Bonita</t>
  </si>
  <si>
    <t>Rama’s Story: Mey Ling Dark Castle</t>
  </si>
  <si>
    <t>Rama’s Story: Pandawa Lima “Beginning”</t>
  </si>
  <si>
    <t>Rama’s Story: Virgo Never Say Goodbye</t>
  </si>
  <si>
    <t>Sepenggal Kisah Menuju Cahaya</t>
  </si>
  <si>
    <t>Tresna Yulianti</t>
  </si>
  <si>
    <t>Writing Business Letters is Easy Cara Mudah Menulis Surat Bisnis dalam Bahasa Inggris</t>
  </si>
  <si>
    <t>Selaksa Rindu dalam Hati yang Berdebu</t>
  </si>
  <si>
    <t>Harflie dan Starainly</t>
  </si>
  <si>
    <t>Lesung Pipi “Mika”</t>
  </si>
  <si>
    <t>Mafar Mullah Arrum</t>
  </si>
  <si>
    <t>Lost Star</t>
  </si>
  <si>
    <t>Fuji Zakyatus Solehah</t>
  </si>
  <si>
    <t>Manual Handbook KSN IPA Tingkat SMP</t>
  </si>
  <si>
    <t>Jefri Adi Setiawan</t>
  </si>
  <si>
    <t>Syair Cinta, Suara Hati</t>
  </si>
  <si>
    <t>Mirandi Ahmad Putra Pratama</t>
  </si>
  <si>
    <t>Rain and Me</t>
  </si>
  <si>
    <t>Surya Darma</t>
  </si>
  <si>
    <t>Rama’s Story: Krisna “Pandawa Pertama”</t>
  </si>
  <si>
    <t>Ya Beginilah Hidup, Jalani Saja! (Menerima Kenyataan, Menumbuhkan Harapan, Menata Masa Depan)</t>
  </si>
  <si>
    <t>Nurkholis Almahfoudz</t>
  </si>
  <si>
    <t>Kata Bumi: Sebuah Celoteh Bumi Untuk Puisi</t>
  </si>
  <si>
    <t>Ainun Aisyah</t>
  </si>
  <si>
    <t>Dusun Ringin Putih,Bantarjo
  Kecamatan: Ngaglik
  Kabupaten/Kota: Sleman
  Provinsi: D.I Yogyakarta</t>
  </si>
  <si>
    <t>Ira Puspitawati</t>
  </si>
  <si>
    <t>Jl. Manuhua Raya No.22, Kec. Makasar, Kota Jakarta Timur, Daerah Khusus Ibukota Jakarta, 13610 [Tokopedia Note: Jl. Manuhua Raya No.22, Kel. Halim Perdana Kusumah]
Makasar, Kota Administrasi Jakarta Timur, 13610
DKI Jakarta</t>
  </si>
  <si>
    <t>Buku Referensi Intellectual Capital Management Building Your Employee Passion and Happiness</t>
  </si>
  <si>
    <t>H. Deden Komar Priatna &amp; Nandan Limakrisna</t>
  </si>
  <si>
    <t>Wonderful Milenials With Digital</t>
  </si>
  <si>
    <t>Uwaesul Qurni HB</t>
  </si>
  <si>
    <t>Yohanes Hessel</t>
  </si>
  <si>
    <t>Rumah Dinas PG. Kebon Agung No. 38. Jl. Raya Kebon Agung.
   Kecamatan : Pakisaji
   Kabupaten/Kota : Kabupaten Malang
   Provinsi : Jawa Timur
   Kode Pos : 65162</t>
  </si>
  <si>
    <t>Farhan Mahardika</t>
  </si>
  <si>
    <t>Hotel Setia, Jl. Veteran No. 55 Krandegan, Banjarnegara, KAB. BANJARNEGARA, BANJARNEGARA, JAWA TENGAH, ID, 53414</t>
  </si>
  <si>
    <t>azmir rifqi</t>
  </si>
  <si>
    <t>kp rancawas rt03/rw09, Ds sukamukti, (Rumah pak RW 09), KAB. BANDUNG, MAJALAYA, JAWA BARAT, ID, 40382</t>
  </si>
  <si>
    <t>AZALIA</t>
  </si>
  <si>
    <t>Malanggaten, No.1395, RT.3/RW.11, Magelang, Magelang Tengah, KOTA MAGELANG, MAGELANG TENGAH, JAWA TENGAH, ID, 56127</t>
  </si>
  <si>
    <t>Globalisasi Pemasaran (Marketing Globalization)</t>
  </si>
  <si>
    <t>M. Anang Firmansyah &amp; Didin Fatihudin</t>
  </si>
  <si>
    <t>Wheni Indi Astuti</t>
  </si>
  <si>
    <t xml:space="preserve">Jalan Kalang Agung, RT.3/RW.9, Bojong, Mungkid, KAB. MAGELANG, MUNGKID, JAWA TENGAH, ID, 56512
</t>
  </si>
  <si>
    <t>Wasilah</t>
  </si>
  <si>
    <t>Asrama Putri Iain Pare Pare, Jalan Amal Bakti, Bukit Harapan, Soreang, KOTA PAREPARE, SOREANG, SULAWESI SELATAN, ID, 91131</t>
  </si>
  <si>
    <t>Ahmad Sultra Rustan dan Nurhakki Hakki</t>
  </si>
  <si>
    <t>meilyana</t>
  </si>
  <si>
    <t>Jl. Danau Singkarak II, Kec. Ps. Kemis, Tangerang, Banten, 15560 [Tokopedia Note: Blok AD 8 no 8-10 ]
Pasarkemis, Kab. Tangerang, 15560</t>
  </si>
  <si>
    <t>jl.pucang jajar timur gang 4 no 1
  Kecamatan: gubeng
  Kabupaten/Kota: surabaya
  Provinsi: jawa timur</t>
  </si>
  <si>
    <t>Nursenta Purba</t>
  </si>
  <si>
    <t>GRAHA STTII SURABAYA
JL. PANJANG JIWO PERMAI IC
  Kecamatan: Tenggilis Mejoyo
  Kabupaten/Kota: surabaya
  Provinsi: Jawa timur</t>
  </si>
  <si>
    <t>Cucu Maryati Ningsih, S.Pd</t>
  </si>
  <si>
    <t>Kampus YPI Al-Zaytun  (asrama Al-Nur), Blok Sandrem Desa Mekarjaya
  Kecamatan: Gantar-haurgeulis
  Kabupaten/Kota: Indramayu
  Provinsi: Jawa Barat (45264)</t>
  </si>
  <si>
    <t>Imam Taufik</t>
  </si>
  <si>
    <t>Perum Griya Kencana Mulya Blok i/10 Candimulyo
  Kecamatan: Jombang
  Kabupaten/Kota: Jombang
  Provinsi: Jawa Timur</t>
  </si>
  <si>
    <t>Novi Ardiani</t>
  </si>
  <si>
    <t>Permata Depok Regency Cluster Ruby D23/17 Kelurahan Ratujaya Kecamatan Cipayung Depok Jabar 16439
Cipayung
Kota Depok
Jawa Barat
16439</t>
  </si>
  <si>
    <t>BICYCLE LEADERSHIP Analogi Sepeda dalam Perspektif Kepemimpinan</t>
  </si>
  <si>
    <t>Dicky Dewanto T. Rahatdjo</t>
  </si>
  <si>
    <t xml:space="preserve"> jl. Perkici XI blok EB2 no. 63, Bintaro Jaya 5, Tangerang Selatan 15222
  Kecamatan: Pdk Aren
  Kabupaten/Kota: Tangerang Selatan
  Provinsi: Banten</t>
  </si>
  <si>
    <t>Perencanaan dan Evaluasi Kesehatan</t>
  </si>
  <si>
    <t>Putri Permatasari &amp; Sri Widodo</t>
  </si>
  <si>
    <t>Mida Mudiatul K</t>
  </si>
  <si>
    <t>Jln. K. H. Abd. Hamid kampung Cilengkong kaum Rt 02/06, desa pamijahan., KAB. BOGOR, PAMIJAHAN, JAWA BARAT, ID, 16640</t>
  </si>
  <si>
    <t>Jln. K. H. Abd. Hamid kampung Cilengkong kaum Rt 02/06, desa pamijahan., KAB. BOGOR, PAMIJAHAN, JAWA BARAT, ID, 16641</t>
  </si>
  <si>
    <t>Abdurrahman</t>
  </si>
  <si>
    <t>Jln. Pemuda No.49 Rt.9 Kelurahan Selat Dalam, dekat SMAN2, KAB. KAPUAS, SELAT, KALIMANTAN TENGAH, ID, 73516</t>
  </si>
  <si>
    <t>Aryudi Eko Priyono</t>
  </si>
  <si>
    <t>Perum.Keboncandi blok.i no.07 RT.001 RW.012 Karangsentul
  Kecamatan: Gondangwetan
  Kabupaten : Pasuruan
  Provinsi: Jawa Timur</t>
  </si>
  <si>
    <t>Aldi Firmansyah</t>
  </si>
  <si>
    <t>Yayasan Pangudi</t>
  </si>
  <si>
    <t>semarang</t>
  </si>
  <si>
    <t>Nida (kos Bu Tri)</t>
  </si>
  <si>
    <t>Jl. Magelang - Boyolali, Magersari, Pakis (Laundry Triraya), KAB. MAGELANG, PAKIS, JAWA TENGAH, ID, 56193</t>
  </si>
  <si>
    <t>Ananda gita</t>
  </si>
  <si>
    <t>Jl. Sangkuriang No 17 Karang Seraya Cakranegara selatan RT: 02 RW:108, KOTA MATARAM, CAKRANEGARA, NUSA TENGGARA BARAT (NTB), ID, 83231</t>
  </si>
  <si>
    <t>Ghazi Aldiansyah</t>
  </si>
  <si>
    <t>Kost Venty II, Jl. H. Taiman Barat I,No.2A, RT/RW. 2/2, Gedong, Ps. Rebo, Jakarta Timur, KOTA JAKARTA TIMUR, PASAR REBO, DKI JAKARTA, ID, 13760</t>
  </si>
  <si>
    <t>Dasar-Dasar Kalkulus Untuk Siswa SMA</t>
  </si>
  <si>
    <t>Handriani Kristini</t>
  </si>
  <si>
    <t>Fidya aliss</t>
  </si>
  <si>
    <t>Jl. Kaloka No. 13 Komp. Riung Bandung Permai, KOTA BANDUNG, GEDEBAGE, JAWA BARAT, ID, 40295</t>
  </si>
  <si>
    <t>Sharon Dina Amalin</t>
  </si>
  <si>
    <t>Jalan Pulau Morotai Perumahan Jaya Permai Blok E No.1, KOTA BANDAR LAMPUNG, WAY HALIM, LAMPUNG, ID, 35135</t>
  </si>
  <si>
    <t>Penyakit Ikan Edisi Revisi 2019</t>
  </si>
  <si>
    <t>Indriyani Nur</t>
  </si>
  <si>
    <t>Firmansyah</t>
  </si>
  <si>
    <t>Kantor Dinas Kepemudaan dan Olahraga Jl. Dr. Wahidin No.3, bidang umum, Talang Semut, KOTA PALEMBANG, BUKIT KECIL, SUMATERA SELATAN, ID, 30135</t>
  </si>
  <si>
    <t>hj. Yoyoh</t>
  </si>
  <si>
    <t xml:space="preserve"> kp. Babakan RT 02/RW 06 jl raya Leuwiliang Jawa Barat Kab. Bogor Leuwiliang Indonesia Kab. Bogor</t>
  </si>
  <si>
    <t>Dasar-Dasar Menulis Paragraf Deskripsi</t>
  </si>
  <si>
    <t>Siti Fathonah &amp; Achmad Dicky Romadhan</t>
  </si>
  <si>
    <t>IMAN FATHUROHMAN</t>
  </si>
  <si>
    <t>JL TAMBORA 3 BLOK B3 NO 47 RT 03 RW 014, KEL JATIRAHAYU, KEC PONDOK MELATI, KOTA BEKASI, JAWA BARAT 17414 RT 03 RW 14 · Jatirahayu (Jati Rahayu) Jawa Barat Kota Bekasi Pondok Melati Indonesia Kota Bekasi</t>
  </si>
  <si>
    <t>Gempa Bumi dan Tektonik</t>
  </si>
  <si>
    <t>Mami Alin</t>
  </si>
  <si>
    <t>Jln. Kali Busa, Perum. Griya Satria Pesona, Blok D 12, RT.01/RW.014, No.27
Tambun Utara
Kabupaten Bekasi
Jawa Barat
Alamat ema</t>
  </si>
  <si>
    <t>muli ani</t>
  </si>
  <si>
    <t>MA. DAKWAH ISLAMIYAH PUTRI Jln. Taruna No 5 KEDIRI SELATAN
Kediri
Kabupaten Lombok Barat
Nusa Tenggara Barat
83362</t>
  </si>
  <si>
    <t>Potensi dan Strategi Pengelolaan Taman Wisata Alam Gunung Meja</t>
  </si>
  <si>
    <t>Jacob Manusawai dan Daniel Leonard</t>
  </si>
  <si>
    <t>MA. DAKWAH ISLAMIYAH PUTRI Jln. Taruna No 5 KEDIRI SELATAN
Kediri
Kabupaten Lombok Barat
Nusa Tenggara Barat
83363</t>
  </si>
  <si>
    <t>MA. DAKWAH ISLAMIYAH PUTRI Jln. Taruna No 5 KEDIRI SELATAN
Kediri
Kabupaten Lombok Barat
Nusa Tenggara Barat
83364</t>
  </si>
  <si>
    <t>MA. DAKWAH ISLAMIYAH PUTRI Jln. Taruna No 5 KEDIRI SELATAN
Kediri
Kabupaten Lombok Barat
Nusa Tenggara Barat
83365</t>
  </si>
  <si>
    <t>Potensi dan Strategi Pengelolaan Hutan Lindung Wosi Rendani</t>
  </si>
  <si>
    <t>Anton Silas Sinery dkk</t>
  </si>
  <si>
    <t>ridhoti khusnul khotimah</t>
  </si>
  <si>
    <t>perumahan graha studio alam blok i no 4, KOTA DEPOK, CILODONG, JAWA BARAT, ID, 16414</t>
  </si>
  <si>
    <t>Ubaedillah (H. Tobri)</t>
  </si>
  <si>
    <t>Kp. Cayur Rt. 003/01 Ds. Rancailat Kec. Kresek Kab. Tangerang (Gg. Alfamart) (Majlis Al-Muawanah), KAB. TANGERANG, KRESEK, BANTEN, ID, 15620</t>
  </si>
  <si>
    <t>Kp. Cayur Rt. 003/01 Ds. Rancailat Kec. Kresek Kab. Tangerang (Gg. Alfamart) (Majlis Al-Muawanah), KAB. TANGERANG, KRESEK, BANTEN, ID, 15621</t>
  </si>
  <si>
    <t>CHRISTIAN ROBIYANTONO</t>
  </si>
  <si>
    <t>RESTO PONDOK ALE ALE
JL LETJEND SUTOYO NO 1
Pontianak Selatan, Kota Pontianak, 78121
Kalimantan Bara</t>
  </si>
  <si>
    <t>Membuat Aplikasi Supervisi Tanpa Koding dengan Appsheet</t>
  </si>
  <si>
    <t>Suharna</t>
  </si>
  <si>
    <t>Sri Mulyanah</t>
  </si>
  <si>
    <t>Karehkel Kel. RT 03 RW 02 Belakang Masjid Jami Darrusalam · Karehkel Jawa Barat Kab. Bogor Leuwiliang Indonesia Kab. Bogor</t>
  </si>
  <si>
    <t>Haris Muslim</t>
  </si>
  <si>
    <t>Jl. Mahmud No. 261 Kp. Curug RT 07 RW 08 Ds. Rahayu Kec. Margaasih Kab. Bandung 40218, Margaasih, Kab. Bandung, Jawa Barat, 40218</t>
  </si>
  <si>
    <t>Pembelajaran Era Society 5.0 di Era Pandemi</t>
  </si>
  <si>
    <t>Drs. Suprapto, M.Pd</t>
  </si>
  <si>
    <t>SMPN 1 Pejagoan
Jalan SMP no 2 Desa Kebulusan Kec Pejagoan Kabupaten Kebumen 54361</t>
  </si>
  <si>
    <t>SMPN 1 Pejagoan
Jalan SMP no 2 Desa Kebulusan Kec Pejagoan Kabupaten Kebumen 54362</t>
  </si>
  <si>
    <t>Ulfah Hasanah</t>
  </si>
  <si>
    <t>Dk. Jatiwera, Rt 3, Rw 7, Ds. Krakal, Kec. Alian, Kab. Kebumen, 54352</t>
  </si>
  <si>
    <t>Gyan Puspa Lestari</t>
  </si>
  <si>
    <t>Jln. Mahmud Kp. Kumambang RT 07/08 Ds. Rahayu
  Kecamatan: Margaasih 
  Kabupaten: Bandung
  Provinsi: Jawa Barat</t>
  </si>
  <si>
    <t xml:space="preserve">Membangun Karakter, Kepribadian, Talenta dan Inovasi di Era Revolusi Industri 4.0 dan Masyarakat 5.0
</t>
  </si>
  <si>
    <t>Sedarmayanti…[et.al]</t>
  </si>
  <si>
    <t>Muhammad Rifky Maulana</t>
  </si>
  <si>
    <t>Jalan HKSN KUIN UTARA RT.9 no.20
Banjarmasin Utara
Kota Banjarmasin
Kalimantan Selatan
70127</t>
  </si>
  <si>
    <t>Kajian Filsafat dalam Kedokteran Gigi</t>
  </si>
  <si>
    <t>Rizki Amalina, … [et al.]</t>
  </si>
  <si>
    <t>Yuniantika</t>
  </si>
  <si>
    <t>Temon Pandowoharjo RT 01/RW 22
  Kecamatan: Sleman
  Kabupaten/Kota: Sleman
  Provinsi: DIY</t>
  </si>
  <si>
    <t>Puti (Posko KKN)</t>
  </si>
  <si>
    <t>Jalan Dusun Pakisaji, RT.1/RW.3, Wanarejan Utara, Taman, KAB. PEMALANG, TAMAN, JAWA TENGAH, ID, 52361</t>
  </si>
  <si>
    <t>Wiji Nur Azzahrah</t>
  </si>
  <si>
    <t>Lr. Mbah sujud rt.04 no.75 Kel. Marga Rahayu, KOTA LUBUK LINGGAU, LUBUK LINGGAU SELATAN DUA (II), SUMATERA SELATAN, ID, 31626</t>
  </si>
  <si>
    <t>Riska saputri</t>
  </si>
  <si>
    <t>Kp. Radio Rt 01/01, Pinggir SMAN 1 CILILIN (BASO GOYANG LIDAH), KAB. BANDUNG BARAT, CILILIN, JAWA BARAT, ID, 40562</t>
  </si>
  <si>
    <t>Dasar-Dasar Ilmu Pemerintahan</t>
  </si>
  <si>
    <t>Titin Rohayatin</t>
  </si>
  <si>
    <t>Ilham Acil</t>
  </si>
  <si>
    <t>Kp. Cangkuang Ds. Cipatik Rt04/Rw06 No.13 , KAB. BANDUNG BARAT, CIHAMPELAS, JAWA BARAT, ID, 40767
Informasi Jasa Kirim</t>
  </si>
  <si>
    <t>lulu</t>
  </si>
  <si>
    <t>jalan raden saleh no 34 rt 03 rw 08 cimahi tengah,baros, Jawa barat (warteg sari rasa grup, KOTA CIMAHI, CIMAHI TENGAH, JAWA BARAT, ID, 40521</t>
  </si>
  <si>
    <t>AMIKOM Resource Centre</t>
  </si>
  <si>
    <t>Universitas Amikom Yogyakarta, Condongcatur, Kec. Depok, Kabupaten Sleman, Jogja [Tokopedia Note: Jalan Ringroad Utara, Condong Catur, Depok, Sleman, 55283]
Depok, Kab. Sleman, 55281
D.I. Yogyakarta</t>
  </si>
  <si>
    <t>Ekonomi Pembangunan Sebuah Kajian Teoretis Dan Empiris</t>
  </si>
  <si>
    <t>Dr. Christea Frisdiantara, Ak., . &amp;amp; Dr. Imam Mukhlis, S.E</t>
  </si>
  <si>
    <t>Amalia salmah</t>
  </si>
  <si>
    <t>Jl kebon kopi ,Kp Leuweung gede,Gg Tirta Indah 2 No.337, Rt 06.Rw 27, Kel Cibeureum, Cimahi Selatan, Cimahi, Jawa Barat, 40535</t>
  </si>
  <si>
    <t>Birokrasi Pemerintahan</t>
  </si>
  <si>
    <t>Teguh Pribadi</t>
  </si>
  <si>
    <t>Jalan Raya SMA Negeri Bobotsari, Majapura RT 1 RW1
Bobotsari
Kabupaten Purbalingga
Jawa Tengah
53353</t>
  </si>
  <si>
    <t>Jalan Raya SMA Negeri Bobotsari, Majapura RT 1 RW1
Bobotsari
Kabupaten Purbalingga
Jawa Tengah
53354</t>
  </si>
  <si>
    <t>Jalan Raya SMA Negeri Bobotsari, Majapura RT 1 RW1
Bobotsari
Kabupaten Purbalingga
Jawa Tengah
53355</t>
  </si>
  <si>
    <t>Arianda</t>
  </si>
  <si>
    <t>Lapangan Merdeka Depan stasiun KA lantai 2 no 156 , KOTA MEDAN, MEDAN BARAT, SUMATERA UTARA, ID, 2011</t>
  </si>
  <si>
    <t>Efektivitas Dewan Pengawas Syariah pada Perbankan Syariah</t>
  </si>
  <si>
    <t>Didih Muhamad Sudi</t>
  </si>
  <si>
    <t>syfa</t>
  </si>
  <si>
    <t>Kp.pojok salak rt 04/08 no 98 desa jonggol, KAB. BOGOR, JONGGOL, JAWA BARAT, ID, 16830</t>
  </si>
  <si>
    <t>Naziva (Bpk Deden Ibu Id</t>
  </si>
  <si>
    <t>Jl. Raya Pamayahan RT 12 RW 03 Ds. Pamayahan, KAB. INDRAMAYU, LOHBENER, JAWA BARAT, ID, 4525</t>
  </si>
  <si>
    <t>Dini H Q</t>
  </si>
  <si>
    <t xml:space="preserve">Kampus Politeknik Caltex Riau, Jalan Umbansari (Patin) No.01, KOTA PEKANBARU, RUMBAI, RIAU, ID, 28265
</t>
  </si>
  <si>
    <t>Tiffania Anjani Tuzzahra</t>
  </si>
  <si>
    <t>Kost Pondok Kurnia 1, Jalan Ibu Ganirah Gg Haji Danu No.147 C, RT.3/RW.2, Cibeber, Cimahi Selatan, KOTA CIMAHI, CIMAHI SELATAN, JAWA BARAT, ID, 4053</t>
  </si>
  <si>
    <t>rihat</t>
  </si>
  <si>
    <t>Jl. Bunga Rinte, Kec. Medan Tuntungan, Kota Medan, Sumatera Utara, 20136[Tokopedia notes: Komplek puri zahara 2 blok O no 13 kelurahan simpang selayan]
Medan Tuntungan, Kota Medan, 20136
Sumatera Utara</t>
  </si>
  <si>
    <t>Mesin-mesin Listrik untuk Program D3 (FC)</t>
  </si>
  <si>
    <t>Nova Juliana Sihombing</t>
  </si>
  <si>
    <t>SMA Unggul Del
Jl. YP. Arjuna - Desa : Sitoluama
Laguboti
Kabupaten Toba Samosir
Sumatera Utara
21138</t>
  </si>
  <si>
    <t>ROFI AHMAD TAOPIK</t>
  </si>
  <si>
    <t>Toko Acep Herbal JL,Noenoeng Tisna Saputra Perum Wijaya Permai 2 Blok A
  Kecamatan: Tawang
  Kabupaten/Kota: Tasikmalaya
  Provinsi: Jawa Barat</t>
  </si>
  <si>
    <t>Menanam Dan Memanfaatkan Jahe Merah Sebagai Pangan Fungsional</t>
  </si>
  <si>
    <t>Titin Sulastri, dkk</t>
  </si>
  <si>
    <t>Goron WL Aburjumaga</t>
  </si>
  <si>
    <t>Jalan Tololiu Supit 2 · Tingkulu Sulawesi Utara Kota Manado Wanea Indonesia Kota Manado</t>
  </si>
  <si>
    <t>Dani irawan</t>
  </si>
  <si>
    <t xml:space="preserve"> masjid Al hidayah RT 04/RW 02 no rumah 26 · Citapen Jawa Barat Kab. Bandung Barat Cihampelas Indonesia Kab. Bandung Barat</t>
  </si>
  <si>
    <t>Ganti Sebastian</t>
  </si>
  <si>
    <t>kantor JNT exspress Kuala kurun · Tumbang Anjir Kalimantan Tengah Kab. Gunung Mas Kurun Indonesia Kab. Gunung Mas</t>
  </si>
  <si>
    <t>Bawang Dayak Sebagai Tanaman Multiguna</t>
  </si>
  <si>
    <t>Titin Apung Atikah</t>
  </si>
  <si>
    <t>Dewi paramita sari</t>
  </si>
  <si>
    <t>Campursalam Nglorog kulon RT.02/RW.04 Campursalam, Parakan, KAB. TEMANGGUNG, PARAKAN, JAWA TENGAH, ID, 56254</t>
  </si>
  <si>
    <t>Agung Waspodo</t>
  </si>
  <si>
    <t>Jln. Nusa Indah Raya no.2 RT.02/RW.04, Beji, Depok, Jawa Barat, 16422</t>
  </si>
  <si>
    <t>SMA 2 batu</t>
  </si>
  <si>
    <t>SMA 02 Batu Jl. Hasanudin Junrejo Batu Jawa Timur</t>
  </si>
  <si>
    <t>Strategi Belajar Dan Mengajar Geografi</t>
  </si>
  <si>
    <t>Nurin Rochayati dan Agung Pramunarti</t>
  </si>
  <si>
    <t>Kajian Kurikulum Dan Buku Teks Geografi (Kabutek Geografi)</t>
  </si>
  <si>
    <t>Nurin Rochayati</t>
  </si>
  <si>
    <t>Gigih Azharyadi</t>
  </si>
  <si>
    <t>Dusun 1 Desa Temuireng, RT 001/ RW 001 ( Sebelah Selatan Balai Desa Temuireng ), Kecamatan Petarukan, Kabupaten Pemalang.
Petarukan, Kab. Pemalang, 52362
Jawa Tengah</t>
  </si>
  <si>
    <t>Ani Setiani</t>
  </si>
  <si>
    <t>BCA blok 6 jln saworsya no 217 rt/rw 14/07 · Cikalong Jawa Barat Kab. Majalengka Sukahaji Indonesia Kab. Majalengka</t>
  </si>
  <si>
    <t>Hatman</t>
  </si>
  <si>
    <t>jln. kyai Burhan Mansur, Tambilung Jawa Timur Kab. Gresik Tambak Indonesia Kab. Gresik</t>
  </si>
  <si>
    <t>Mutadi</t>
  </si>
  <si>
    <t>Prajurit Sejati Lintang IV Lawang: Ayahku, Bundaku, Cintaku (Biografi Abubakar Wahdi)</t>
  </si>
  <si>
    <t>Almuzani Wahdi, S.Hut.</t>
  </si>
  <si>
    <t>Biografi Seorang Guru Madrasah: Kisah Perjalanan Hidup H. M Arfan</t>
  </si>
  <si>
    <t>Mieke Nurhayati, S.Pd., M.Pd.I.</t>
  </si>
  <si>
    <t>Biografi, KH Tubagus Hasan Basri A Natural Born Kiai: Jejak, Pemikiran dan Tauladan</t>
  </si>
  <si>
    <t>Iman Yuniarto F., Joko Sadewo, Nur Hasan Murtiaji</t>
  </si>
  <si>
    <t>Lika-Liku Kehidupan (Biografi Penulis)</t>
  </si>
  <si>
    <t>Satar</t>
  </si>
  <si>
    <t>Autobiografi Ns. Zulhaini Sartika A. Pulungan, S.Kep., M.Sc. Perjuangan di Ujung Negeri</t>
  </si>
  <si>
    <t>Zulhaini Sartika A. Pulungan</t>
  </si>
  <si>
    <t>Pendidikan &amp; Pertumbuhan Ekonomi versus Kemiskinan Penduduk (Kasus Provinsi Nusa Tenggara Timur</t>
  </si>
  <si>
    <t>Sirilius Seran</t>
  </si>
  <si>
    <t>Penduduk Dan Kualitas Demokrasi: Kumpulan Artikel Kependudukan, Politik Dan Pembangunan Demokrasi</t>
  </si>
  <si>
    <t>Amir Muhiddin</t>
  </si>
  <si>
    <t>Pedoman Akademik SDIT Darul Fikri Kota Tanjungbalai (Edisi Ketiga)</t>
  </si>
  <si>
    <t>Sarianto, dkk</t>
  </si>
  <si>
    <t>Pedoman dan Penyusunan Pengembangan Diri Bagi Guru</t>
  </si>
  <si>
    <t>Pedoman Penyusunan Dan Penulisan Jurnal Ilmiah Bagi Guru</t>
  </si>
  <si>
    <t>Peraturan Daerah Responsif Fondasi Teoretik dan Pedoman Pembentukannya</t>
  </si>
  <si>
    <t>Dayanto, S.H., M.H. &amp; Asma Karim, S.H., M.H.</t>
  </si>
  <si>
    <t>Kp. Ciakar Girang RT.003/004 Gang Mushola Darul Muttaqin Desa Kadusirung Kecamatan Pagedangan Kabupaten Tangerang Banten Kodepos 15820</t>
  </si>
  <si>
    <t>Kamila Rizka</t>
  </si>
  <si>
    <t>Guru Toha. Dusun Bayur 1 RT 002/RW 007 No. Rumah 34 Desa Payungsari
  Kecamatan: Pedes 
  Kabupaten/Kota: Karawang 
  Provinsi: Jawa Barat</t>
  </si>
  <si>
    <t>iyan / Juwita</t>
  </si>
  <si>
    <t>Perum Munjul Permai Blok F8 No.28 RT 003/RW 005, Desa Munjul, KAB. TANGERANG, SOLEAR, BANTEN, ID, 15741</t>
  </si>
  <si>
    <t>Diyah Ayu N. H</t>
  </si>
  <si>
    <t>Ds. Bumirejo Rt 003 Rw 003 Sebelah BMT Al Fath
  Kecamatan: Margorejo
  Kabupaten/Kota: Pati
  Provinsi: Jawa Tengah</t>
  </si>
  <si>
    <t>Buku Ajar Komunikasi dalam Praktek Kebidanan</t>
  </si>
  <si>
    <t>Mika Oktarina &amp; Ruri Maiseptya Sari</t>
  </si>
  <si>
    <t>Jalan Tirto Agung Barat II, No. 3B, Kelurahan Pedalangan, Kecamatan Banyumanik, Kota Semarang, Provinsi Jawa Tengah, Kode Pos 50268
Banyumanik
Kota Semarang
Jawa Tengah
50268</t>
  </si>
  <si>
    <t>Perancangan Perkerasan Jalan dan Penyelidikan Tanah Edisi Ke-3</t>
  </si>
  <si>
    <t>Prof. Dr. Ir. Hary Christady Hardiyatmo, M.Eng., DEA.</t>
  </si>
  <si>
    <t>Mhd hidayat</t>
  </si>
  <si>
    <t>Jln gurun aua no. 59, kubang putiah, KAB. AGAM, BANUHAMPU, SUMATERA BARAT, ID, 264</t>
  </si>
  <si>
    <t>Modul Latihan Kepemimpinan Tingkat Dasar Metode AR</t>
  </si>
  <si>
    <t>Felik Sad Windu Wisnu Broto</t>
  </si>
  <si>
    <t>Djoko Bintoro</t>
  </si>
  <si>
    <t>Komplek Bengrah G90 No.6 Rt.01 Rw.08, Cijantung. Jaktim. 13770 · Cijantung DKI Jakarta Kota Jakarta Timur Pasar Rebo Indonesia Kota Jakarta Timur</t>
  </si>
  <si>
    <t>GARASI FASHION</t>
  </si>
  <si>
    <t>Indra Aji Pramono</t>
  </si>
  <si>
    <t>Padamara, Rt 04 Rw01, depan pemakaman umum desa padamara, timur kantor pos padamara, Padamara, Purbalingga, Jawa Tengah, 53372</t>
  </si>
  <si>
    <t>Hukum, Etika dan kebijakan Media (Regulasi, Praktik dan Teori)</t>
  </si>
  <si>
    <t>Radita Gora, M.M. &amp; Irwanto, M.Ikom.</t>
  </si>
  <si>
    <t>Sabil kamar 8</t>
  </si>
  <si>
    <t>Pondok Pesantren Mbah Dul. asrama kulon · Plosokandang Jawa Timur Kab. Tulungagung Kedungwaru Indonesia Kab. Tulungagung</t>
  </si>
  <si>
    <t>Mahir Merancang Sistem Informasi Perpustakaan dalam 10 Jam</t>
  </si>
  <si>
    <t>Nofriadi…[et.al]</t>
  </si>
  <si>
    <t>STIKES KESOSI Jl. Bojong Indah Raya No.58, RT.5/RW.4, Rw. Buaya, Kecamatan Cengkareng, Kota Jakarta Barat, Daerah Khusus Ibukota Jakarta
Cengkareng
Kota Jakarta Barat
DKI Jakarta</t>
  </si>
  <si>
    <t>Buku Ajar Asuhan Keperawatan Jiwa dengan Diagnosis Gangguan Jiwa</t>
  </si>
  <si>
    <t>Faizatur Rohmi</t>
  </si>
  <si>
    <t>Membuat Larutan Kimia di Laboratorium</t>
  </si>
  <si>
    <t>Nita Anggreani &amp; Ahmad Jais</t>
  </si>
  <si>
    <t>Buku Ajar Parasitologi I Teori dan Praktikum untuk Mahasiswa Teknologi Laboratorium Medik</t>
  </si>
  <si>
    <t>Reni Yunus</t>
  </si>
  <si>
    <t>Konsep dan Intervensi Malaria Home Care Nursing (HCN) &amp; Short Message Service (SMS)</t>
  </si>
  <si>
    <t>Jeni Oktavia Karundeng &amp; Yeli Mardona</t>
  </si>
  <si>
    <t>Intervensi Holistic Care &amp; Pengobatan Tradisional “Upaya Penanganan Pasien Stroke”</t>
  </si>
  <si>
    <t>Luluk Widarti</t>
  </si>
  <si>
    <t>Mengenal Covid-19 dalam Kehamilan, Persalinan dan Masa Menyusui dikutip dari Jurnal Nasional dan Internasional Terbaru</t>
  </si>
  <si>
    <t>Elly Susilawati</t>
  </si>
  <si>
    <t>Kesehatan Ibu dan Anak pada Akses Layanan Terbatas</t>
  </si>
  <si>
    <t>Nurmiati Muchlis, Nasrudin Andi Mappaware &amp; Nurgahayu</t>
  </si>
  <si>
    <t xml:space="preserve"> Penerapan Skrining Gizi di Rumah Sakit</t>
  </si>
  <si>
    <t xml:space="preserve"> Dr. Susetyowati, DCN., M.Kes</t>
  </si>
  <si>
    <t>Farmakologi Molekuler: Target Aksi Obat dan Mekanisme Molekulernya</t>
  </si>
  <si>
    <t xml:space="preserve"> Prof. Zullies Ikawati, Ph.D., Apt</t>
  </si>
  <si>
    <t>Alwis Nazir</t>
  </si>
  <si>
    <t>Perum Bumi Rezki Permai Blok J No. 14
  Kecamatan: Tampan
  Kabupaten/Kota: Pekanbaru
  Provinsi: Riau</t>
  </si>
  <si>
    <t>Edy Hardani</t>
  </si>
  <si>
    <t xml:space="preserve">Perum SERPONG JAYA, Cluster The View VA/15
  Kecamatan: Serpong 
  Kabupaten/Kota: Tangerang Selatan
  Provinsi: Banten </t>
  </si>
  <si>
    <t>Luthfi Marisya</t>
  </si>
  <si>
    <t>Jl. Kh Suwandi II No.68b, RT.25, Gunung Kelua, Samarinda Ulu (kost bu Nur) Kota Samarinda, Samarinda Ulu, Kalimantan Timur
Samarinda Ulu
Kota Samarinda
Kalimantan Timur
72543</t>
  </si>
  <si>
    <t>Teknologi Fitofarmasetika: Sistem Pembawa Katekin dan EGCG Pada Terapi Diabetes</t>
  </si>
  <si>
    <t>Shaum Shiyan</t>
  </si>
  <si>
    <t>Jl. Kh Suwandi II No.68b, RT.25, Gunung Kelua, Samarinda Ulu (kost bu Nur) Kota Samarinda, Samarinda Ulu, Kalimantan Timur
Samarinda Ulu
Kota Samarinda
Kalimantan Timur
72544</t>
  </si>
  <si>
    <t>M. NOOR FUADI,S.Sos.,M.A.P</t>
  </si>
  <si>
    <t>JL.PATMARAGA RT.04 NO.33 KELURAHAN KEBUN SARI
  Kecamatan: AMUNTAI TENGAH
  Kabupaten/Kota: HULU SUNGAI UTARA
  Provinsi: KALIMANTAN SELATAN</t>
  </si>
  <si>
    <t>E-Governance</t>
  </si>
  <si>
    <t>Muh Usman</t>
  </si>
  <si>
    <t>kampus STIBA Makassar, jln inspeksi pam manggala, Kec manggala kota makassar</t>
  </si>
  <si>
    <t>Jangan Takut Menulis Skripsi</t>
  </si>
  <si>
    <t>Tanggung Jawab Advokat dalam Menjalankan Jasa Hukum kepada Klien</t>
  </si>
  <si>
    <t>Mohammad Nadzib Asrori</t>
  </si>
  <si>
    <t>SEPUTAR PERKEMBANGAN SISTEM PERADILAN PIDANA ANAK &amp; TINDAK PIDANA NARKOTIKA DI INDONESIA</t>
  </si>
  <si>
    <t>Beniharmoni Harefa &amp; Vivi Ariyanti</t>
  </si>
  <si>
    <t>Latifah Rabani</t>
  </si>
  <si>
    <t>gang SD 22 karang anyar
  Kecamatan: Kepahiang
  Kabupaten/Kota: kepahiang
  Provinsi: Bengkulu</t>
  </si>
  <si>
    <t>Sistem Komputer (Teori dan Implementasi)</t>
  </si>
  <si>
    <t>Sastya Hendri Wibowo, Yulia Darnita, dan Muntahanah</t>
  </si>
  <si>
    <t>Candra Wijaya</t>
  </si>
  <si>
    <t xml:space="preserve">Jln.Belimbing 2 no.102 rt 05 / rw 05 kel.cibodasari kec.cibodas Kota Tangerang, Banten 15138 </t>
  </si>
  <si>
    <t>Angga</t>
  </si>
  <si>
    <t>Jalan Cipondoh makmur RT 02 / RW 09 no.6 kelurahan : Cipondoh makmur kecamatan : Cipondoh kota Tangerang, Banten. (gang buntu dekat warung Aswar)</t>
  </si>
  <si>
    <t>Yuliana Nurhayati</t>
  </si>
  <si>
    <t>Kompleks Villa Melati Mas Jl. Magnolia M8 no11 
  Kecamatan: Jelupang, Serpong Utara
  Kabupaten/Kota: Tangerang Selatan
  Provinsi: Banten</t>
  </si>
  <si>
    <t>Sir Mohammad R Ilzam Mubarok</t>
  </si>
  <si>
    <t>Jl Raya Dungkek No 17 Dusun Palegin 001/001 · Grujugan Jawa Timur Kab. Sumenep Gapura Indonesia Kab. Sumenep</t>
  </si>
  <si>
    <t>Isak Rumbarar</t>
  </si>
  <si>
    <t>Universitas Sains dan Teknologi Jayapura
Jalan Raya sentani - Abeputa padang Bulan
Heram
Kota Jayapura
Papua</t>
  </si>
  <si>
    <t>Geologi Teknik dan Pendugaan Geofisika Bidang Sumber Daya Air</t>
  </si>
  <si>
    <t>Runi Asmaranto … [et al.]</t>
  </si>
  <si>
    <t>Hidrologi dan Pengelolaan Daerah Aliran Sungai</t>
  </si>
  <si>
    <t>Chay Asdak, M.Sc., Ph.D</t>
  </si>
  <si>
    <t>Ilmu Ukur Tanah (Edisi Revisi)</t>
  </si>
  <si>
    <t xml:space="preserve"> Slamet Basuki</t>
  </si>
  <si>
    <t>Mendesain Penelitian Hukum</t>
  </si>
  <si>
    <t>Heti S</t>
  </si>
  <si>
    <t xml:space="preserve"> Beluran RT 02/03, Sidomoyo
  Kecamatan: Godean
  Kabupaten/Kota: Sleman
  Provinsi:Yogyakarta</t>
  </si>
  <si>
    <t>Rayhan Aryasatya Prodjokusumo Prodjokusumo</t>
  </si>
  <si>
    <t>JL. PANJANG CIDODOL. KOMPLEK LEMIGAS BLOK C NO 3G, RT 016/ RW 009
Kebayoran Lama
Kota Jakarta Selatan
DKI Jakarta
12230</t>
  </si>
  <si>
    <t>dhanni</t>
  </si>
  <si>
    <t>Cinere Estate, Jl cendana I Blok B 42. Cinere, Depok. 16514 (Komplek depan Cinere mall)</t>
  </si>
  <si>
    <t>Multimanfaat Arang dan Asap Cair dari Limbah Biomasa</t>
  </si>
  <si>
    <t>Imas Aisyah</t>
  </si>
  <si>
    <t>Dandi Sunardi</t>
  </si>
  <si>
    <t>UM Bengkulu
Panti Asuhan Kasih Ibu Komplek Kampus 1 UMB Jalan Bali
Teluk Segara
Kota Bengkulu
Bengkulu
38119</t>
  </si>
  <si>
    <t>UM Bengkulu
Panti Asuhan Kasih Ibu Komplek Kampus 1 UMB Jalan Bali
Teluk Segara
Kota Bengkulu
Bengkulu
38120</t>
  </si>
  <si>
    <t>Simulasi Jaringan Network Administrator</t>
  </si>
  <si>
    <t>Sastya Hendri Wibowo dan Rozali Toyib</t>
  </si>
  <si>
    <t>dr wilda</t>
  </si>
  <si>
    <t>Jalan sunu komp Unhas blok P11
Tallo
Makassar
Sulawesi selatan</t>
  </si>
  <si>
    <t>NOVIA AGUSTINA</t>
  </si>
  <si>
    <t>Jalan Dharma Budi I No.12, RT.19/RW.2, Pemurus Luar, Banjarmasin Timur, KOTA BANJARMASIN, BANJARMASIN TIMUR, KALIMANTAN SELATAN, ID, 70236</t>
  </si>
  <si>
    <t>Jalan Dharma Budi I No.12, RT.19/RW.2, Pemurus Luar, Banjarmasin Timur, KOTA BANJARMASIN, BANJARMASIN TIMUR, KALIMANTAN SELATAN, ID, 70237</t>
  </si>
  <si>
    <t>Jalan Dharma Budi I No.12, RT.19/RW.2, Pemurus Luar, Banjarmasin Timur, KOTA BANJARMASIN, BANJARMASIN TIMUR, KALIMANTAN SELATAN, ID, 70238</t>
  </si>
  <si>
    <t>Buku Sistem Kontrol Otomotif</t>
  </si>
  <si>
    <t>Wachid Yahya</t>
  </si>
  <si>
    <t>Jalan Dharma Budi I No.12, RT.19/RW.2, Pemurus Luar, Banjarmasin Timur, KOTA BANJARMASIN, BANJARMASIN TIMUR, KALIMANTAN SELATAN, ID, 70239</t>
  </si>
  <si>
    <t>Jalan Dharma Budi I No.12, RT.19/RW.2, Pemurus Luar, Banjarmasin Timur, KOTA BANJARMASIN, BANJARMASIN TIMUR, KALIMANTAN SELATAN, ID, 70240</t>
  </si>
  <si>
    <t>Manajemen Keuangan Dan Kewirausahaan Sukses</t>
  </si>
  <si>
    <t>M. Shoffa Saifillah Alfaruq &amp; Winda Agustin</t>
  </si>
  <si>
    <t>Jalan Dharma Budi I No.12, RT.19/RW.2, Pemurus Luar, Banjarmasin Timur, KOTA BANJARMASIN, BANJARMASIN TIMUR, KALIMANTAN SELATAN, ID, 70241</t>
  </si>
  <si>
    <t>Jalan Dharma Budi I No.12, RT.19/RW.2, Pemurus Luar, Banjarmasin Timur, KOTA BANJARMASIN, BANJARMASIN TIMUR, KALIMANTAN SELATAN, ID, 70242</t>
  </si>
  <si>
    <t>SISTEM INFORMASI</t>
  </si>
  <si>
    <t>Muhammad Tajuddin, dkk</t>
  </si>
  <si>
    <t>Jalan Dharma Budi I No.12, RT.19/RW.2, Pemurus Luar, Banjarmasin Timur, KOTA BANJARMASIN, BANJARMASIN TIMUR, KALIMANTAN SELATAN, ID, 70243</t>
  </si>
  <si>
    <t>Chassis Kendaraan Ringan</t>
  </si>
  <si>
    <t>Febrian, dkk</t>
  </si>
  <si>
    <t>Jalan Dharma Budi I No.12, RT.19/RW.2, Pemurus Luar, Banjarmasin Timur, KOTA BANJARMASIN, BANJARMASIN TIMUR, KALIMANTAN SELATAN, ID, 70244</t>
  </si>
  <si>
    <t>Abdul Kohar</t>
  </si>
  <si>
    <t>Kp. Cikalagan RT.2/RW.10 Penitipan motor smile, masuk gang dikit, belok kanan, KAB. BOGOR, CILEUNGSI, JAWA BARAT, ID, 16820</t>
  </si>
  <si>
    <t>yusuf</t>
  </si>
  <si>
    <t>samarinda,kalimantan</t>
  </si>
  <si>
    <t>Epidemiologi Kesehatan Reproduksi</t>
  </si>
  <si>
    <t>Jeini Ester Nelwan</t>
  </si>
  <si>
    <t>Preeklampsia Berat dan Eklampsia: Tatalaksana Anestesia Perioperatif</t>
  </si>
  <si>
    <t>Diana Christine Lalenoh</t>
  </si>
  <si>
    <t>Buku Ajar Asuhan Kebidanan Komunitas Konsep &amp; Manajemen Asuhan</t>
  </si>
  <si>
    <t>Rizkia Amilia dan Nurul Qamariah Rista Andaruni</t>
  </si>
  <si>
    <t>Konsep Dasar Sistem Informasi Kesehatan</t>
  </si>
  <si>
    <t>Cara Mudah Menjadi Bidan yang Komunikatif</t>
  </si>
  <si>
    <t>Octa Dwienda Ristica, S.K.M., M.Kes. Dkk</t>
  </si>
  <si>
    <t>Metode Penelitian Kebidanan</t>
  </si>
  <si>
    <t>Nurhasanah, Diyanah Kumalasary, dan Ria Yulianti Triwahyuningsih</t>
  </si>
  <si>
    <t>Modul Pelatihan Kader Posbindu Penyakit Tidak Menular</t>
  </si>
  <si>
    <t>Wuri Ratna Hidayani dan Teni Supriyani</t>
  </si>
  <si>
    <t>Metodologi Penelitian Pedoman Penulisan Karya Tulis Ilmiah (KTI)</t>
  </si>
  <si>
    <t>Vigih Hery Kristanto</t>
  </si>
  <si>
    <t>Sistem Endokrin</t>
  </si>
  <si>
    <t>Nixson Manurung</t>
  </si>
  <si>
    <t>Metodologi Riset Kesehatan Teknologi Laboratorium Medik dan Bidang Kesehatan Lainnya</t>
  </si>
  <si>
    <t>Agus Joko Praptomo, S.Si., M.Si. Dkk</t>
  </si>
  <si>
    <t>Peranan Gizi dalam Upaya Pencegahan Penyakit Tidak Menular</t>
  </si>
  <si>
    <t xml:space="preserve"> Dr. Susetyowati, DCN., M.Kes, dkk</t>
  </si>
  <si>
    <t>Anton</t>
  </si>
  <si>
    <t>Sendangsari Utara X No. 175-A Kel. Kalicari
  Kecamatan: Pedurungan
Kota: Semarang
  Provinsi: Jateng</t>
  </si>
  <si>
    <t>Hidroksiapatit Berbahan Dasar Biogenik</t>
  </si>
  <si>
    <t>Prof. Dr. Eng. Yusril Yusuf, S.Si., M.Si., M.Eng, dkk</t>
  </si>
  <si>
    <t>Nia Alfiatin</t>
  </si>
  <si>
    <t>Kontrakan Abah Yahya, Jalan Jemur Wonosari Gang I No.29 B, RT.4/RW.3, Jemur Wonosari, Wonocolo (Balai RW), KOTA SURABAYA, WONOCOLO, JAWA TIMUR, ID, 60236</t>
  </si>
  <si>
    <t>Pemulihan Ekonomi Jawa Timur di Era Tatanan Baru</t>
  </si>
  <si>
    <t>Budi Setiawan</t>
  </si>
  <si>
    <t>Annisa Maharani (NIA)</t>
  </si>
  <si>
    <t>Jl. Irigasi No.4 Blok masmantu RT.01/ RW. 02, Losari Lor kecamatan Losari , KAB. CIREBON, LOSARI, JAWA BARAT, ID, 45192</t>
  </si>
  <si>
    <t>Khamim Mukhrodl</t>
  </si>
  <si>
    <t>SDIT AL FIRDAUS, Jl. Raya Nogosari-Simo KM. 1, Glonggong, KAB. BOYOLALI, NOGOSARI, JAWA TENGAH, ID, 57378</t>
  </si>
  <si>
    <t>Erlangga</t>
  </si>
  <si>
    <t>Jalan Budi Utomo, Kelurahan Sungai Benteng RT 03 Rw 09 Kecamatan Singkut (Dekat SDN 57 ), KAB. SAROLANGUN, SINGKUT, JAMBI, ID, 37482</t>
  </si>
  <si>
    <t>Windya Fitra Sari</t>
  </si>
  <si>
    <t>Sungai Beringin, Jln. Kalimantan. Gg. Gaol, KAB. INDRAGIRI HILIR, TEMBILAHAN, RIAU, ID, 29214</t>
  </si>
  <si>
    <t>Kemarau di Sei Lesan</t>
  </si>
  <si>
    <t>Amry Rasyadany</t>
  </si>
  <si>
    <t>Nabela Fikriyya</t>
  </si>
  <si>
    <t>Timur Akper Al hikmah 2 Benda 1 No 54 Rt 003 Rw 001 Ds Benda Kec Sirampog Kab Brebes , KAB. BREBES, SIRAMPOG, JAWA TENGAH, ID, 52272</t>
  </si>
  <si>
    <t>Li W</t>
  </si>
  <si>
    <t>Raya rungkut kidul 60
Rungkut, Kota Surabaya, 60293
Jawa Timu</t>
  </si>
  <si>
    <t>puddin</t>
  </si>
  <si>
    <t xml:space="preserve"> LA/09 RT 05 RW 04 · Bukit Tempayan Kepulauan Riau Kota Batam Batu Aji Indonesia Kota Batam</t>
  </si>
  <si>
    <t>Abd Rahma0n Ahmad, Khairunesa Isa dan Meri Enita Puspita Sari</t>
  </si>
  <si>
    <t>Runda Lee</t>
  </si>
  <si>
    <t>BUKIT MENTENG/PG TK SAINT ENOCK Blok A08 no.26 · Sukamaju Jawa Barat Kab. Bogor Jonggol Indonesia Kab. Bogor</t>
  </si>
  <si>
    <t>Teori dan Filsafat Ilmu Pemerintahan Edisi Revisi</t>
  </si>
  <si>
    <t>Dr. Rira Nuradhawati, S.IP., M.Si.</t>
  </si>
  <si>
    <t>Kegawatdaruratan Cidera Otak (Pendekatan Teori Praktis dan Dilengkapi Asuhan Keperawatan)</t>
  </si>
  <si>
    <t>Ardhiles Wahyu K.</t>
  </si>
  <si>
    <t>Peningkatan Kualitas Personal dan Profesional Perawat melalui Pengembangan Keprofesian Berkelanjutan (PKB)</t>
  </si>
  <si>
    <t>Ike Puspitaningrum &amp; Tri Hartiti</t>
  </si>
  <si>
    <t>Dukungan Keluarga dalam Pemberian ASI Eksklusif</t>
  </si>
  <si>
    <t>Pomarida Simbolon</t>
  </si>
  <si>
    <t>Esp for Nurses</t>
  </si>
  <si>
    <t>Suryani Jihad</t>
  </si>
  <si>
    <t>Buku Ajar Teori Kimia Analitik Teknologi Laboratorium Medis</t>
  </si>
  <si>
    <t>Stalis Norma Ethica</t>
  </si>
  <si>
    <t>Buku Ajar Parasitologi</t>
  </si>
  <si>
    <t>Hendra Kurniawan</t>
  </si>
  <si>
    <t>Amjaz Kresna</t>
  </si>
  <si>
    <t>Kantor Ditintelkam Polda Maluku JL. DR. Sitanala RT. 001 / RW. 003
Sirimau
Kota Ambon
Maluku
97123</t>
  </si>
  <si>
    <t>Filsafat Hukum</t>
  </si>
  <si>
    <t>Supri Gantu (Alibobag)</t>
  </si>
  <si>
    <t xml:space="preserve">Lintasan Deansi', Kompleks SDN 1, Lingkungan 2, Bilalang 3, Daerah Istimewa Bolaang Mongondow, Indonesia, 95751
(Kec. Bilalang, Kab. Bolaang Mongondow, Prov. Sulawesi Utara) 
</t>
  </si>
  <si>
    <t>Morfologi Tumbuhan</t>
  </si>
  <si>
    <t xml:space="preserve"> Gembong Tjitrosoepomo</t>
  </si>
  <si>
    <t>Perbenihan Tanaman: Dasar Ilmu Teknologi dan Pengelolaan</t>
  </si>
  <si>
    <t xml:space="preserve"> Prof. Dr. Ir. Prapto Yudono, M.Sc</t>
  </si>
  <si>
    <t>Pertanian Terpadu: Model Rancangbangun &amp; Penerapan Pada Zona Agroekosistem Lahan Kering</t>
  </si>
  <si>
    <t xml:space="preserve"> Rupa Matheus, dkk</t>
  </si>
  <si>
    <t>Putri Wulansari</t>
  </si>
  <si>
    <t>Jl.Desa Serdang Menang RT 006 RW 003 (Lorong depan masjid Nurussa'adah), KAB. OGAN KOMERING ILIR, SIRAH PULAU PADANG, SUMATERA SELATAN, ID, 30652
Informasi Jasa Kirim</t>
  </si>
  <si>
    <t>Ridho Ahsanal</t>
  </si>
  <si>
    <t>pondok ungu permai Blok NN 2 No. 20 RT 002 RW 026, Bekasi Utara, Bekasi, Jawa Barat, 17125</t>
  </si>
  <si>
    <t>Teknologi Sediaan Farmasi</t>
  </si>
  <si>
    <t>Hj. Aisyah Fatmawaty dkk</t>
  </si>
  <si>
    <t>jhon magai</t>
  </si>
  <si>
    <t>gereja katolik 1/2/02/03 · Deniyode (Deneiode) Papua Kab. Dogiyai Piyaiye (Sukikai) Indonesia Kab. Dogiyai</t>
  </si>
  <si>
    <t>Ahmad Somadi</t>
  </si>
  <si>
    <t>RTQ Izzatul Ulum Rt 001/011 · Karangsatria Jawa Barat Kab. Bekasi Tambun Utara Indonesia Kab. Bekasi</t>
  </si>
  <si>
    <t xml:space="preserve"> Lembuak Nusa Tenggara Barat (Ntb) Kab. Lombok Barat Narmada Indonesia Kab. Lombok Barat</t>
  </si>
  <si>
    <t>Sultan Firmansyah</t>
  </si>
  <si>
    <t>Jl. Pangeran Cakrabuana, Perumahan The Garden Blok C3/30, Kecomberan
  Kecamatan: Talun
  Kabupaten/Kota: Kabupaten Cirebon
  Provinsi: Jawa Barat</t>
  </si>
  <si>
    <t>Kependudukan, Teori, Fakta dan Masalah</t>
  </si>
  <si>
    <t>Achmad Faqih</t>
  </si>
  <si>
    <t>PUTRI MEISYA</t>
  </si>
  <si>
    <t xml:space="preserve"> Perum. Taman Aster Blok F2 No.24 Cikarang Barat, Kab Bekasi
  Kecamatan: Cikarang Barat
  Kabupaten/Kota: Kab. Bekasi
  Provinsi: Jawa Barat</t>
  </si>
  <si>
    <t>Memahami Perang Dagang AS – China dan Dampaknya Terhadap Perekonomian Global</t>
  </si>
  <si>
    <t>Dimasti Dano</t>
  </si>
  <si>
    <t>Dini Nuraini Wulandari</t>
  </si>
  <si>
    <t>Jl Tegal Arum, Gamping Kidul RT 01 RW 18, Ambarketawang, Gamping, Sleman,Yogyakarta (Kos Nadien), KAB. SLEMAN, GAMPING, DI YOGYAKARTA, ID, 55295</t>
  </si>
  <si>
    <t>Mar'attus Solihah</t>
  </si>
  <si>
    <t>Kampus 3, Jalan Hamka Km 2 Uin Walisongo No.2, Tambakaji, Ngaliyan, KOTA SEMARANG, NGALIYAN, JAWA TENGAH, ID, 50187</t>
  </si>
  <si>
    <t>Kampus 3, Jalan Hamka Km 2 Uin Walisongo No.2, Tambakaji, Ngaliyan, KOTA SEMARANG, NGALIYAN, JAWA TENGAH, ID, 50188</t>
  </si>
  <si>
    <t>Kampus 3, Jalan Hamka Km 2 Uin Walisongo No.2, Tambakaji, Ngaliyan, KOTA SEMARANG, NGALIYAN, JAWA TENGAH, ID, 50189</t>
  </si>
  <si>
    <t>yudha</t>
  </si>
  <si>
    <t>surabaya</t>
  </si>
  <si>
    <t>Herbalisme Tumbuhan Visioner dan Cerita Rakyat</t>
  </si>
  <si>
    <t>Potensi Tumbuhan Kanunang (Cordia myxa L.) Sebagai Bahan Obat Antidiabetes</t>
  </si>
  <si>
    <t>Ahmad Najib, dkk</t>
  </si>
  <si>
    <t>Prinsip Obat Herbal:Sebuah Pengantar untuk Fitoterapi</t>
  </si>
  <si>
    <t>Filsafat Ilmu dan Logika Manajemen dan Pariwisata</t>
  </si>
  <si>
    <t>I Gusti Bagus Rai Utama</t>
  </si>
  <si>
    <t>Merek Dagang Tingkatkan Ekonomi Kreatif</t>
  </si>
  <si>
    <t>Suryansyah, dkk</t>
  </si>
  <si>
    <t>Model Penulisan Tesis Manajemen Kuantitatif Berbasis Analisis dan Implikasi Manajerial</t>
  </si>
  <si>
    <t>Fakhry Zamzam &amp; Luis Marnisah</t>
  </si>
  <si>
    <t>Kewirausahaan dan Studi Kelayakan Bisnis untuk Memulai dan Mengelola Bisnis</t>
  </si>
  <si>
    <t>Apri Winge Adindo</t>
  </si>
  <si>
    <t>Buku Manajemen Pembiayaan Mikro (Koperasi Simpan Pinjam dan Lembaga Keuangan Mikro)</t>
  </si>
  <si>
    <t>Ahmad Subagyo</t>
  </si>
  <si>
    <t>Model Pemasaran 5.0 (Sinergisitas Human Capital Dan Teknologi Digital) Tahun 2019</t>
  </si>
  <si>
    <t>Kewirausahaan</t>
  </si>
  <si>
    <t>Kifni Yudianto</t>
  </si>
  <si>
    <t>Membangun Karakter, Kepribadian, Talenta dan Inovasi di Era Revolusi Industri 4.0 dan Masyarakat 5.0</t>
  </si>
  <si>
    <t>Buku Referensi Intellectual Capital Improve Your Employee Productivity and Performance</t>
  </si>
  <si>
    <t>Elvie Maria Silalahi</t>
  </si>
  <si>
    <t>Pengantar Ilmu Ekonomi Makro</t>
  </si>
  <si>
    <t>Asnah dan Dyanasari</t>
  </si>
  <si>
    <t>Marketing Management</t>
  </si>
  <si>
    <t>Zaenal Aripin</t>
  </si>
  <si>
    <t>Buku Referensi Strategi Pemasaran 5.0</t>
  </si>
  <si>
    <t>Intisari Manajemen Pemasaran</t>
  </si>
  <si>
    <t>Naida Fadilah Lestari…[et.al.]</t>
  </si>
  <si>
    <t>A Guide to Survive in the Corona Virus Pandemic and the Society 5.0 Era</t>
  </si>
  <si>
    <t>Vivin Zulfa Atina</t>
  </si>
  <si>
    <t>E-Business Strategi, Model, dan Penerapannya</t>
  </si>
  <si>
    <t>Kepemimpinan dan Berfikir Sistem</t>
  </si>
  <si>
    <t>Ismail Efendy &amp; Asriwati Amirah</t>
  </si>
  <si>
    <t>Strategi Pemasaran Jasa Asuransi PT Asuransi Umum Bumiputera Muda 1967 Cabang Dumai</t>
  </si>
  <si>
    <t>Variza Aditiya</t>
  </si>
  <si>
    <t>Metode Penelitian Untuk Bisnis dan Sosial</t>
  </si>
  <si>
    <t>Heri Supriadi</t>
  </si>
  <si>
    <t>Pembangunan Perekonomian Maluku</t>
  </si>
  <si>
    <t>Esther Kembauw,
Lexy J. Sinay dan Aphrodite M. Sahusilawane</t>
  </si>
  <si>
    <t>Pemberdayaan Ekonomi Masyarakat Lokal Dan Tanggung Jawab Sosial Perusahaan (Local Community Economic Empowerment And Corporate Social Responsibility) (Teori, Konsep, dan Implementasi Kebijakan Publik)</t>
  </si>
  <si>
    <t>Alexander Phuk Tjilen</t>
  </si>
  <si>
    <t>Pengantar Hukum Bisnis</t>
  </si>
  <si>
    <t>Wiyanto</t>
  </si>
  <si>
    <t>Pengetahuan Produk dan Konsep Harga: Pendekatan Filosofis dan Praktis</t>
  </si>
  <si>
    <t>Ai Lili Yuliati dan Marheni Eka Saputri</t>
  </si>
  <si>
    <t>Perpajakan</t>
  </si>
  <si>
    <t>Tongam Sinambela</t>
  </si>
  <si>
    <t>Restrukturisasi Organisasi Teori dan Aplikasi</t>
  </si>
  <si>
    <t>Dr. Ir. Yosef P. Koton, M.Si.</t>
  </si>
  <si>
    <t>Strategi Orientasi Pemasaran Dan Kinerja Organisasi Umkm</t>
  </si>
  <si>
    <t>Darmanto, Franciscus Xaverius Sri Wardaya, dan Lilis Sulistyani</t>
  </si>
  <si>
    <t>Strategi Pemasaran UKM Melalui Program CSR di Perbatasan Kalimantan Utara</t>
  </si>
  <si>
    <t>Rahmawati, Bramantika Oktaviani, &amp; Muh. Djamal</t>
  </si>
  <si>
    <t>Studi Kualitatif: Modal sosial dalam transaksi barter di Pasar tradisional</t>
  </si>
  <si>
    <t>Rahel Widiawati Kimbal</t>
  </si>
  <si>
    <t>Teori dan Kasus Manajemen Operasi</t>
  </si>
  <si>
    <t>Ed. Nandan Limakrisna</t>
  </si>
  <si>
    <t>Koperasi Unit Desa Di Daerah Istimewa Yogyakarta (Suatu Tinjauan Dan Analisis)</t>
  </si>
  <si>
    <t>Abi Pratiwa Siregar, Jamhari dan Lestari Rahayu Waluyati</t>
  </si>
  <si>
    <t>Loyalitas Nasabah Bank Syariah: 
Studi Atas Religitas, Kualitas Layanan, Trust, Dan Loyalitas</t>
  </si>
  <si>
    <t>Loyalitas Nasabah PD Bank Perkreditan Rakyat Wilayah Cirebon</t>
  </si>
  <si>
    <t>Dr. Muhammad Santoso, S.E., M.M.</t>
  </si>
  <si>
    <t>Loyalitas Pelanggan</t>
  </si>
  <si>
    <t>Mahathir Muhammad</t>
  </si>
  <si>
    <t>Loyalitas Pelanggan Berdasarkan Hasil Penelitian 
Pada Mahasiswa Universitas Swasta Di Kota Medan</t>
  </si>
  <si>
    <t>Lusiah</t>
  </si>
  <si>
    <t>Manajemen Hubungan Pelanggan Perbankan Syariah Indonesia</t>
  </si>
  <si>
    <t>Inggang Perwangsa Nuralam</t>
  </si>
  <si>
    <t>Manajemen Investasi Fundamental, Teknikal, Perilaku Investor dan Return Saham</t>
  </si>
  <si>
    <t>Dr. Musdalifah Azis, S.E., M.Si. Dkk</t>
  </si>
  <si>
    <t>Manajemen Keuangan</t>
  </si>
  <si>
    <t>Andewi Rokhmawati</t>
  </si>
  <si>
    <t>Manajemen Kewirausahaan Furnitur</t>
  </si>
  <si>
    <t>Dr. Nathanael Sitanggang, S.T., M.Pd., IPM. Dr. Ir. Putri Lynna A. Luthan, M.Sc., IPM.</t>
  </si>
  <si>
    <t>Manajemen Kinerja</t>
  </si>
  <si>
    <t>Nandang Djunaedi</t>
  </si>
  <si>
    <t>manajemen operasional Bandar Udara</t>
  </si>
  <si>
    <t>Arista Atmadjati, S.E., M.M.</t>
  </si>
  <si>
    <t>Retina Sri Sedjati</t>
  </si>
  <si>
    <t>Membedah Investasi Manuai Geliat Ekonomi</t>
  </si>
  <si>
    <t>Didin Fatihudin</t>
  </si>
  <si>
    <t>Membuat Laporan Keuangan Perusahaan Dagang Menggunakan MYOB Accounting18</t>
  </si>
  <si>
    <t>Endra Saputra, S.E., M.Ak.</t>
  </si>
  <si>
    <t>Memiliki Bpr Itu Mudah</t>
  </si>
  <si>
    <t>Eko Prasetiyo</t>
  </si>
  <si>
    <t>Menemukan Arah Kerjasama Ekonomi Indonesia Dengan Negara Mitra</t>
  </si>
  <si>
    <t>Yusuf Munandar</t>
  </si>
  <si>
    <t>Mengkaji Manajemen Krisis di Indonesia</t>
  </si>
  <si>
    <t>A. Halim Mahfudz</t>
  </si>
  <si>
    <t>Menuju Industri Kecil Menengah (IKM) Berdaya Saing Di Era Industri 4.0:
Produk Rotan Indonesia Bangkit</t>
  </si>
  <si>
    <t>Indra Muis &amp; Solikin</t>
  </si>
  <si>
    <t>Menumbuhkan Jiwa Kewirausahaan</t>
  </si>
  <si>
    <t>Rachmat Hidayat</t>
  </si>
  <si>
    <t>Merek Nafas Waralaba</t>
  </si>
  <si>
    <t>Slamet Yuswanto</t>
  </si>
  <si>
    <t>Manajemen Pemasaran Jasa: Dilengkapi dengan Hasil Penelitian
Empiris pada Institusi NSW di Indonesia</t>
  </si>
  <si>
    <t>Dr. Subagiyo Ali Mardo, MM.</t>
  </si>
  <si>
    <t>Manajemen Pengadaan Barang dan Jasa Pemerintah</t>
  </si>
  <si>
    <t>Putu Jati Arsana</t>
  </si>
  <si>
    <t>Manajemen Perbankan</t>
  </si>
  <si>
    <t>Ivalaina Astarina, S.E., M.M. &amp; Angga Hapsila, S.E., M.M.</t>
  </si>
  <si>
    <t>Manajemen Perbankan (Pendekatan Teoritis Dan Studi Empiris)</t>
  </si>
  <si>
    <t>Musdholifah, Ulil Hartono &amp; Yulita Wulandari</t>
  </si>
  <si>
    <t>Manajemen Pergudangan</t>
  </si>
  <si>
    <t>Dodi Permadi dan Liane Okdinawati</t>
  </si>
  <si>
    <t>Manajemen Periklanan</t>
  </si>
  <si>
    <t>Sylvie Nurfebiaraning</t>
  </si>
  <si>
    <t>Manajemen Risiko</t>
  </si>
  <si>
    <t>Reni Maralis, S.E., M.M. &amp; Aris Triyono, S.E., M.M.</t>
  </si>
  <si>
    <t>Manajemen Strategik: Model Permintaan Dan Strategi Memperoleh Keunggulan Kompetitif Bagi Bisnis Pariwisata</t>
  </si>
  <si>
    <t>Winarna, Endah Nawangsasi, dan Basuki Sri Rahayu</t>
  </si>
  <si>
    <t>Manajemen Sumber Daya Manusia Lanjutan</t>
  </si>
  <si>
    <t>Dr. Sanusi Hamid, S.E., M.Si.</t>
  </si>
  <si>
    <t>Manajemen Usaha Kecil</t>
  </si>
  <si>
    <t>Sri Maryanti, Rita Wiyati, &amp; M. Thamrin</t>
  </si>
  <si>
    <t>Manajemen Usaha Kecil Teori Dan Simulasinya</t>
  </si>
  <si>
    <t>Budhi Poniman dan Achmad Choerudin</t>
  </si>
  <si>
    <t>Marketing Syariah</t>
  </si>
  <si>
    <t>Ikhsan Bayanuloh, S.E., M.ESy.</t>
  </si>
  <si>
    <t>Memahami Riset Konsumen</t>
  </si>
  <si>
    <t>Bagus Nurcahyo</t>
  </si>
  <si>
    <t>Model Kepuasan dan Loyalitas Pelanggan Telepon Selular</t>
  </si>
  <si>
    <t>Dr. Ir. Nandan Limakrisna, M.M.&amp;Dr. Ir. Waseso Segoro, M.M.</t>
  </si>
  <si>
    <t>Modul PBB dan Bea Materai</t>
  </si>
  <si>
    <t>Suprihati dan Budiyono</t>
  </si>
  <si>
    <t>Modul Pelatihan Akuntansi Dasar</t>
  </si>
  <si>
    <t>Rukmini, Kristiyanti, dan Budiyono</t>
  </si>
  <si>
    <t>Modul Praktik Akuntansi Sektor Publik Informasi Umum dan Kertas Kerja</t>
  </si>
  <si>
    <t>Suhesti Ningsih, Maya Widyana D., dan Budiyono</t>
  </si>
  <si>
    <t>Multi Akad Dalam Lembaga Keuangan Syariah</t>
  </si>
  <si>
    <t>Nur Wahid</t>
  </si>
  <si>
    <t>MYOB Accounting 24</t>
  </si>
  <si>
    <t>Abdurrahman Ahmad dan Badrus Sholeh</t>
  </si>
  <si>
    <t>Operasionalisasi Myob Accounting (Bimbingan dan Praktek)</t>
  </si>
  <si>
    <t>Panduan Akuntansi Keuangan Bagi KOPDIT CUBerdasarkan SAK ETAP</t>
  </si>
  <si>
    <t>Sirus Sitanggang, dkk</t>
  </si>
  <si>
    <t>Panduan Perpajakan Dalam Belanja Desa</t>
  </si>
  <si>
    <t>Irawan Purwo Aji</t>
  </si>
  <si>
    <t>Peluang dan Tantangan Industri Jasa Konstruksi Indonesia Masyarakat Ekonomi
Asean</t>
  </si>
  <si>
    <t>Trihono Kadri</t>
  </si>
  <si>
    <t>Pemasaran dan Manajemen Pasar Sebuah Analisis Perspektif Terhadap Minat Beli dan Kepuasan Konsumen</t>
  </si>
  <si>
    <t>Iwan Kesuma Sihombing dan Ika Sari Dewi</t>
  </si>
  <si>
    <t>Pemasaran Era Milenium</t>
  </si>
  <si>
    <t>H. Samsul Arifin</t>
  </si>
  <si>
    <t>Pemasaran Kewirausahaan Industri Kreatif</t>
  </si>
  <si>
    <t>Dr. Dedi Sulistiyo Soegoto, M.T., Dr. Ir. Deden A. Wahab Sya’roni, M.Si. Dan Dr. Ir. Kartib Bayu, M.Si.</t>
  </si>
  <si>
    <t>Pencegahan Fraud Di Lembaga Keuangan Mikro Syariah</t>
  </si>
  <si>
    <t>Silviana Pebruary, dkk</t>
  </si>
  <si>
    <t>Pendekatan Teori &amp; Praktik Praktika Aplikasi Akuntansi</t>
  </si>
  <si>
    <t>Rizki Indrawan, Ifan Wicaksana Siregar, &amp; Nia Dwi Anggraeni</t>
  </si>
  <si>
    <t>Pengantar Akuntansi</t>
  </si>
  <si>
    <t>Hantono dan Namira Ufrida Rahmi</t>
  </si>
  <si>
    <t>Pengantar Akuntansi 1</t>
  </si>
  <si>
    <t>Euis Eka Pramiarsih</t>
  </si>
  <si>
    <t>Pengantar Akuntansi 2</t>
  </si>
  <si>
    <t>Pengantar Ekonomi Makro</t>
  </si>
  <si>
    <t>H. R Marwan Indra Saputra dan Aris Triyono</t>
  </si>
  <si>
    <t>Pengantar EKONOMI SUMBER DAYA
MANUSIA</t>
  </si>
  <si>
    <t>Dr. H. Amiruddin Idris, S.E., M.Si.</t>
  </si>
  <si>
    <t>Pengantar Green Economy</t>
  </si>
  <si>
    <t>Rizka Zulfikar, Prihatini Ade Mayvita &amp; Purboyo</t>
  </si>
  <si>
    <t>Dr. H. Bachrudin Sjaroni, S.E., M.M.</t>
  </si>
  <si>
    <t>Dr. H. Bachrudin Sjaroni, S.E., M.M. dkk</t>
  </si>
  <si>
    <t>Pengantar Sistem Informasi Akuntansi</t>
  </si>
  <si>
    <t>Setyorini</t>
  </si>
  <si>
    <t>Pengelolaan Keuangan Desa</t>
  </si>
  <si>
    <t>Pengukuran Kinerja Organisasi Nirlaba Dengan IPMS (Integrated Performance Measurement Systems)</t>
  </si>
  <si>
    <t>Nurul Aziza dan Patdono Suwignjo</t>
  </si>
  <si>
    <t>Peran Persepsi Nilai, Risiko &amp; Kepercayaan Masyarakat Terhadap Minat Beli Produk Hijau</t>
  </si>
  <si>
    <t>Rizka Zulfikar, dkk</t>
  </si>
  <si>
    <t>Perbankan Berbasis Nilai Etika</t>
  </si>
  <si>
    <t>Husain Insawan</t>
  </si>
  <si>
    <t>Perbankan Dan Literasi Keuangan</t>
  </si>
  <si>
    <t>Hadi Ismanto, dkk</t>
  </si>
  <si>
    <t>Perbankan Komputer (Teori dan Praktikum)</t>
  </si>
  <si>
    <t>Syamsul Rizal dan Muhammad Wali</t>
  </si>
  <si>
    <t>Perbankan Syariah Dalam Teori dan Praktik</t>
  </si>
  <si>
    <t>Dr. Djawahir Hejazziey, S.H., M.A., M.H.</t>
  </si>
  <si>
    <t>Perempuan Kapuk: Dinamika Perubahan Peran Ekonomi dan Budaya dalam
Feminisme Lokal</t>
  </si>
  <si>
    <t>Khoirul Huda dan Anjar Mukti Wibowo</t>
  </si>
  <si>
    <t>Perencanaan dalam Keuangan Perusahaan</t>
  </si>
  <si>
    <t>Sarah Usman</t>
  </si>
  <si>
    <t>Perencanaan dan Pengendalian Produksi</t>
  </si>
  <si>
    <t>Sugeng Purwoko</t>
  </si>
  <si>
    <t>Perilaku Konsumen</t>
  </si>
  <si>
    <t>Dyanasari dan Wiwiek Harwiki</t>
  </si>
  <si>
    <t>Perilaku Pengguna Internet Banking di Kota Surabaya</t>
  </si>
  <si>
    <t>Chairul Anam</t>
  </si>
  <si>
    <t>Peta Potensi dan Analisis Swot Ekonomi Kreatif Berorientasi Ekspor di
Surakarta</t>
  </si>
  <si>
    <t>Umrotun, Muhammad Wahyuddin dan Muhammad Sholahuddin</t>
  </si>
  <si>
    <t>Potensi Investasi di Provinsi Gorontalo</t>
  </si>
  <si>
    <t>Fachrudin Zain Olilingo</t>
  </si>
  <si>
    <t>Praktik Komunikasi di Dunia Bisnis</t>
  </si>
  <si>
    <t>A. Anditha Sari, S.Sos., M.I.Kom.</t>
  </si>
  <si>
    <t>Praktik Pengelolaan Keuangan Wirausaha Pemula</t>
  </si>
  <si>
    <t>Henny Sri Astuty</t>
  </si>
  <si>
    <t>Prinsip-Prinsip Dasar Kewirausahaan</t>
  </si>
  <si>
    <t>Iwan Shalahuddin, Indra Maulana dan Teresia Eriyani</t>
  </si>
  <si>
    <t>Produk dan Transaksi Akuntansi Bank Syariah</t>
  </si>
  <si>
    <t>Oyong Lisa</t>
  </si>
  <si>
    <t>Produk Pendanaan bank Syariah</t>
  </si>
  <si>
    <t>Dr. Sulaeman Jajuli, M.E.I.</t>
  </si>
  <si>
    <t>Restrukturisasi Organisasi: Teori dan Aplikasi dalam Mengefektifkan Pengelolaan Keuangan Daerah</t>
  </si>
  <si>
    <t>Ruang Lingkup dan Praktik Mediasi Sengketa Ekonomi Syari’ah</t>
  </si>
  <si>
    <t>Ahmad Mujahidin</t>
  </si>
  <si>
    <t>Semakin Dekat dengan Pasar Modal Indonesia</t>
  </si>
  <si>
    <t>Fransiskus Paulus Paskalis Abi, S.E., M.M.</t>
  </si>
  <si>
    <t>Seri Manajemen Koperasi dan UKM : Tata Kelola Koperasi yang Baik (Good Cooperative Governance)</t>
  </si>
  <si>
    <t>Martino Wibowo, Ahmad Subagyo</t>
  </si>
  <si>
    <t>Sistem Ekonomi Islam: Tinjauan Praktis dan Aplikatif</t>
  </si>
  <si>
    <t>Bambang A. Pramuka, Ph.D., Wiwiek R. Adawiyah, Ph.D., Chandra Suparno, S.E., M.Si.</t>
  </si>
  <si>
    <t>Sistem Informasi Akuntansi</t>
  </si>
  <si>
    <t>Sistem Informasi Pengelolaan Aset Perusahaan</t>
  </si>
  <si>
    <t>Dwi Iskandar, S.Kom.</t>
  </si>
  <si>
    <t>Skenario Kebijakan Swasembada Gula Indonesia</t>
  </si>
  <si>
    <t>Dyana Sari</t>
  </si>
  <si>
    <t>Spiritual Marketing</t>
  </si>
  <si>
    <t>Adzan Noor Bakri</t>
  </si>
  <si>
    <t>Standar dan Inovasi dalam Dinamika Perdagangan</t>
  </si>
  <si>
    <t>Biatna Dulbert Tampubolon dan Ajun Tri Setyoko</t>
  </si>
  <si>
    <t>Statistik Deskriptif untuk Ekonomi</t>
  </si>
  <si>
    <t>Saiful Ghozi dan Aris Sunindyo</t>
  </si>
  <si>
    <t>Strategi Manajemen Hubungan Pelanggan Dan Orientasi Pasar: Upaya Meningkatkan Kinerja Pemasaran Industri Furniture Di Jawa Timur Edisi Revisi</t>
  </si>
  <si>
    <t>Oscarius Yudhi Ari Wijaya</t>
  </si>
  <si>
    <t>Strategi Membangun Nilai Jasa dan Kepercayaan Pelanggan</t>
  </si>
  <si>
    <t>Dr. H. M Nasrullah Yusuf, S.E., MBA.</t>
  </si>
  <si>
    <t>Strategi Moneter Berbasis Ekonomi Syariah (Upaya Islami Mengatasi Inflasi) Edisi Revisi 2020</t>
  </si>
  <si>
    <t>Ahmad Mukri Aji &amp; Syarifah Gustiawati Mukri</t>
  </si>
  <si>
    <t>Strategi Pemasaran (Dilengkapi dengan Studi Empiris pada Industri Farmasi di DKI Jakarta, Jawa Barat, dan Banten)</t>
  </si>
  <si>
    <t>Dr. Rita Zahara, S.E., M.M.&amp;Drs. Ayi Wahid., M.M.</t>
  </si>
  <si>
    <t>Strategi Pengelolaan Perbankan di Indonesia</t>
  </si>
  <si>
    <t>Dr. Syahril Yoserizal&amp;Drs. Ayi Wahid, M.M.</t>
  </si>
  <si>
    <t>Strategi Peningkatan Daya Saing UMKM dalam Menghadapi Ekonomi
ASEAN</t>
  </si>
  <si>
    <t>Yanah, Haulah Nakhwatunnisa, dan Tri Amalia Sukarno</t>
  </si>
  <si>
    <t>Studi Kelayakan Bisnis Teori dan Aplikasi</t>
  </si>
  <si>
    <t>Sustainable Competitive Advantage Ekonomi Kreatif Indonesia dalam Dinamika Perdagangan Internasional</t>
  </si>
  <si>
    <t>Afni Regita Cahyani Muis</t>
  </si>
  <si>
    <t>Tembang Pantura (Kajian Manajemen Bauran Pemasaran Jasa Hiburan di Televisi Lokal Cirebon)</t>
  </si>
  <si>
    <t>Dr. Junaedi, S.E., M.M.</t>
  </si>
  <si>
    <t>Transfer Pricing &amp; Cara Membuat TP Doc</t>
  </si>
  <si>
    <t>Karianton Tampubolon dan Zulham Al
Farizi</t>
  </si>
  <si>
    <t>Jahe Tanaman Indonesia Berkhasiat</t>
  </si>
  <si>
    <t>Rini Hamsidi … [et al.]</t>
  </si>
  <si>
    <t>Adang Firmansyah … [et al.]</t>
  </si>
  <si>
    <t>Konsep Dasar Pelayanan Asuhan Keperawatan Gigi dan Mulut</t>
  </si>
  <si>
    <t>drg. Ita Astit Karmawati,dkk</t>
  </si>
  <si>
    <t>Mengenal dan Memahami Perjanjian dalam Asuransi Jiwa</t>
  </si>
  <si>
    <t>Esther Masri, Hirwansyah &amp; Rabiah Al Adawiah</t>
  </si>
  <si>
    <t>Penyuluhan Hukum Indonesia Kontemporer</t>
  </si>
  <si>
    <t>Andreas Dewantoro</t>
  </si>
  <si>
    <t>Pengantar Ilmu Hukum</t>
  </si>
  <si>
    <t>Ansari</t>
  </si>
  <si>
    <t>Ilmu Politik Hukum dari Masa ke Masa</t>
  </si>
  <si>
    <t>T. Mangaranap Sirait</t>
  </si>
  <si>
    <t>Kelembagaan Pemerintahan Negara Dalam Kajian Hukum Tata Negara Islam Dan Hukum Tata Negara Modern</t>
  </si>
  <si>
    <t>Hukum Korporasi di Indonesia dalam Pendekatan GRC Terintegrasi (Governance, Risk, Compliance)</t>
  </si>
  <si>
    <t>Deny Susanto</t>
  </si>
  <si>
    <t>Multi Level Marketing Syariah di Indonesia dalam Perspektif Maqashid Syariah</t>
  </si>
  <si>
    <t>H. Asyura, Leni Masnidar Nasution &amp; Imam Muhardinata</t>
  </si>
  <si>
    <t>Pedoman Penulisan Karya Tulis Ilmiah Bidang Hukum</t>
  </si>
  <si>
    <t>Dr. Hj. Tina Asmarawati., S.H., M.H.</t>
  </si>
  <si>
    <t>Mengenal Lebih Dekat Hukum Hak Kekayaan Intelektual</t>
  </si>
  <si>
    <t>Abdul Atsar</t>
  </si>
  <si>
    <t>Monograf Ilmu Hukum</t>
  </si>
  <si>
    <t>Prof. Dr. Esmi Warassih, S.H., M.S.</t>
  </si>
  <si>
    <t>Negara Hukum dan Demokrasi: Pergulatan Paradigmatik dan Kritik Realitas dalam Meluruskan Jalan Bernegara</t>
  </si>
  <si>
    <t>Dayanto</t>
  </si>
  <si>
    <t>NEGARA HUKUM&amp;DEMOKRASI</t>
  </si>
  <si>
    <t>DAYANTO, S.H., M.H.</t>
  </si>
  <si>
    <t>Notaris dan Penegakan Hukum Oleh Hakim</t>
  </si>
  <si>
    <t>Laurensius Arliman S</t>
  </si>
  <si>
    <t>Phaureula Artha Wulandari
dan Emy Iryanie</t>
  </si>
  <si>
    <t>Pemilihan Kepala Negara Perspektif Hukum Islam dan Hukum Positif
di Indonesia</t>
  </si>
  <si>
    <t>Dr. H. Sutisna, M.A.</t>
  </si>
  <si>
    <t>Pemberdayaan Lembaga Pemasyarakatan Terbuka Sebagai Wujud
Pelaksanaan Community Based Corrections di dalam Sistem Peradilan Pidana di
Indonesia</t>
  </si>
  <si>
    <t>Dr. Hamja, S.H., M.H.</t>
  </si>
  <si>
    <t>Penegakan Hukum Dan Hak Asasi Manusia Di Era Otonomi Daerah</t>
  </si>
  <si>
    <t>Johan Jasin</t>
  </si>
  <si>
    <t>Pengadaan Tanah untuk Kepentingan Umum: Sebuah Analisis dalam Presfektip Hukum &amp; Dampak Terhadap Prilaku Ekonomi Masyarakat</t>
  </si>
  <si>
    <t>Sugianto dan Leliya</t>
  </si>
  <si>
    <t>Pengantar Hukum Indonesia</t>
  </si>
  <si>
    <t>Pengantar Hukum Ketenagakerjaan</t>
  </si>
  <si>
    <t>Pengantar Hukum Pidana Islam</t>
  </si>
  <si>
    <t>H. Zainuddin</t>
  </si>
  <si>
    <t>Pengaturan Hukum Daerah Kepulauan</t>
  </si>
  <si>
    <t>Dr. Johanis Leatemia, S.H., M.H.</t>
  </si>
  <si>
    <t>Penyelesaian Sengketa di Luar Pengadilan Menurut Hukum Islam</t>
  </si>
  <si>
    <t>Jauhari</t>
  </si>
  <si>
    <t>Penyelesaian Sengketa Pelanggaran Merek</t>
  </si>
  <si>
    <t>Chandra Gita Dewi</t>
  </si>
  <si>
    <t>Perang dalam Perspektif Hukum Islam dan Hukum Humaniter Internasional</t>
  </si>
  <si>
    <t>Ahmad Maulana</t>
  </si>
  <si>
    <t>Peraturan Perundang-Undangan di Indonesia: Konsep dan Teknik Pembentukannya Berbasis Good Legislation</t>
  </si>
  <si>
    <t>Perihal Pengujian Peraturan Pemerintah Pengganti Undang-Undang</t>
  </si>
  <si>
    <t>Asri Muhammad Saleh dan Wira Atma Hajri</t>
  </si>
  <si>
    <t>Perjanjian Kredit Perbankan Dalam Perspektif Welfare State</t>
  </si>
  <si>
    <t>Dora Kusumastuti</t>
  </si>
  <si>
    <t>Perlindungan Anak (Undang-Undang Perlindungan Anak, UndangUndang Sistem Peradilan Pidana Anak, Wacana Kebiri dan Bahaya LGBT
bagi Regenerasi Bangsa)</t>
  </si>
  <si>
    <t>Perlindungan Hak Anak terhadap Pemberian Air Susu Ibu (ASI)</t>
  </si>
  <si>
    <t>Iman Jauhari,Rini Fitriani, &amp; Bustami</t>
  </si>
  <si>
    <t>Perlindungan Hak Kekayaan Intelektual Berdasarkan Prinsip Syariah dan Implementasinya pada Negara Kesejahteraan</t>
  </si>
  <si>
    <t>Perlindungan Hukum terhadap Anak yang Tidak Diketahui
Asal-Usulnya</t>
  </si>
  <si>
    <t>Enty Lafina Nasution, A.P., S.Sos., M.H.</t>
  </si>
  <si>
    <t>Perumusan Strategi Perusahaan Interaksi Hukum dengan Manajemen Strategis dalam Industri Pertahanan Indonesia</t>
  </si>
  <si>
    <t>PIDANA DENDA</t>
  </si>
  <si>
    <t>Politik hukum yayasan Pergeseran Asas non Profit ke Arah Profit jilid I
Pergeseran Asas Non Profit 
Ke Arah Profit 
Jilid I</t>
  </si>
  <si>
    <t>Ayih Sutarih</t>
  </si>
  <si>
    <t>Politik Hukum Yayasan Pergeseran Asas non Profit ke Arah Profit jilid II</t>
  </si>
  <si>
    <t>Politik Negara Atas Plularitas Hukum Dalam Penyelenggaraan Pemerintahan Daerah</t>
  </si>
  <si>
    <t>Dr. Teuku Saiful Bahri Johan</t>
  </si>
  <si>
    <t>Politik Pemerintahan Desa di Indonesia; Konsep tentang Desa, Kepemimpinan 
dan Manajemen Pemerintahan Desa</t>
  </si>
  <si>
    <t>Lalu Sopan Tirta Kusuma</t>
  </si>
  <si>
    <t>Problematika Petambangan Rakyat dan Solusi</t>
  </si>
  <si>
    <t>Prof. Dr. Fenty U. Puluhulawa, SH., M.Hum. Dan Nirwan Junus, S.H., M.H.</t>
  </si>
  <si>
    <t>Refleksi Pemikiran Hukum dan Politik Reformasi</t>
  </si>
  <si>
    <t>Reintegrasi: Praktek Pekerjaan Sosial dengan Anak yang 
Berkonflik Dengan Hukum</t>
  </si>
  <si>
    <t>Rekonstruksi Ketetapan MPR dalam Sistem Perundang-Undangan Indonesia</t>
  </si>
  <si>
    <t>Januari Sihotang</t>
  </si>
  <si>
    <t>Revolusi Longkang (Kumpulan Sajak Politik)</t>
  </si>
  <si>
    <t>Muchid Albintani</t>
  </si>
  <si>
    <t>Sari Filsafat Hukum</t>
  </si>
  <si>
    <t>SEPUTAR PERKEMBANGAN
SISTEM PERADILAN PIDANA ANAK &amp; TINDAK PIDANA NARKOTIKA DI INDONESIA</t>
  </si>
  <si>
    <t>Sosiologi Hukum Islam: Kajian Empirik Komunitas Sempalan</t>
  </si>
  <si>
    <t>M. Taufan B</t>
  </si>
  <si>
    <t>sosiologi Hukum Petasan Ditinjau dari Perspektif Hukum dan Kebudayaan</t>
  </si>
  <si>
    <t>Studi Konstitusi Uud 1945 Dan Sistem Pemerintahan</t>
  </si>
  <si>
    <t>Developing Mobile English Application as Teaching Media: Pengembangan Aplikasi Bahasa Inggris sebagai Media Pembelajaran</t>
  </si>
  <si>
    <t>A. Hamzah Fansury, Muh. Asfah Rahman &amp; Baso Jabu</t>
  </si>
  <si>
    <t>Issues In Applied Linguistics: Research &amp; Practice</t>
  </si>
  <si>
    <t>Santri E. P. Djahimo, et al.</t>
  </si>
  <si>
    <t>Belajar Bahasa Jepang Mudah dan Tuntas Seri Katakana</t>
  </si>
  <si>
    <t>Ilmu Pragmatik dalam Perspektif Kesopanan Berbahasa</t>
  </si>
  <si>
    <t>Yusri</t>
  </si>
  <si>
    <t>Folklore Melayu: dalam Bentuk dan Keragamannya</t>
  </si>
  <si>
    <t>Suhardi</t>
  </si>
  <si>
    <t>Antologi Kajian Linguistik dan Sastra Jepang</t>
  </si>
  <si>
    <t>Kadek Eva Krishna Adnyani, … [et al.]</t>
  </si>
  <si>
    <t>Nilai-Nilai Kearifan Lokal</t>
  </si>
  <si>
    <t>Rasid Yunus</t>
  </si>
  <si>
    <t>Perjuangan Mempertahankan Kemerdekaan Indonesia</t>
  </si>
  <si>
    <t>Koesmi Hartiyah</t>
  </si>
  <si>
    <t>Pengantar Komunikasi Perubahan Sosial</t>
  </si>
  <si>
    <t>Ali Alamsyah Kusumadinata</t>
  </si>
  <si>
    <t>Pengantar Sistem dan Perencanaan Transportasi</t>
  </si>
  <si>
    <t>Rudi Azis, S.T., M.Si dan Asrul, S.T.</t>
  </si>
  <si>
    <t>Pengantar Sosiologi Hukum</t>
  </si>
  <si>
    <t>Muhammad Zainal</t>
  </si>
  <si>
    <t>Pengantar Sosiologi Politik</t>
  </si>
  <si>
    <t>Dr. H.M. Syahri Thohir, Drs., S.H., M.H. dkk</t>
  </si>
  <si>
    <t>Pengawasan Dalam Badan Layanan Umum</t>
  </si>
  <si>
    <t>Sheila Miranda Hasibuan</t>
  </si>
  <si>
    <t>Pentingnya Mengenal Ilmu Sosial Budaya di Dalam Masyarakat (ISBD)</t>
  </si>
  <si>
    <t>Nurul Hartini, dkk</t>
  </si>
  <si>
    <t>Peran Kepemimpinan dalam Pengelolaan Koperasi</t>
  </si>
  <si>
    <t>Peran Komunikasi: Teori, Teknologi Informasi dan Komunikasi, Komunikasi Bisnis</t>
  </si>
  <si>
    <t>Peraturan Daerah Responsif
Fondasi Teoretik dan Pedoman
Pembentukannya</t>
  </si>
  <si>
    <t>Perempuan &amp; Politik dalam Islam</t>
  </si>
  <si>
    <t>Machmud Suwandi</t>
  </si>
  <si>
    <t>Perempuan Dayak Benawan: Kedudukan pada Struktur Domestik &amp; Publik</t>
  </si>
  <si>
    <t>Nikodemus Niko</t>
  </si>
  <si>
    <t>Perencanaan Pembangunan Partisipatif Desa</t>
  </si>
  <si>
    <t>Pergeseran Sikap Politik Massa NU, PPP, dan PKB : Analisa pada Pemilu Legislatif 2014 di Kota Tasikmalaya</t>
  </si>
  <si>
    <t>Edi Kusmayadi</t>
  </si>
  <si>
    <t>Perilaku Organisasi</t>
  </si>
  <si>
    <t>Astadi Pangarso</t>
  </si>
  <si>
    <t>Timotius Duha</t>
  </si>
  <si>
    <t>Perkawinan Beda Agama (Suatu Tinjauan Sosiologi)</t>
  </si>
  <si>
    <t>Agustin Sukses Dakhi, S.Sos., M.Pd.</t>
  </si>
  <si>
    <t>Perkembangan Ilmu Negara dalam Peradaban Globalisasi Dunia</t>
  </si>
  <si>
    <t>Negarawan Suatu Permulaan Hidup Baru</t>
  </si>
  <si>
    <t>Alfi Syahri</t>
  </si>
  <si>
    <t>Pendidikan Pancasila dan Kewarganegaraan</t>
  </si>
  <si>
    <t>Gawise</t>
  </si>
  <si>
    <t>Menjadi Jurnalis Fashion</t>
  </si>
  <si>
    <t>Purwosiwi Pandansari dan Setya Indah Isnawati</t>
  </si>
  <si>
    <t>Kebijakan Publik Teori dan Aplikasi</t>
  </si>
  <si>
    <t>Arifin Tahir</t>
  </si>
  <si>
    <t>Digital Sinematografi dalam Produksi Acara Televisi &amp; Film Edisi Revisi</t>
  </si>
  <si>
    <t>Menjadi Public Speaker Andal</t>
  </si>
  <si>
    <t>Viera Restuani Adia</t>
  </si>
  <si>
    <t>Power Negara</t>
  </si>
  <si>
    <t>Syarifurohmat Pratama Santoso dan Christine Anggi Sidjabat</t>
  </si>
  <si>
    <t>Layanan Perpustakaan Sekolah: Panduan Bagi Pemula</t>
  </si>
  <si>
    <t>Endang Fatmawati</t>
  </si>
  <si>
    <t>Belajar Sambil Bekerja dan Bekerja Sambil Belajar</t>
  </si>
  <si>
    <t>Muhammad Firdaus &amp; Frida Chairunisa</t>
  </si>
  <si>
    <t>Pengantar Sosiologi Umum: Menelusuri Kajian-Kajian Sosiologi</t>
  </si>
  <si>
    <t>Irwan … [et al.]</t>
  </si>
  <si>
    <t>The Introduction to Terrorism Studies in 21st Century: Maintaining The Stabilization of National Security</t>
  </si>
  <si>
    <t>Syarifurohmat Pratama Santoso</t>
  </si>
  <si>
    <t>Kajian Teori Organisasi dan Birokrasi dalam Pelayanan Publik</t>
  </si>
  <si>
    <t>H. Aras Solong &amp; Asri Yadi</t>
  </si>
  <si>
    <t>Toleransi Generasi Muda dalam Demokrasi Pancasila</t>
  </si>
  <si>
    <t>Muhammad Salisul Khakim</t>
  </si>
  <si>
    <t>Vince Tebay</t>
  </si>
  <si>
    <t>Kajian Strategis Keamanan Internasional</t>
  </si>
  <si>
    <t>Dino Martino…[et.al.]</t>
  </si>
  <si>
    <t>Media Sosial dan Masyarakat Pesisir: Refleksi Pemikiran Mahasiswa Bidikmisi</t>
  </si>
  <si>
    <t>Sitti Nurhalimah, dkk</t>
  </si>
  <si>
    <t>Membangun Budaya Organisasi pada Instansi Pemerintahan</t>
  </si>
  <si>
    <t>Dr. H. Tobari, S.E., M.Si.</t>
  </si>
  <si>
    <t>Membangun Internalisasi Kecerdasan Anti Korupsi pada Usia Sekolah (Model 
Learning)</t>
  </si>
  <si>
    <t>Membangun Keberagamaan Mencerahkan dan Mensejahterakan</t>
  </si>
  <si>
    <t>Muhammad Julijanto, S.Ag., M.Ag.</t>
  </si>
  <si>
    <t>Membangun Kepuasan dan Loyalitas Aparatur</t>
  </si>
  <si>
    <t>Emed Taryaman</t>
  </si>
  <si>
    <t>Membumikan Moral Dan Cita Benih Bangsa</t>
  </si>
  <si>
    <t>Brigida Intan Printina</t>
  </si>
  <si>
    <t>Menakar Haluan Pembangunan Kota Batam Ke Depan Studi Komparasi Kebijakan Ftz, Kek, Dan Otonomi Khusus</t>
  </si>
  <si>
    <t>Muhammad Zaenuddin, Wahyudi Kumorotomo, 
Samsubar Saleh, &amp; Agus Heruanto Hadna</t>
  </si>
  <si>
    <t>Menatap Bangsa Hoax Sebuah Catatan Penegakan Good Governance</t>
  </si>
  <si>
    <t>Subagio S. Waluyo</t>
  </si>
  <si>
    <t>Mengapa di Zaman Keterbukaan Publik Para Aparatur Takut Menjadi Pimpinan Proyek</t>
  </si>
  <si>
    <t>Yohanes Susanto dan Sardiyo Kartopawiro</t>
  </si>
  <si>
    <t>Mengembangkan Potensi Masyarakat di Desa &amp; Kelurahan</t>
  </si>
  <si>
    <t>E. Sujono</t>
  </si>
  <si>
    <t>Menggagas Dana Talangan Haji yang Lebih Berkeadilan Sosial</t>
  </si>
  <si>
    <t>Wuryaningsih Dwi Lestari, dkk</t>
  </si>
  <si>
    <t>Mengurai Benang-benang Kusut BUMN</t>
  </si>
  <si>
    <t>Almizan Ulfa</t>
  </si>
  <si>
    <t>Menyingkap Akar Kemiskinan Dalam Masyarakat Adat Papua: Studi Kasus Masyarakat 
Byak</t>
  </si>
  <si>
    <t>Hariman Dahrif</t>
  </si>
  <si>
    <t>Model Mediasi Penal Dalam Penanggulangan Konflik Kekerasan (Carok) Masyarakat Madura Berdasarkan Local Wisdom</t>
  </si>
  <si>
    <t>H. Cahyono</t>
  </si>
  <si>
    <t>Model Politik Kartel Dalam Pilkada Calon Tunggal Di Kabupaten Tasikmalaya</t>
  </si>
  <si>
    <t>Edi Kusmayadi, Subhan Agung dan Ahmad Satori</t>
  </si>
  <si>
    <t>Pancasila dan Kewarganegaraan</t>
  </si>
  <si>
    <t>Jimmy Hasoloan dkk</t>
  </si>
  <si>
    <t>Panduan Pembelajaran Sosiologi Sastra dengan Pendekatan Kontekstual Berbasis Kecerdasan Spiritual (KKS)</t>
  </si>
  <si>
    <t>Masnuatul Hawa, dkk</t>
  </si>
  <si>
    <t>Panduan Pengelolaan Risiko Bencana Berbasis Komunitas</t>
  </si>
  <si>
    <t>Eko Teguh Paripurno</t>
  </si>
  <si>
    <t>Paradigma Otonomi Khusus di Papua Barat</t>
  </si>
  <si>
    <t>Evi Satispi</t>
  </si>
  <si>
    <t>Participatory Rural Appraisal (PRA) for Corporate Social Responsibility 
(CSR)</t>
  </si>
  <si>
    <t>Pelembagaan Oposisi di Parlemen Studi tentang PDIP sebagai Peletak Dasar Partai
Oposisi di Indonesia</t>
  </si>
  <si>
    <t>Tuswoyo</t>
  </si>
  <si>
    <t>Pembangunan Endogen: Mengabaikan Peran Negara dalam Pembangunan</t>
  </si>
  <si>
    <t>Dr. Teguh Widodo</t>
  </si>
  <si>
    <t>Pembentukan Kabinet Kerja: Persoalan Hukum dan Politik</t>
  </si>
  <si>
    <t>Pembelajaran Pancasila dalam Membentuk Karakter Bangsa</t>
  </si>
  <si>
    <t>PEMERINTAHAN ACEH DAN
KEISTIMEWAANNYA
dalam Pembentukan dan
Penerapan Hukum Lokal</t>
  </si>
  <si>
    <t>Pemerintahan Asli Masyarakat Adat: Sebuah Studi Kepemimpinan Adat di Lembah Timur Ciamis, Jawa Barat</t>
  </si>
  <si>
    <t>Subhan Agung</t>
  </si>
  <si>
    <t>Pemetaan Resolusi Konflik Wilayah Provinsi Nusa Tenggara Barat</t>
  </si>
  <si>
    <t>Rossi Maunofa Widayat</t>
  </si>
  <si>
    <t>Pemilu dalam Transisi Demokrasi Indonesia</t>
  </si>
  <si>
    <t>Pemuda Penguat Pancasila Penggerak Inspirasi Bangsa</t>
  </si>
  <si>
    <t>Pendidikan Anti Korupsi Berbasis Multimedia 
(Untuk Perguruan Tinggi)</t>
  </si>
  <si>
    <t>Tasum &amp; Rani Apriani</t>
  </si>
  <si>
    <t>Penduduk Dan Kualitas Demokrasi: Kumpulan Artikel Kependudukan,
Politik Dan Pembangunan Demokrasi</t>
  </si>
  <si>
    <t>Penelitian Kualitatif untuk Ilmu Sosial dan Ilmu Politik</t>
  </si>
  <si>
    <t>Ihwan Nudin, S.Sos, M.Si.</t>
  </si>
  <si>
    <t>Perspektif Demokrasi Untuk Islam Indonesia</t>
  </si>
  <si>
    <t>Hasbullah Masudin Yamin</t>
  </si>
  <si>
    <t>Place Branding dalam Hubungan Internasional</t>
  </si>
  <si>
    <t>June Cahyaningtyas dan Sri Issundari</t>
  </si>
  <si>
    <t>Politik Hukum Model Otonomi Daerah Dan Kesejahteraan</t>
  </si>
  <si>
    <t>Sarjiyati</t>
  </si>
  <si>
    <t>Politik Hukum Pengaturan Pegawai Badan Usaha Milik Daerah</t>
  </si>
  <si>
    <t>Sudarminto</t>
  </si>
  <si>
    <t>Politik Hukum Sebuah Kajian Pendekatan Sosial</t>
  </si>
  <si>
    <t>Politik Sang Pemberontak</t>
  </si>
  <si>
    <t>Chairul Fahmi</t>
  </si>
  <si>
    <t>Populasi Opini Penyalahgunaan Kekuasaan</t>
  </si>
  <si>
    <t>Fellyanus Haba Ora</t>
  </si>
  <si>
    <t>Presentation and Public Speaking Improvement</t>
  </si>
  <si>
    <t>Indra Novianto Adibayu Pamungkas &amp; Diah Agung Esfandari</t>
  </si>
  <si>
    <t>Realitas dan Dinamika Politik Lokal</t>
  </si>
  <si>
    <t>Edi Kusmayadi, M.Si.</t>
  </si>
  <si>
    <t>Reformasi Birokrasi dalam Pelayanan Publik</t>
  </si>
  <si>
    <t>Yusriadi</t>
  </si>
  <si>
    <t>Satu Pasangan Calon Pada Pilkada Lebak 2018, Sebagai Kegagalan Partai Politik (Sebuah Catatan: Fenomena Politik Dan Budaya Di Banten)</t>
  </si>
  <si>
    <t>Muharam Albana &amp; Agus Hiplunudin</t>
  </si>
  <si>
    <t>Sejarah Nasional “Ketika Nusantara Berbicara”</t>
  </si>
  <si>
    <t>Joko Darmawan</t>
  </si>
  <si>
    <t>Sistem Pemerintahan Iran Modern : Konsep Wilayatul Faqih Imam Khomeini sebagai Teologi dalam Relasi Agama dan Demokrasi</t>
  </si>
  <si>
    <t>Akhmad Satori</t>
  </si>
  <si>
    <t>Sketsa Pemikiran Politik Islam</t>
  </si>
  <si>
    <t>Akhmad Satori dan Sulaiman Kurdi</t>
  </si>
  <si>
    <t>Sociopolitical Dimensions In Southeast Asia</t>
  </si>
  <si>
    <t>Suyatno, Baiq Wardhani, dan Ismail Suardi Wekke</t>
  </si>
  <si>
    <t>Sosiologi Pasar</t>
  </si>
  <si>
    <t>Sri Rahayu, Ariesta, &amp; Irwan</t>
  </si>
  <si>
    <t>Sosiologi Perdesaan: Sebuah Tinjauan Teoritis dan Praktikal</t>
  </si>
  <si>
    <t>Peribadi</t>
  </si>
  <si>
    <t>Sosiologi Politik</t>
  </si>
  <si>
    <t>Strategi dan Perubahan Sosial</t>
  </si>
  <si>
    <t>Irwan dan Indraddin</t>
  </si>
  <si>
    <t>Tanggung Jawab Sosial Perusahaan: Perspektif Pemasaran</t>
  </si>
  <si>
    <t>Mahrinasari MS</t>
  </si>
  <si>
    <t>Tata Kelola Pemerintahan 
Dan Pembangunan Desa</t>
  </si>
  <si>
    <t>Teori Pengambilan Keputusan dan Kepemimpinan</t>
  </si>
  <si>
    <t>Hari Sulaksono, S.E, M.M.</t>
  </si>
  <si>
    <t>Terorisme dalam Pemberitaan Media</t>
  </si>
  <si>
    <t>Dr. Indiwan Seto Wahjuwibowo</t>
  </si>
  <si>
    <t>Underutilization di Indonesia</t>
  </si>
  <si>
    <t>Aan Zulyanto, dkk</t>
  </si>
  <si>
    <t>Urgensi dan Kemandirian Desa</t>
  </si>
  <si>
    <t>Manajemen Badan Usaha Milik Desa</t>
  </si>
  <si>
    <t>Ibrahim</t>
  </si>
  <si>
    <t>Membangun Kepuasan Kerja dan Kinerja Pegawai (Dilengkapi dengan Hasil
Penelitian pada Para Guru Bersertifikasi di Kota Serang)</t>
  </si>
  <si>
    <t>Alpedi</t>
  </si>
  <si>
    <t>Pengembangan Sumber Daya Manusia</t>
  </si>
  <si>
    <t>Tarli Supriyatna</t>
  </si>
  <si>
    <t>Rekonstruksi Kontrak Kerja Outsourcing di Perusahaan</t>
  </si>
  <si>
    <t>Ir. Mas Muanam, M.H. &amp; Dr. Ronald Saija, S.H., M.H.</t>
  </si>
  <si>
    <t>Seri Pemasaran Politik : Kepuasan Masyarakat (Suatu Kajian Ilmiah mengenai Pelayanan Anggota Dewan Perwakilan Rakyat Daerah Provinsi Jawa Barat)</t>
  </si>
  <si>
    <t>Dodi Sukmayana</t>
  </si>
  <si>
    <t>Sistem Pendukung Keputusan</t>
  </si>
  <si>
    <t>Ari Basuki &amp; Andharini Dwi Cahyani</t>
  </si>
  <si>
    <t>Teori Organisasi Umum</t>
  </si>
  <si>
    <t>Muhamad Sigid Safarudin</t>
  </si>
  <si>
    <t>Edukasi Holistik Meningkatkan Self Efficacy Ibu Menghadapi Persalinan</t>
  </si>
  <si>
    <t>Farida Kartini</t>
  </si>
  <si>
    <t>Kualitas Pelayanan Kesehatan Ibu dan Anak (Tinjauan dalam Perspektif Kesehatan Masyarakat, Kedokteran, Keperawatan dan Kebidanan)</t>
  </si>
  <si>
    <t>Nurmiati Muchlis, … [et al.]</t>
  </si>
  <si>
    <t>Askeb Neonatus, Bayi, Balita dan Anak Prasekolah Series Imunisasi</t>
  </si>
  <si>
    <t>Putu Dian Prima Kusuma Dewi dan Putu Sukma Megaputri</t>
  </si>
  <si>
    <t>Komunikasi Nonverbal (Rahasia Menciptakan Hubungan Terapeutik)</t>
  </si>
  <si>
    <t>Wasis Nugroho</t>
  </si>
  <si>
    <t>Optimalisasi Kinerja Hasil Komparasi Algoritma C4.5 dan Naive Bayes Menggunakan Particle Swarm Optimization untuk Deteksi Dini Penentuan Status Gizi pada Balita</t>
  </si>
  <si>
    <t>Jon Idrison Molina &amp; Hari Soetanto</t>
  </si>
  <si>
    <t>Peran Keluarga Terhadap Pemberian ASI Eksklusif</t>
  </si>
  <si>
    <t>Robin Dompas</t>
  </si>
  <si>
    <t>Perilaku dalam Deteksi Dini Kanker Serviks</t>
  </si>
  <si>
    <t>Siti Fitriah</t>
  </si>
  <si>
    <t>Buku Ajar Kehamilan</t>
  </si>
  <si>
    <t>Lina Fitriani, Firawati &amp; Raehan</t>
  </si>
  <si>
    <t>ASI Eksklusif pada Bayi Post Sectio Caesarea</t>
  </si>
  <si>
    <t>Marni Siregar &amp; Hetty Panggabean</t>
  </si>
  <si>
    <t>Sayuran dan Buah Berwarna Merah, Antioksidan Penangkal Radikal Bebas</t>
  </si>
  <si>
    <t>Henny Juliastuti … [et al.]</t>
  </si>
  <si>
    <t>Matriks Metalloproteinase pada Ketuban Pecah Dini</t>
  </si>
  <si>
    <t>I Ketut Surya Negara</t>
  </si>
  <si>
    <t>Penanganan Virus HIV/AIDS</t>
  </si>
  <si>
    <t>R. Haryo Bimo Setiarto, Marni Br Karo &amp; Titus Tambaip</t>
  </si>
  <si>
    <t>Penyusunan Dokumen Akreditasi Klinik Kepemimpinan dan Manajemen Fasilitas Kesehatan (KMFK)</t>
  </si>
  <si>
    <t>Daniel Ginting &amp; Nina Fentiana</t>
  </si>
  <si>
    <t>Modul Deteksi Dini Risiko Tinggi Kehamilan (Melalui Aplikasi m.d-Risti)</t>
  </si>
  <si>
    <t>Ketut Suarayasa, Bertin Ayu Wandira &amp; I Nyoman Santias</t>
  </si>
  <si>
    <t>Pernikahan Dini Usia Remaja</t>
  </si>
  <si>
    <t>Yekti Satriyandari &amp; Fitria Siswi Utami</t>
  </si>
  <si>
    <t>Higiene Industri Pajanan Benzena</t>
  </si>
  <si>
    <t>Ikhram Hardi S., Suharni Andi Fachrin &amp; Asri Mulyati</t>
  </si>
  <si>
    <t>Penatalaksanaan Terpadu Penyakit Tidak Menular (Pedoman Bagi Kader dan Masyarakat)</t>
  </si>
  <si>
    <t>Yanti Cahyati … [et al.]</t>
  </si>
  <si>
    <t>Keselamatan dan Kesehatan Kerja (K3) dalam Peternakan Unggas</t>
  </si>
  <si>
    <t>Elis Juariah &amp; Mujiyono</t>
  </si>
  <si>
    <t>Pemberdayaan, Pembinaan dan Peningkatan Derajat Kesehatan Masyarakat Desa Sei Mawang dan Mengkiang</t>
  </si>
  <si>
    <t>Marlenywati, Hanum Mukti Rahayu, &amp; Abduh Ridha</t>
  </si>
  <si>
    <t>Persepsi Kesehatan Masyarakat Pesisir</t>
  </si>
  <si>
    <t>Oksfriani Jufri Sumampouw dan Nuddin Harahap</t>
  </si>
  <si>
    <t>Moh. Guntur Nangi, Fitri Yanti, dan Sari Arie Lestari</t>
  </si>
  <si>
    <t>Penelitian Kualitatif Bidang Kesehatan Masyarakat</t>
  </si>
  <si>
    <t>Sri Asih Gahayu &amp; Mohd Fuad Mohd Salleh</t>
  </si>
  <si>
    <t>Perubahan Iklim Dan Kesehatan Masyarakat</t>
  </si>
  <si>
    <t>Manajemen Pemasaran Pariwisata Pengembangan Potensi Produk Wisata Perdesaan</t>
  </si>
  <si>
    <t>I Made Bayu Wisnawa, Putu Agus Prayogi &amp; I Ketut Sutapa</t>
  </si>
  <si>
    <t>Menggagas Agro-Eduwisata Tumba Menuju Kemandirian Masyarakat</t>
  </si>
  <si>
    <t>Marini Susanti Hamidun</t>
  </si>
  <si>
    <t>Pemasaran Jasa Pariwisata (dilengkapi dengan Model Peneltian Pariwisata Gedung Heritage di Bandung Raya)</t>
  </si>
  <si>
    <t>Hj. R. Dewi Pertiwi</t>
  </si>
  <si>
    <t>Optimalisasi Potensi Nilai Kesejarahan di Kawasan Pesisir Marunda, Jakarta Utara Sebagai Daya Tarik Wisata</t>
  </si>
  <si>
    <t>Pedoman Praktis Hotel Engineering dan Maintenance</t>
  </si>
  <si>
    <t>Ichwan Prastowo, S.Pd., M.Par</t>
  </si>
  <si>
    <t>Pengelolaan Danau Limboto dalam Perspektif Implementasi Kebijakan Publik</t>
  </si>
  <si>
    <t>Erwin Zubair Gobel dan Yosef P. Koton</t>
  </si>
  <si>
    <t>Segmentasi Pengunjung Daya Tarik Wisata Warisan Budaya Dunia Jatiluwih</t>
  </si>
  <si>
    <t>I Gusti Bagus Rai Utama &amp; Ni Luh Christine Prawita Sari Suyasa</t>
  </si>
  <si>
    <t>Sistem Informasi Manajemen Pemanduan Wisata</t>
  </si>
  <si>
    <t>Iputu Hardani Hesti Duari</t>
  </si>
  <si>
    <t>Manajemen Pemasaran Jasa Perhotelan (Dilengkapi dengan Hasil
Riset Pada Hotel Berbintang di Sumatera Utara)</t>
  </si>
  <si>
    <t>Dr. Andriasan Sudarso., S.Mn., MM., CMA</t>
  </si>
  <si>
    <t>Pembesaran Ikan Lele dengan Sapta Usaha: Penjualan dengan Bauran Orientasi Strategi untuk Usaha Mikro Kecil Menengah</t>
  </si>
  <si>
    <t>Darmanto dan Kuntono</t>
  </si>
  <si>
    <t>Petunjuk Praktis Budidaya Ikan</t>
  </si>
  <si>
    <t>Yulfiperius</t>
  </si>
  <si>
    <t>Kriteria Seleksi Induk Lele Mutiara Transgenik Matang Gonad dan Siap Pijah untuk Produksi Massal</t>
  </si>
  <si>
    <t>Ibnu Dwi Buwono…[et.al.]</t>
  </si>
  <si>
    <t>Kebutuhan Nutrisi Induk dan Larva Ikan</t>
  </si>
  <si>
    <t>Haryati</t>
  </si>
  <si>
    <t>Nelayan Suatu Tinjauan Sosiologi Ekonomi</t>
  </si>
  <si>
    <t>Andi Adri Arief … [et al.]</t>
  </si>
  <si>
    <t>Perikanan Budidaya Laut Teluk Saleh: Pendekatan Multidimensi Menuju 
Pengelolaan Holistik</t>
  </si>
  <si>
    <t>Muhammad Marzuki</t>
  </si>
  <si>
    <t>Petunjuk Lengkap Budidaya Kepiting Cangkang Lunak</t>
  </si>
  <si>
    <t>Dr. Ir. M. Ahsin Rifa’i, M.Si. Dan Dr. Ir. Hadiratul Kudsiah, M.P.</t>
  </si>
  <si>
    <t>Pengaruh pemberdayaan masyarakat dalam mengolah hasil laut menjadi 
MP ASI</t>
  </si>
  <si>
    <t>Yessy Nur Endah Sary &amp; Tutik Hidayati</t>
  </si>
  <si>
    <t>Blue Print Pengembangan Sapi Potong Di Wilayah Badan Kerja Sama Utara-Utara (BKSU) (Gorontalo Utara, Buol, Bolaang Mongondow Utara, Bone Bolango) : (Menuju Populasi Satu Juta Ekor Di Kawasan Badan Kerja Sama Utara-Utara)</t>
  </si>
  <si>
    <t>Fahrudin Zain Olilingo, dkk</t>
  </si>
  <si>
    <t>Histologi dan Ilmu Dasar Pengawetan Kulit Ternak</t>
  </si>
  <si>
    <t>Muhammad Irfan 
Said</t>
  </si>
  <si>
    <t>Ipteks Peternakan Indonesia (Gagasan dan Pemikiran Guru Besar Fakultas 
Peternakan Universitas Hasanuddin)</t>
  </si>
  <si>
    <t>Kajian Islam Profesi Peternakan</t>
  </si>
  <si>
    <t>Prof. Dr. Drh. Rr. Retno Widyani, M.S., M.H.</t>
  </si>
  <si>
    <t>Pengelolaan Hijauan Pakan Ternak dalam Sistem Peternakan Tradisional</t>
  </si>
  <si>
    <t>Yusuf Akhyar Sutaryono</t>
  </si>
  <si>
    <t>Pengantar Ilmu Peternakan, Domba, Kambing, Babi</t>
  </si>
  <si>
    <t>Sri Rachma
Aprilita Bugiwati</t>
  </si>
  <si>
    <t>Pengenalan Budidaya 
Aneka Ternak Unggas</t>
  </si>
  <si>
    <t>Elis Juariah dan Mujiyono</t>
  </si>
  <si>
    <t>Sistem Produksi Sapi Potong</t>
  </si>
  <si>
    <t>Jefirstson Ricshet Riwukore dan Fellyanus Haba Ora</t>
  </si>
  <si>
    <t>Sistem Komunikasi Anak dengan Hambatan Pendengaran</t>
  </si>
  <si>
    <t>Iklim Organisasi: Perspektif Psikologi</t>
  </si>
  <si>
    <t>Erika Setyanti Kusumaputri</t>
  </si>
  <si>
    <t>Mortido (Ketakutan, Keserakahan dan Keawasan Sebuah Evolusi Peradaban) Edisi Revisi</t>
  </si>
  <si>
    <t>Fenomena Burnout Penolong Pada Bencana (Studi Kasus Staf dan Relawan Bidang Bencana)</t>
  </si>
  <si>
    <t>Yuli Arinta Dewi</t>
  </si>
  <si>
    <t>Aksesibilitas Bagi Penyandang Tunanetra di Lingkungan Lahan Basah</t>
  </si>
  <si>
    <t>Imam Yuwono, Mirnawati</t>
  </si>
  <si>
    <t>Human Resources Risk Management dalam Era Revolusi Industri 4.0</t>
  </si>
  <si>
    <t>S. Anandha Handoko H</t>
  </si>
  <si>
    <t>Buku Ajar Psikologi</t>
  </si>
  <si>
    <t>Octa Dwienda Ristica, dkk</t>
  </si>
  <si>
    <t>Dynamic Interpersonal Skills</t>
  </si>
  <si>
    <t>Implementasi Manajemen Bimbingan Konseling Di Sekolah/Madrasah</t>
  </si>
  <si>
    <t>Innovative Behavior At Work : Tinjauan Psikologi &amp; Implementasi Di Organisasi</t>
  </si>
  <si>
    <t>Muslim, Abdul Hayyie Al-Kattani, &amp; Wido Supraha</t>
  </si>
  <si>
    <t>Metode Penelitian Psikologi Pendidikan</t>
  </si>
  <si>
    <t>Dr. Eva Latipah, M.Si.</t>
  </si>
  <si>
    <t>Monografi : Psikologi Kearifan Lokal Perempuan Dalam Pengasingan (Di Kawasan Indonesia Bagian Timur)</t>
  </si>
  <si>
    <t>Y. Sahetapy, dkk.</t>
  </si>
  <si>
    <t>Vilta Biljana Bernadethe 
Lefaan dan Yana Suryana</t>
  </si>
  <si>
    <t>Yes or Not Gadget Buat Si Buah Hati</t>
  </si>
  <si>
    <t>Indiana Sunita &amp; Eva Mayasari</t>
  </si>
  <si>
    <t>Manajemen Sumber Daya Manusia: Pendekatan Teoritis dan Praktis</t>
  </si>
  <si>
    <t>Sumber Daya Manusia dalam Organisasi &amp; Manajemen: Konsep
dan Dimensi Peningkatan Produktivitas Kerja</t>
  </si>
  <si>
    <t>Dr. Zuki Kurniawan, S.E., M.Si.</t>
  </si>
  <si>
    <t>Psikologi Industri dan Organisasi</t>
  </si>
  <si>
    <t>Trisita Novianti</t>
  </si>
  <si>
    <t>H. Kabir</t>
  </si>
  <si>
    <t>Perencanaan Manajemen Sumberdaya Manusia</t>
  </si>
  <si>
    <t>Dr. Capt. H M. Thamrin, M.M.</t>
  </si>
  <si>
    <t>Betty Riadini &amp; Abdul
Bar</t>
  </si>
  <si>
    <t>Ekologi Industri</t>
  </si>
  <si>
    <t>Nurhasan Syah &amp; Yun Hendri Danhas</t>
  </si>
  <si>
    <t>Komunikasi Data</t>
  </si>
  <si>
    <t>Januar Al Amien, Harun Mukhtar &amp; Edo Arribe</t>
  </si>
  <si>
    <t>Matematika Berbasis Ms Excel</t>
  </si>
  <si>
    <t>Yuliani H. R.</t>
  </si>
  <si>
    <t>Pedoman Manajemen E-Jurnal SEJOLI (SPECTA Journal Of Technology)</t>
  </si>
  <si>
    <t>Andromeda Dwi Laksono … [et al.]</t>
  </si>
  <si>
    <t>Filsafat Matematika Abad Ke-21</t>
  </si>
  <si>
    <t>Geografi Pariwisata</t>
  </si>
  <si>
    <t>Edriana Pangestuti &amp; Supriono</t>
  </si>
  <si>
    <t>Aplikasi Open Hardware pada Laboratorium Hidrodinamika</t>
  </si>
  <si>
    <t>Eko Sasmito Hadi</t>
  </si>
  <si>
    <t>Aplikasi Raspberry Pi 4 Berbasis Phyton dan IOT Platform Cayenne</t>
  </si>
  <si>
    <t>Nyaris Pambudiyatno, M. Rifai dan Bambang Bagus Harianto</t>
  </si>
  <si>
    <t>Kamus Kimia Edisi Ketiga</t>
  </si>
  <si>
    <t>Mulyono HAM</t>
  </si>
  <si>
    <t>Disaster Management</t>
  </si>
  <si>
    <t>Herix Sonata</t>
  </si>
  <si>
    <t>Biodegradasi Metil Oranye</t>
  </si>
  <si>
    <t>Adi Setyo Purnomo &amp; Taufiq Rinda Alkas</t>
  </si>
  <si>
    <t>Bakteri Endosimbion Cacing Tanah: Kajian Potensi Antibakteri secara In-Vitro dan In-Silico</t>
  </si>
  <si>
    <t>Dirayah Rauf Husain &amp; Riuh Wardhani</t>
  </si>
  <si>
    <t>Dasar Pemrograman dengan C++ Materi Paling Dasar untuk Menjadi Programmer Berbagai Platform</t>
  </si>
  <si>
    <t>Muhammad Nugraha</t>
  </si>
  <si>
    <t>Karakteristik Morfologi Tumbuhan</t>
  </si>
  <si>
    <t>Angreni Beaktris Liunokas &amp; Agsen Hosanty S. Billik</t>
  </si>
  <si>
    <t>Buku Ajar Pengantar Analisis Variabel Real (Revisi 2021)</t>
  </si>
  <si>
    <t>Metode Statistika untuk Ilmu Terapan</t>
  </si>
  <si>
    <t>Eri Setiawan</t>
  </si>
  <si>
    <t>Parasit dan Penyakit Ikan Teleostei</t>
  </si>
  <si>
    <t>Yuliana Salosso</t>
  </si>
  <si>
    <t>Pengantar Fisika Modern</t>
  </si>
  <si>
    <t>Tomo Djudin</t>
  </si>
  <si>
    <t>Buku Ajar Kultur Jaringan Tumbuhan</t>
  </si>
  <si>
    <t>Noor Aini Habibah, Enni Suwarsi Rahayu, &amp; Yustinus Ulung Anggraito</t>
  </si>
  <si>
    <t>Manajemen Jaringan Komputer dengan Menggunakan Cisco Packet Tracer</t>
  </si>
  <si>
    <t>Ahmad Fashiha Hastawan, Djuniadi, dan Budi Sunarko</t>
  </si>
  <si>
    <t>Persamaan Differensial Biasa dan Aplikasinya</t>
  </si>
  <si>
    <t>Wilda Mahmudah &amp; Muhammad Rifai</t>
  </si>
  <si>
    <t>Aplikasi Statistik dalam Penelitian dilengkapi dengan Perhitungan Manual dan Aplikasi SPSS</t>
  </si>
  <si>
    <t>Ardianto dan Kadir</t>
  </si>
  <si>
    <t>Pengantar Jaringan Komputer</t>
  </si>
  <si>
    <t>Lomo Mula Tua … [et al.]</t>
  </si>
  <si>
    <t>Membangun Startup Software House</t>
  </si>
  <si>
    <t>Nanang Prihatin &amp; Hari Toha Hidayat</t>
  </si>
  <si>
    <t>Open Source Licenses</t>
  </si>
  <si>
    <t>Kartini Aprilia</t>
  </si>
  <si>
    <t>Politik Suku Mbojo: Pengantar ke Pemahaman Politik Lokal</t>
  </si>
  <si>
    <t>Mastorat</t>
  </si>
  <si>
    <t>Potret Masalah Lingkungan Sekitar Jalan Perkotaan (FC)</t>
  </si>
  <si>
    <t>Prof. Dr. Sudarmadji, M.Eng.Sc.</t>
  </si>
  <si>
    <t>PRAKTIKUM MANAJEMEN
OPERASIONAL</t>
  </si>
  <si>
    <t>Imam Nuryanto &amp; Ida Farida</t>
  </si>
  <si>
    <t>Tutorial Administrasi Server</t>
  </si>
  <si>
    <t>Muhammad Yassir, S.T., M.T.</t>
  </si>
  <si>
    <t>Teknik Dasar Analisis Biologi Molekuler</t>
  </si>
  <si>
    <t>Dr. Ir. Maftuchah, M.P.&amp;Dr. Ir. Aris Winaya, M.M, M.Si.&amp;Ir. Agus Zainudin, M.P.</t>
  </si>
  <si>
    <t>Polimer Termoset</t>
  </si>
  <si>
    <t>Nasmi Herlina Sari &amp; Suteja</t>
  </si>
  <si>
    <t>The Differences That Unite</t>
  </si>
  <si>
    <t>Kholifatus Sakdiyah, dkk</t>
  </si>
  <si>
    <t>Pengantar Inhibitor Korosi Alami</t>
  </si>
  <si>
    <t>Nasmi Herlina Sari, Suteja, &amp; Syarif Hidayatullah</t>
  </si>
  <si>
    <t>Sinar-X dari Sejarah Penemuan Hingga Pemanfaatannya</t>
  </si>
  <si>
    <t>Buku Referensi Mengukur Usability Perangkat Lunak</t>
  </si>
  <si>
    <t>Tenia Wahyuningrum</t>
  </si>
  <si>
    <t>Komunikasi Robot dan PLC</t>
  </si>
  <si>
    <t>Ignatius Deradjad Pranowo</t>
  </si>
  <si>
    <t>Elektroanalitik Ed.Revisi</t>
  </si>
  <si>
    <t>Dr. Ani Mulyasuryani, MS</t>
  </si>
  <si>
    <t>Elektronika Analog</t>
  </si>
  <si>
    <t>Rachmad Almi Putra</t>
  </si>
  <si>
    <t>Manajemen Proyek Sistem Informasi</t>
  </si>
  <si>
    <t>Edy Susena</t>
  </si>
  <si>
    <t>Rangkaian Listrik</t>
  </si>
  <si>
    <t>Koko Joni</t>
  </si>
  <si>
    <t>Rekayasa Perangkat Lunak</t>
  </si>
  <si>
    <t>Feri Hari Utami &amp; Asnawati</t>
  </si>
  <si>
    <t>Sistem Komputer Representasi Data</t>
  </si>
  <si>
    <t>Giva Andriana Mutiara &amp; Rini Handayani</t>
  </si>
  <si>
    <t>Sistem Listrik Tenaga Surya disain, dan Operasion Instalasi Ikhtisar untuk Membangun
Makassar Sulawesi Selatan Indonesia</t>
  </si>
  <si>
    <t>Charles Soetyono Iskandar &amp; Nurlaela Latief</t>
  </si>
  <si>
    <t>Statistika dengan Program Komputer</t>
  </si>
  <si>
    <t>Ahmad Kholiqul Amin, S.Pd., M.Pd.</t>
  </si>
  <si>
    <t>Ketika Autoimun Menyapaku</t>
  </si>
  <si>
    <t>Amanda Elena ... [et al.]</t>
  </si>
  <si>
    <t>Pandemic Effect (Hikmah &amp; Kisah Para Pejuang Pendidikan di Masa Pandemi)</t>
  </si>
  <si>
    <t>Shilphy A. Octavia … [et al.]</t>
  </si>
  <si>
    <t>Sebuah Catatan “Problematika Sistem”</t>
  </si>
  <si>
    <t>Sri Ranita</t>
  </si>
  <si>
    <t>Jalan Mandala 5 No.12, RT.6/RW.9, Cililitan Kel., Kramat Jati , KOTA JAKARTA TIMUR, KRAMAT JATI, DKI JAKARTA, ID, 13640</t>
  </si>
  <si>
    <t>TERKIRIM</t>
  </si>
  <si>
    <t>Teh Ai</t>
  </si>
  <si>
    <t>Blok Cipadung No. 59, RT.01/RW.01, Karyamukti, Panyingkiran, KAB. MAJALENGKA, PANYINGKIRAN, JAWA BARAT, ID, 45459</t>
  </si>
  <si>
    <t>jakarta</t>
  </si>
  <si>
    <t>Budaya dan Birokrasi</t>
  </si>
  <si>
    <t>BELUM</t>
  </si>
  <si>
    <t>Bunga Rampai Hukum dan Filsafat di Indonesia Sebuah Catatan Pemikiran</t>
  </si>
  <si>
    <t>H. Santhos Wachjoe Prijambodo, S.H., M.H.</t>
  </si>
  <si>
    <t>Islam Menggugat Hak-Hak Perempuan</t>
  </si>
  <si>
    <t>Huda Maz</t>
  </si>
  <si>
    <t>Kekerasan Bahasa Di Media Daring Nasional</t>
  </si>
  <si>
    <t xml:space="preserve">Dr. Wayan Pageyasa, M.Pd., Dr. Nur Ihsan HL., M.Hum.
</t>
  </si>
  <si>
    <t>Aku Mencari Manusia</t>
  </si>
  <si>
    <t>Dedi Busro</t>
  </si>
  <si>
    <t>Nyanyian Anak Desa Senandung SBDP dalam Sajak</t>
  </si>
  <si>
    <t>Apolonarius Dua</t>
  </si>
  <si>
    <t>Lovember</t>
  </si>
  <si>
    <t>Rike Fujiana</t>
  </si>
  <si>
    <t>Antologi Puisi “Berkarya dengan Cinta”</t>
  </si>
  <si>
    <t>Surti Sihombing</t>
  </si>
  <si>
    <t>hari</t>
  </si>
  <si>
    <t>Book Chapter Inovasi Pembelajaran Di Pendidikan Tinggi</t>
  </si>
  <si>
    <t>Mieke Mandagi, dkk</t>
  </si>
  <si>
    <t>Menuju Sekolah Berkarakter Berbasis Budaya</t>
  </si>
  <si>
    <t>Seri Pembaharuan Pendidikan Membangun Kelas Aktif Dan Inspiratif</t>
  </si>
  <si>
    <t>A. Tabrani Rusyan, Wiwin Winarni dan Asep Hermawan</t>
  </si>
  <si>
    <t>RSUD dr. H</t>
  </si>
  <si>
    <t xml:space="preserve"> Jl. Laut 21 Kendal, Jawa Tengah 
  Kecamatan: Ngilir
  Kabupaten/Kota: Kab Kendal
  Provinsi: Jawa Tengah </t>
  </si>
  <si>
    <t>Tehnik Menyusun Jadwal Retensi Arsip</t>
  </si>
  <si>
    <t>Rusidi</t>
  </si>
  <si>
    <t>Manajemen Arsip Dinamis</t>
  </si>
  <si>
    <t>Model Pengelolaan Arsip</t>
  </si>
  <si>
    <t>Manajemen Arsip Inaktif</t>
  </si>
  <si>
    <t>Putri ayu handayani</t>
  </si>
  <si>
    <t>Witana harja country estate blok C jl bima 110 RT 04/06 Pamulang barat, KOTA TANGERANG SELATAN, PAMULANG, BANTEN, ID, 15432</t>
  </si>
  <si>
    <t>Carano Adat Alam Minangkabau</t>
  </si>
  <si>
    <t>Muntasir e.DT. Sati Nantuo</t>
  </si>
  <si>
    <t>Siti Zuliana</t>
  </si>
  <si>
    <t>Rt.19/rw.03 · Rengging Jawa Tengah Kab. Jepara Pecangaan Indonesia Kab. Jepara</t>
  </si>
  <si>
    <t>othe</t>
  </si>
  <si>
    <t>jl.sadakeling no 3 R&amp;D dedi salon, rt/rw 04/04 · Burangrang Jawa Barat Kota Bandung Lengkong Indonesia Kota Bandung</t>
  </si>
  <si>
    <t>Evrani Tabina</t>
  </si>
  <si>
    <t>Ketaren, Kabanjahe, Kabupaten Karo, Sumatera Utara [Tokopedia Note: gang uka, desa ketaren, kabanjahe ]
Kabanjahe, Kab. Karo, 22111
Sumatera Utara</t>
  </si>
  <si>
    <t>Rina</t>
  </si>
  <si>
    <t>Bumdes Mart Makkasaung Rilangi, Jalan Samping Ktr Desa, Laikang, Mangara Bombang, KAB. TAKALAR, MANGARA BOMBANG, SULAWESI SELATAN, ID, 92</t>
  </si>
  <si>
    <t>Erni Trinita</t>
  </si>
  <si>
    <t>kp ciburial rt 04 rw 08 desa kertajaya kec.padalarang, bandung barat, jawabarat, KAB. BANDUNG BARAT, PADALARANG, JAWA BARAT, ID, 40553</t>
  </si>
  <si>
    <t>wulandari</t>
  </si>
  <si>
    <t>Warok Suromenggolo dalam Pusaran Sosial dan Politik Islam</t>
  </si>
  <si>
    <t>Dyana Sari dan Cahyo Sasmito</t>
  </si>
  <si>
    <t>Cinta 13 Magnitudo</t>
  </si>
  <si>
    <t>Sang Pendobrak Dari Waghete “Perjuangan Seorang Pemuda Demi Bangsanya”</t>
  </si>
  <si>
    <t>Irpan &amp; Benediktus Angkus</t>
  </si>
  <si>
    <t>Takdir</t>
  </si>
  <si>
    <t>Ihwal Andra Winata</t>
  </si>
  <si>
    <t>Riak-Riak Otonomi Daerah di Indonesia Kurun Waktu 2010-2021</t>
  </si>
  <si>
    <t>Irfan Ridwan Maksum</t>
  </si>
  <si>
    <t>Ibu Pertiwi Terluka Antologi Puisi PPKN</t>
  </si>
  <si>
    <t>Muh. Yunus</t>
  </si>
  <si>
    <t>Fenomena Sosial dalam Untaian Sajak</t>
  </si>
  <si>
    <t>Habiba</t>
  </si>
  <si>
    <t>Kajian Pengalaman Wisatawan Pada Kunjungan Wisata Perdesaan (Contoh Implementasi di Kampung Tajur Kahuripan, Kabupaten Purwakarta)</t>
  </si>
  <si>
    <t>Adrian Agoes dan Indah Nur Agustiani</t>
  </si>
  <si>
    <t>Wawacan Babad Timbanganten: Sebuah Kajian Pragmatik Ajaran Moral dan Legitimasi</t>
  </si>
  <si>
    <t>S. S. Dewi Anggraeni</t>
  </si>
  <si>
    <t>Debat Gambut: Ekonomi Ekologi Politik dan Kebijakan</t>
  </si>
  <si>
    <t>Prof(Riset). Dr. Ir. Muhammad Noor, M.S.</t>
  </si>
  <si>
    <t>Hutan Adat Menanti Asa: Kearifan Lokal Masyarakat Adat Luwu Utara dalam Kelola Hutan</t>
  </si>
  <si>
    <t>Teguh Yuwono</t>
  </si>
  <si>
    <t>Menelusur Jejak Implementasi Konsep Bangunan Hijau dan Pintar di Kampus Biru</t>
  </si>
  <si>
    <t xml:space="preserve"> Sentagi Sesotya Utami, S.T., M.Sc., Ph.D., dkk</t>
  </si>
  <si>
    <t>Tantangan Global Sektor Jasa Indonesia: Peta Permasalahan dan Isu Strategis</t>
  </si>
  <si>
    <t xml:space="preserve"> Poppy S. Winanti</t>
  </si>
  <si>
    <t>Writing for Healing: Catatan Inspiratif Tentang Covid19 Dari Berbagai Sudut Pandang</t>
  </si>
  <si>
    <t>Prof. dr. Adi Utarini, MSc., MPH, Ph.D, dkk</t>
  </si>
  <si>
    <t>Ary Pramudji</t>
  </si>
  <si>
    <t>JL.Sempu Raya No.7, Rt 003 Rw 004, Kel: Beji, Kec:Beji, Kota : Depok 16421</t>
  </si>
  <si>
    <t>PT. Mitra Mineral Perkasa (Irwan/Norma)</t>
  </si>
  <si>
    <t>Jl. Pasaeno 5 (Lorong Belakang ATM BNI Drive Thru MTQ) 93118
  Kecamatan: Kadia
  Kabupaten/Kota: Kota Kendari
  Provinsi: Sulawesi Tenggara</t>
  </si>
  <si>
    <t>Sabrina Rahma Utami</t>
  </si>
  <si>
    <t>Jl. Pamaan No. 53B RT.02/RW.09 Tugu, Cimanggis, Depok
Cimanggis
Kota Depok
Jawa Barat
16451</t>
  </si>
  <si>
    <t>Fundamental Metodologi Penelitian Kuantitatif (Eksplanatif)</t>
  </si>
  <si>
    <t>Prof. Dr. Bambang Sugeng, M.A., M.M.</t>
  </si>
  <si>
    <t>Nofi Ernawati</t>
  </si>
  <si>
    <t>Perumahan Reni Jaya Blok Y1 Jl. Sadewa No. 9 RT. 09/RW. 12, Kelurahan Pondok Benda, Kecamatan Pamulang, Kota Tangerang Selatan</t>
  </si>
  <si>
    <t>figo sutan</t>
  </si>
  <si>
    <t>Griya Bayangkara, Jalan Griya Bhayangkara blok G5 No.37, Masangankulon, Sukodono, KAB. SIDOARJO, SUKODONO, JAWA TIMUR, ID, 61258</t>
  </si>
  <si>
    <t>Suci putri amelia</t>
  </si>
  <si>
    <t>Jl. Wisma bunda komplek taruko 2 Blok G ujung , KOTA PADANG, KURANJI, SUMATERA BARAT, ID, 25157</t>
  </si>
  <si>
    <t>Pendekatan Penelitian Kuantitatif: Quantitative Research Approach</t>
  </si>
  <si>
    <t>Makhfiro Yolanda</t>
  </si>
  <si>
    <t>Kosan warna hijau, Jalan Padat Karya III, Sumur Dewa, Selebar, gang pertama sebelah kanan sebelum masjid, KOTA BENGKULU, SELEBAR, BENGKULU, ID, 38211</t>
  </si>
  <si>
    <t>Atikah</t>
  </si>
  <si>
    <t>Mampang prapatan 8 no.6e rt5 rw1 jakarta selatan (Belakang Toko Fadil), KOTA JAKARTA SELATAN, MAMPANG PRAPATAN, DKI JAKARTA, ID, 12790</t>
  </si>
  <si>
    <t>arkan alwizi -</t>
  </si>
  <si>
    <t>Toko Alfurqon mart, Pasar Lubuk Landai, Tanah Sepenggal, Tanah Sepenggal Lintas, Bungo, Jambi, 37259</t>
  </si>
  <si>
    <t>Chairika Putri Goka</t>
  </si>
  <si>
    <t>Kp. Bedeng RT.05 / RW.04 No. 120 Ds. Telaga Asih, Cikarang Barat, Kab. Bekasi, Jawa Barat, 17530</t>
  </si>
  <si>
    <t>Kartik</t>
  </si>
  <si>
    <t>Jln. trans sulawesi/Kios Ana/Tika dusun 1 · Ambunu Sulawesi Tengah Kab. Morowali Bungku Barat Indonesia Kab. Morowali</t>
  </si>
  <si>
    <t>Gunaidi -</t>
  </si>
  <si>
    <t>JL Widelia V No 2 Blok AI1E9 Perum PWS · Margasari (Marga Sari) Banten Kab. Tangerang Tigaraksa Indonesia Kab. Tangerang</t>
  </si>
  <si>
    <t>Perihal Tanah Dan Hukum Jual Belinya Serta Tanggung Jawab Ppat Terhadap Akta yang Mengandung Cacat Perspektif Negara Hukum</t>
  </si>
  <si>
    <t>Solahudin Pugung</t>
  </si>
  <si>
    <t>Eddy Yunus</t>
  </si>
  <si>
    <t>Jl. Rawajati Timur II No. 64B, Kalibara DKI Jakarta Kota Jakarta Selatan Pancoran Indonesia Kota Jakarta Selatan</t>
  </si>
  <si>
    <t>Wirausaha Abad ke 21 Mendapatkan Penghasilan Tambahan Melalui Kerajinan Keramik Rumahan</t>
  </si>
  <si>
    <t>Eddy Y. Usman</t>
  </si>
  <si>
    <t>DAMARIS MANGOPANG</t>
  </si>
  <si>
    <t>UPT PUSKESMAS PALARAN
PUSKESMAS RAWAT INAP PALARAN , JL. KESEHATAN RT 33
Palaran
Kota Samarinda
Kalimantan Timur
75243</t>
  </si>
  <si>
    <t>Pemberdayaan Keluarga untuk Mengoptimalkan Kualitas Hidup Pasien Paska Stroke</t>
  </si>
  <si>
    <t>Kelana Kusuma Dharma</t>
  </si>
  <si>
    <t>UPT PUSKESMAS PALARAN
PUSKESMAS RAWAT INAP PALARAN , JL. KESEHATAN RT 33
Palaran
Kota Samarinda
Kalimantan Timur
75244</t>
  </si>
  <si>
    <t>Intervensi Model Adaptasi Paska Stroke Berbasis Pemberdayaan Keluarga Pasien Paska Stroke</t>
  </si>
  <si>
    <t>UPT PUSKESMAS PALARAN
PUSKESMAS RAWAT INAP PALARAN , JL. KESEHATAN RT 33
Palaran
Kota Samarinda
Kalimantan Timur
75245</t>
  </si>
  <si>
    <t>Bondan Prakoso</t>
  </si>
  <si>
    <t>Sambungmacan RT 07 RW 03, Sambungmacan, Sragen, Jawa Tengah 57253
Sambung Macan
Kabupaten Sragen
Jawa Tengah</t>
  </si>
  <si>
    <t>Gima Ramadan</t>
  </si>
  <si>
    <t>Jorong batang salosah, Perumnas Selasa indah blok i nomor 17, KAB. SIJUNJUNG (SAWAH LUNTO SIJUNJUNG), SIJUNJUNG, SUMATERA BARAT, ID, 27553</t>
  </si>
  <si>
    <t xml:space="preserve">Amor
</t>
  </si>
  <si>
    <t>Jln.A.dogom no.35 Putussibau kab.kapuas hulu Kalbar, KAB. KAPUAS HULU, PUTUSSIBAU UTARA, KALIMANTAN BARAT, ID, 78711</t>
  </si>
  <si>
    <t>Jln.A.dogom no.35 Putussibau kab.kapuas hulu Kalbar, KAB. KAPUAS HULU, PUTUSSIBAU UTARA, KALIMANTAN BARAT, ID, 78712</t>
  </si>
  <si>
    <t>Riza Yuliawati (Dosen IKM)</t>
  </si>
  <si>
    <t>Kampus IIK Strada Indonesia, Jalan Manila No.37, Tosaren, Pesantren, KOTA KEDIRI, PESANTREN, JAWA TIMUR, ID, 64133</t>
  </si>
  <si>
    <t>Fania (zuna)</t>
  </si>
  <si>
    <t>Cikasarung, Kec. Majalengka, Kabupaten Majalengka, Jawa Barat [Tokopedia Note: lingk. Gandasari kel. cikasarung Rt/RW 03/03] Majalengka, Kab. Majalengka, 45415 Jawa Bara</t>
  </si>
  <si>
    <t>Fitri Alwiyah</t>
  </si>
  <si>
    <t>Klinik Denanti, Jalan Kebon Kopi, RT.7/RW.5, Cibeureum, Cimahi Selatan (Belakang kliniknya), KOTA CIMAHI, CIMAHI SELATAN, JAWA BARAT, ID, 40535</t>
  </si>
  <si>
    <t>Ari</t>
  </si>
  <si>
    <t>Desa Tambaksari kidul no. 36 RT 4 RW 2 Kecamatan Kembaran kabupaten Banyumas 53182 - A.N. Melly Hauliyah Kembaran, Kab. Banyumas, 53182 Jawa Tengah</t>
  </si>
  <si>
    <t>Convolutional Neural Networks untuk Visi Komputer Jaringan Saraf Konvolusional untuk Visi Komputer (Arsitektur Baru, Transfer Learning, Fine Tuning, dan Pruning)</t>
  </si>
  <si>
    <t>Sayuti Rahman, … [et al.]</t>
  </si>
  <si>
    <t>iin</t>
  </si>
  <si>
    <t>Musdalifah</t>
  </si>
  <si>
    <t xml:space="preserve">Jl. Bakti 1 no 9., KOTA MAKASSAR, PANAKKUKANG, SULAWESI SELATAN, ID, 90231
</t>
  </si>
  <si>
    <t>English For Accounting</t>
  </si>
  <si>
    <t>Adi Mursalin</t>
  </si>
  <si>
    <t>amanda</t>
  </si>
  <si>
    <t>Jl. Bojong Indah Raya No.58, RT.1/RW.5, Rw. Buaya, Kecamatan Cengkareng, Kota Jakarta Barat, Daerah Khusus Ibukota Jakarta 10440
Cengkareng
Kota Jakarta Barat
DKI Jakarta
10440</t>
  </si>
  <si>
    <t>Jl. Bojong Indah Raya No.58, RT.1/RW.5, Rw. Buaya, Kecamatan Cengkareng, Kota Jakarta Barat, Daerah Khusus Ibukota Jakarta 10440
Cengkareng
Kota Jakarta Barat
DKI Jakarta
10441</t>
  </si>
  <si>
    <t>Jl. Bojong Indah Raya No.58, RT.1/RW.5, Rw. Buaya, Kecamatan Cengkareng, Kota Jakarta Barat, Daerah Khusus Ibukota Jakarta 10440
Cengkareng
Kota Jakarta Barat
DKI Jakarta
10442</t>
  </si>
  <si>
    <t>Buku Referensi: Interprofessional Education (IPE) dalam Kurikulum Pendidikan Kesehatan Maternal dan Anak edisi 2021</t>
  </si>
  <si>
    <t>Yuni Purwati, Suryani &amp; Lutfi Nurdian Asnindari</t>
  </si>
  <si>
    <t>Jl. Bojong Indah Raya No.58, RT.1/RW.5, Rw. Buaya, Kecamatan Cengkareng, Kota Jakarta Barat, Daerah Khusus Ibukota Jakarta 10440
Cengkareng
Kota Jakarta Barat
DKI Jakarta
10443</t>
  </si>
  <si>
    <t>Strategi Manajemen Edukasi Pasien Diabetes Mellitus</t>
  </si>
  <si>
    <t>Nian Afrian Nuari</t>
  </si>
  <si>
    <t>Jl. Bojong Indah Raya No.58, RT.1/RW.5, Rw. Buaya, Kecamatan Cengkareng, Kota Jakarta Barat, Daerah Khusus Ibukota Jakarta 10440
Cengkareng
Kota Jakarta Barat
DKI Jakarta
10444</t>
  </si>
  <si>
    <t>Jl. Bojong Indah Raya No.58, RT.1/RW.5, Rw. Buaya, Kecamatan Cengkareng, Kota Jakarta Barat, Daerah Khusus Ibukota Jakarta 10440
Cengkareng
Kota Jakarta Barat
DKI Jakarta
10445</t>
  </si>
  <si>
    <t>Dokumentasi Keperawatan Pada Poliklinik Gigi (Kajian Manual Dan Komputerisasi)</t>
  </si>
  <si>
    <t>Dewi Rosmalia &amp; Hariyadi</t>
  </si>
  <si>
    <t>Jl. Bojong Indah Raya No.58, RT.1/RW.5, Rw. Buaya, Kecamatan Cengkareng, Kota Jakarta Barat, Daerah Khusus Ibukota Jakarta 10440
Cengkareng
Kota Jakarta Barat
DKI Jakarta
10446</t>
  </si>
  <si>
    <t>Pengantar Keperawatan Gerontik Dengan Pendekatan Asuhan Keperawatan</t>
  </si>
  <si>
    <t>Sumandar</t>
  </si>
  <si>
    <t>Jl. Bojong Indah Raya No.58, RT.1/RW.5, Rw. Buaya, Kecamatan Cengkareng, Kota Jakarta Barat, Daerah Khusus Ibukota Jakarta 10440
Cengkareng
Kota Jakarta Barat
DKI Jakarta
10447</t>
  </si>
  <si>
    <t>Jl. Bojong Indah Raya No.58, RT.1/RW.5, Rw. Buaya, Kecamatan Cengkareng, Kota Jakarta Barat, Daerah Khusus Ibukota Jakarta 10440
Cengkareng
Kota Jakarta Barat
DKI Jakarta
10448</t>
  </si>
  <si>
    <t>Jl. Bojong Indah Raya No.58, RT.1/RW.5, Rw. Buaya, Kecamatan Cengkareng, Kota Jakarta Barat, Daerah Khusus Ibukota Jakarta 10440
Cengkareng
Kota Jakarta Barat
DKI Jakarta
10449</t>
  </si>
  <si>
    <t>Jl. Bojong Indah Raya No.58, RT.1/RW.5, Rw. Buaya, Kecamatan Cengkareng, Kota Jakarta Barat, Daerah Khusus Ibukota Jakarta 10440
Cengkareng
Kota Jakarta Barat
DKI Jakarta
10450</t>
  </si>
  <si>
    <t>Panduan Praktikum Keperawatan Maternitas</t>
  </si>
  <si>
    <t>Jl. Bojong Indah Raya No.58, RT.1/RW.5, Rw. Buaya, Kecamatan Cengkareng, Kota Jakarta Barat, Daerah Khusus Ibukota Jakarta 10440
Cengkareng
Kota Jakarta Barat
DKI Jakarta
10451</t>
  </si>
  <si>
    <t>Jl. Bojong Indah Raya No.58, RT.1/RW.5, Rw. Buaya, Kecamatan Cengkareng, Kota Jakarta Barat, Daerah Khusus Ibukota Jakarta 10440
Cengkareng
Kota Jakarta Barat
DKI Jakarta
10452</t>
  </si>
  <si>
    <t>Belajar Bersama Oryza Mengenal Zat Gizi</t>
  </si>
  <si>
    <t>Luthfia Dewi &amp; Addina Rizky F.</t>
  </si>
  <si>
    <t>Jl. Bojong Indah Raya No.58, RT.1/RW.5, Rw. Buaya, Kecamatan Cengkareng, Kota Jakarta Barat, Daerah Khusus Ibukota Jakarta 10440
Cengkareng
Kota Jakarta Barat
DKI Jakarta
10453</t>
  </si>
  <si>
    <t>Bunyi Fisiologis Aplikasi Mekanika Bunyi dalam Dunia Kedokteran</t>
  </si>
  <si>
    <t>Ir. NURIDA FINAHARI MM.MT</t>
  </si>
  <si>
    <t>Jl. Bojong Indah Raya No.58, RT.1/RW.5, Rw. Buaya, Kecamatan Cengkareng, Kota Jakarta Barat, Daerah Khusus Ibukota Jakarta 10440
Cengkareng
Kota Jakarta Barat
DKI Jakarta
10454</t>
  </si>
  <si>
    <t>Asuhan Keperawatan Pada Anak Dengan Kebutuhan Khusus (Pendekatan SDKI, SLKI dan SIKI)</t>
  </si>
  <si>
    <t>Dyna Apriany &amp; Yanti Cahyati</t>
  </si>
  <si>
    <t>Jl. Bojong Indah Raya No.58, RT.1/RW.5, Rw. Buaya, Kecamatan Cengkareng, Kota Jakarta Barat, Daerah Khusus Ibukota Jakarta 10440
Cengkareng
Kota Jakarta Barat
DKI Jakarta
10455</t>
  </si>
  <si>
    <t>Book Chapter Kualitas Pelayanan Kesehatan Ibu dan Anak (Tinjauan dalam Perspektif Kesehatan Masyarakat, Kedokteran, Keperawatan dan Kebidanan)</t>
  </si>
  <si>
    <t>Dr. Nurmiati Muchlis, S.K.M., M.Kes., dkk</t>
  </si>
  <si>
    <t>suryadi</t>
  </si>
  <si>
    <t>Jl. Suak kandis No.32 Rt.19, Lorong Rojo lele, Desa pudak, kecamatan kumpeh ulu ,kabupaten Muaro jambi ,Propinsi Jambi .kode pos 36373</t>
  </si>
  <si>
    <t>Angga Wijayanto</t>
  </si>
  <si>
    <t>Jl. Panglima Polim Gg.Haji Niun RT.01 RW.02 poris plaward utara,Cipondoh, Tangerang, Banten.</t>
  </si>
  <si>
    <t>Alfredi Lakebelek</t>
  </si>
  <si>
    <t>Jl.Nanas RT.5 Desa Sanur
  Kecamatan: Tulin Onsoi
  Kabupaten/Kota: Nunukan
  Provinsi: Kalimantan Utara</t>
  </si>
  <si>
    <t>Analisis Data Penelitian</t>
  </si>
  <si>
    <t>I Gede Purna Serineka</t>
  </si>
  <si>
    <t>jln sedap malam no 123 (utara sekar jambu), KOTA DENPASAR, DENPASAR SELATAN, BALI, ID, 8022</t>
  </si>
  <si>
    <t>Ricko Syahputra</t>
  </si>
  <si>
    <t>JL. KRUING RAYA BLOK A.31 NO.07 RT/RW 004/003 KEL/DESA PANDAU JAYA KECAMATAN SIAK HULU , KOTA PEKANBARU, MARPOYAN DAMAI, RIAU, ID, 28125</t>
  </si>
  <si>
    <t>Yusuf Nugraha</t>
  </si>
  <si>
    <t xml:space="preserve"> jln. Binawan 8 blok A1 no. 43 BELKA Residence
  Kecamatan: Cianjur
  Kabupaten/Kota: Cianjur
  Provinsi: Jawa Barat</t>
  </si>
  <si>
    <t>Bandi</t>
  </si>
  <si>
    <t>rt 01 rw 03(depan mahesa motor) Jawa Barat Kab. Majalengka Kasokandel Indonesia Kab. Majalengka</t>
  </si>
  <si>
    <t>Reyha putri</t>
  </si>
  <si>
    <t xml:space="preserve">Link Sukadamai RT 03 RW 07 no 25 kec Jombang Kel panggungrawi kota Cilegon </t>
  </si>
  <si>
    <t>Buku Ajar Entomologi dan Pengendalian Vektor</t>
  </si>
  <si>
    <t>Denai Wahyuni, Makomulamin, dan Nila Puspita Sari</t>
  </si>
  <si>
    <t>Buku Ajar Energi Baru Dan Terbarukan</t>
  </si>
  <si>
    <t>Arridina Susan Silitonga &amp; Husin Ibrahim</t>
  </si>
  <si>
    <t>vidia</t>
  </si>
  <si>
    <t>reni</t>
  </si>
  <si>
    <t>rt006/011 · Bukit Duri DKI Jakarta Kota Jakarta Selatan Tebet Indonesia Kota Jakarta Selatan</t>
  </si>
  <si>
    <t>Manajemen Basis Data Menggunakan MySQL</t>
  </si>
  <si>
    <t>Robi Yanto, M.Kom.</t>
  </si>
  <si>
    <t>klaten</t>
  </si>
  <si>
    <t>Sukses Membuat Bank Soal dengan Examview :Berbasis Kertas, Offline, dan Online</t>
  </si>
  <si>
    <t>Salamat Siregar</t>
  </si>
  <si>
    <t>Binatang Yang Berinteraksi Dengan Nabi Muhammad SAW</t>
  </si>
  <si>
    <t>Osep Muhammad Yanto</t>
  </si>
  <si>
    <t>Antologi Puisi Kopi Kehidupan</t>
  </si>
  <si>
    <t>Mr. Sae</t>
  </si>
  <si>
    <t>Guru Dalam Proses Belajar Mengajar Implementasi Permendikbud No. 22 Tahun 2016</t>
  </si>
  <si>
    <t>Memories, About Us</t>
  </si>
  <si>
    <t>Winda Febrian Nadeak, dkk</t>
  </si>
  <si>
    <t>Kumpulan Cerita Anak</t>
  </si>
  <si>
    <t>Healthy Food &amp; 25 Ideas of Healthy Cooking</t>
  </si>
  <si>
    <t>Arief Tasrig Nur Gomo</t>
  </si>
  <si>
    <t>Daily English Vocabularies</t>
  </si>
  <si>
    <t>Abdul Kholik</t>
  </si>
  <si>
    <t>Pembelajaran Matematika dengan STEM (Science, Technology, Engineering, Mathematic)</t>
  </si>
  <si>
    <t xml:space="preserve">Haris Kurniawan dan Eva Susanti
</t>
  </si>
  <si>
    <t>Betalain: Pigmen Alami Merah dan Kuning yang Kaya Manfaat</t>
  </si>
  <si>
    <t>Yelfira Sari</t>
  </si>
  <si>
    <t>Diari Makan Sehatku (Buku Catatan Makan Sehat untuk Hidup Lebih Sehat)</t>
  </si>
  <si>
    <t>Putri Adimukti</t>
  </si>
  <si>
    <t>Kumpulan Puisi Berhenti di Kesunyian</t>
  </si>
  <si>
    <t>Gatot Sarmidi</t>
  </si>
  <si>
    <t>Dilema Cahaya Kumpulan Cerpen dan Cerpen Pilihan Kompasiana 2021</t>
  </si>
  <si>
    <t>Bambang Syairudin</t>
  </si>
  <si>
    <t>Kumpulan Puisi: Nyanyian dari Jalanan</t>
  </si>
  <si>
    <t>Yulianus Degei</t>
  </si>
  <si>
    <t>Senandung Kunang - kunang</t>
  </si>
  <si>
    <t>Widiayati</t>
  </si>
  <si>
    <t>Surat Kakek</t>
  </si>
  <si>
    <t>Imelia</t>
  </si>
  <si>
    <t>Kumpulan Cerpen Inspiratif: Dialog Dua Dara (3D)</t>
  </si>
  <si>
    <t>Amira Syafana</t>
  </si>
  <si>
    <t>Kumpulan Cerpen Tangisan Sang Penyair</t>
  </si>
  <si>
    <t>Yohanes Sani</t>
  </si>
  <si>
    <t>Kumpulan Kisah Teladan Tokoh-Tokoh Indonesia Pengantar Tidur</t>
  </si>
  <si>
    <t>Harri Santoso</t>
  </si>
  <si>
    <t>Kumpulan Puisi Anak: Sang Surya</t>
  </si>
  <si>
    <t>Lia Maylani Hendriyanti</t>
  </si>
  <si>
    <t>Kumpulan Puisi Anak Suara Burung</t>
  </si>
  <si>
    <t>Yan Firmansyah</t>
  </si>
  <si>
    <t>Kutitipkan Padamu Hai Anak Bangsa</t>
  </si>
  <si>
    <t>Jacoub Chaidir</t>
  </si>
  <si>
    <t>Lautan Arang</t>
  </si>
  <si>
    <t>Zainal Abidin</t>
  </si>
  <si>
    <t>Learning Simple Past Tense In Context</t>
  </si>
  <si>
    <t>Intan Pradita, dkk</t>
  </si>
  <si>
    <t>Memanusiakan Manusia Pilihan: Sebuah Catatan Singkat Petugas yang Biasa Disebut “Sipir”</t>
  </si>
  <si>
    <t>Farid Junaedi</t>
  </si>
  <si>
    <t>Rollan Missi</t>
  </si>
  <si>
    <t>Jl. Politeknik Kairagi 2 Perum Dipendamas Blok D2/6 Ling. XI Mapanget, Kota Manado, 95254 Sulawesi Utara</t>
  </si>
  <si>
    <t>Suku Sahu dalam Lensa Arsitektur, Bahasa dan Sosial Kemasyarakatan</t>
  </si>
  <si>
    <t>Sherly Asriany, Syahrir Ibnu dan Ridwan</t>
  </si>
  <si>
    <t>Patriandari</t>
  </si>
  <si>
    <t>Jl. Lumbu Bar. II H, Kec. Rawalumbu, Kota Bks, Jawa Barat, 17116 [Tokopedia Note: No. 25 RT. 001, RW. 009. Blok 3. Jembatan 7] Rawalumbu, Kota Bekasi, 17116 Jawa Barat</t>
  </si>
  <si>
    <t>Cilaaa</t>
  </si>
  <si>
    <t>Jalan urip sumoharjo lorong 1 No 08 samping sop ubi nisa Kode pos 90232 , KOTA MAKASSAR, PANAKKUKANG, SULAWESI SELATAN, ID, 90232</t>
  </si>
  <si>
    <t>Alfina</t>
  </si>
  <si>
    <t>Jl. Pesapen lor no. 59 surabaya , KOTA SURABAYA, PABEAN CANTIKAN, JAWA TIMUR, ID, 60163</t>
  </si>
  <si>
    <t>Shofiahwilda</t>
  </si>
  <si>
    <t>Jalan Siti Aisyah Gang 4C No. 68 RT. 28 , KOTA SAMARINDA, SAMARINDA ULU, KALIMANTAN TIMUR, ID, 751</t>
  </si>
  <si>
    <t>Naila</t>
  </si>
  <si>
    <t>Masjid Al-Qomar Jl. Nogomodo, Catur Tunggal, Depok, Yogyakarta, 55281, KAB. SLEMAN, DEPOK, DI YOGYAKARTA, ID, 55283</t>
  </si>
  <si>
    <t>Ratna yong</t>
  </si>
  <si>
    <t>Perumahan kampoeng hollywood ( greenwood), jalan rodeo blok A8 no.6-7. (mobil innova putih.), KOTA SEMARANG, GUNUNGPATI, JAWA TENGAH, ID, 50222</t>
  </si>
  <si>
    <t>neng sri mardiani (yadi apriyandi nur hakim)</t>
  </si>
  <si>
    <t>jalan taman malaka selatan IA blok A9 no. 31-32 kavling DKI pondok kelapa jakarta timur Duren Sawit, Kota Administrasi Jakarta Timur, 13460 DKI Jakarta</t>
  </si>
  <si>
    <t>Model Proposal Tesis Kuantitatif Berbasis Manajemen Era Digital</t>
  </si>
  <si>
    <t>Tien Yustini dan Fakhry Zamzam</t>
  </si>
  <si>
    <t>Dony</t>
  </si>
  <si>
    <t>Hukum Lingkungan (Studi Pendekatan Sejarah Hukum Lingkungan)</t>
  </si>
  <si>
    <t>Wilsa</t>
  </si>
  <si>
    <t>Muhammad ibnu</t>
  </si>
  <si>
    <t>Toko anugrah foto depan polsek B.srikaton kecamatan tugumulyo kabupaten musirawas, KAB. MUSI RAWAS, TUGUMULYO, SUMATERA SELATAN, ID, 31662</t>
  </si>
  <si>
    <t>Ulul Azmi</t>
  </si>
  <si>
    <t>Jl. Menteng gang masjid 2 rt 3/rw 12 (rumah pak subur) kel. Menteng kec. Bogor barat., KOTA BOGOR, BOGOR BARAT - KOTA, JAWA BARAT, ID, 16111</t>
  </si>
  <si>
    <t>Dendry GangBanoet</t>
  </si>
  <si>
    <t>Jln Gajah mada,Depan Apotik Bijoba,Rumah Bpk Siu Banoet , KAB. TIMOR TENGAH SELATAN, SOE, NUSA TENGGARA TIMUR (NTT), ID, 85511</t>
  </si>
  <si>
    <t>Tanaman Obat Tradisional Dokumentasi Pemanfaatan Tanaman Obat Masyarakat Suku Dawan (Amanuban) Kabupaten Timor Tengah Selatan</t>
  </si>
  <si>
    <t>Meti O. F. I Tefu dan Dian R Sabat</t>
  </si>
  <si>
    <t>Leli Nurhayati</t>
  </si>
  <si>
    <t>Rusda</t>
  </si>
  <si>
    <t>Talepu, sebulum SLB, KAB. SOPPENG, LILI RILAU, SULAWESI SELATAN, ID, 90871</t>
  </si>
  <si>
    <t>Muhammad Nashoihul Iba</t>
  </si>
  <si>
    <t>PERUM YKP MA3 Blok A no. 2 Medokan Ayu Rungkut Surabaya, KOTA SURABAYA, RUNGKUT, JAWA TIMUR, ID, 60295</t>
  </si>
  <si>
    <t>Sinetron dalam Sudut Pandang Komunikasi Islam</t>
  </si>
  <si>
    <t>Sa’diyah El Adawiyah, S.Sos., M.Si.</t>
  </si>
  <si>
    <t>pak untung</t>
  </si>
  <si>
    <t>Jl. Taruna Jaya, Kec. Kemayoran, Kota Jakarta Pusat, Daerah Khusus Ibukota Jakarta, 10650 [Tokopedia Note: jl. taruna jaya no. 23 rt 17 rw. 2] Kemayoran, Kota Administrasi Jakarta Pusat, 10650 DKI Jakarta</t>
  </si>
  <si>
    <t>Mohamad Kany Legiawan</t>
  </si>
  <si>
    <t xml:space="preserve">Jl. Pasir Gede Raya Fakultas Teknik Universitas Suryakancana Cianjur Cianjur, Kab. Cianjur, 43216 Jawa Barat
</t>
  </si>
  <si>
    <t>Analisa Dan Perancangan Sistem Informasi</t>
  </si>
  <si>
    <t>Eva Argarini Pratama, Corie Mei Hellyana &amp; Sutrisno</t>
  </si>
  <si>
    <t>bdul hamid (amed)</t>
  </si>
  <si>
    <t>Desa Wonokerto, RT 001/001, Kec. Bandar Bandar, Kab. Batang, 51254 Jawa Tengah</t>
  </si>
  <si>
    <t xml:space="preserve">Alfi
</t>
  </si>
  <si>
    <t>Jl.Klingkit 2 no.24A RT.01/12 gang ular,ada tangga besi melingkar,pohon belimbing sayur, KOTA JAKARTA BARAT, CENGKARENG, DKI JAKARTA, ID, 11740</t>
  </si>
  <si>
    <t xml:space="preserve">Hesti Dyah Puspitasari
</t>
  </si>
  <si>
    <t>Jalan Sukawinatan. Rt.71 Rw.07 No.45 Lorong Buntu 2 (seberang lrg adiyaksa) Kel.Sukajaya, Kec. Sukarami Palembang.</t>
  </si>
  <si>
    <t>Meninjau Sejarah Kisah Hidup Muhammad Natsir</t>
  </si>
  <si>
    <t>Jarudin</t>
  </si>
  <si>
    <t>agus</t>
  </si>
  <si>
    <t>Jl Kraden lama 1 No 8 Rt 08 Rw 05 Sukorejo, Gunung Pati Kota Semarang JATENG</t>
  </si>
  <si>
    <t xml:space="preserve"> Drs. Slamet Widodo, M.Pd.</t>
  </si>
  <si>
    <t>Encep M</t>
  </si>
  <si>
    <t>Perpustakaan Ftip Unpad, Jalan Raya Bandung Sumedang No.21, Hegar Manah, Jatinangor (Perpustakaan Fakultas Teknologi Industri Pertanian FTIP UNPAD), KAB. SUMEDANG, JATINANGOR, JAWA BARAT, ID, 45363</t>
  </si>
  <si>
    <t>Pengantar Radikal Bebas dan Antioksidan</t>
  </si>
  <si>
    <t>Sani Shalihamidiq</t>
  </si>
  <si>
    <t>Jl. Kertasari, Delta Kondang Indah (Karaba 2), blok A6/3, RT 024 / RW 007, KAB. KARAWANG, KLARI, JAWA BARAT, ID, 41371</t>
  </si>
  <si>
    <t>Siti Toyibah</t>
  </si>
  <si>
    <t>Pakes Tempat Pps Nurul Huda Al Masudiyah, Jalan Desa Terosan, Terosan, Banyuates, KAB. SAMPANG, BANYUATES, JAWA TIMUR, ID, 69263</t>
  </si>
  <si>
    <t>Jenny Astria</t>
  </si>
  <si>
    <t>Dusun IX, Jalan Kud Desa Cinta Rakyat, Cinta Rakyat, Percut Sei Tuan , KAB. DELI SERDANG, PERCUT SEI TUAN, SUMATERA UTARA, ID, 20371</t>
  </si>
  <si>
    <t>Belajar Bahasa Inggris Melalui Podcasts untuk Pemula Jilid 2</t>
  </si>
  <si>
    <t>Brian Nicolas Rajagukgu</t>
  </si>
  <si>
    <t>Jalan Bajak II H Gg. Manggis No. 14 Marindal, Kelurahan Harjosari II, KOTA MEDAN, MEDAN AMPLAS, SUMATERA UTARA, ID, 20147</t>
  </si>
  <si>
    <t>FOTOGRAFI Teori dan Praktik</t>
  </si>
  <si>
    <t>Teddy Maulana Hidayat Sudirman, S.Sos., M.Pd.</t>
  </si>
  <si>
    <t>Candra</t>
  </si>
  <si>
    <t>Pedurungan Tengah 4/52, RT 005, RW 001
  Kecamatan: Pedurungan
  Kabupaten/Kota: Kota Semarang
  Provinsi: Jawa Tengah</t>
  </si>
  <si>
    <t>Syifa Afifah L.</t>
  </si>
  <si>
    <t xml:space="preserve">Perum. Karawang baru blok A11 No. 27 Rt. 29 Rw. 07 Desa Karanganyar 
  Kecamatan: Klari
  Kabupaten/Kota: Karawang
  Provinsi: Jawa Barat </t>
  </si>
  <si>
    <t>Sri Yuliana</t>
  </si>
  <si>
    <t>Mac Mohan Elite, Jl. Pemuda No.21, Semarang Tengah , KOTA SEMARANG, SEMARANG TENGAH, JAWA TENGAH, ID, 50139</t>
  </si>
  <si>
    <t>Imam wibisono</t>
  </si>
  <si>
    <t>Jl elang v no 195 blok e no 195 rt/rw: 01/04 pondok timur indah , KOTA BEKASI, MUSTIKA JAYA, JAWA BARAT, ID, 17168</t>
  </si>
  <si>
    <t>Jl elang v no 195 blok e no 195 rt/rw: 01/04 pondok timur indah , KOTA BEKASI, MUSTIKA JAYA, JAWA BARAT, ID, 17169</t>
  </si>
  <si>
    <t>Jl elang v no 195 blok e no 195 rt/rw: 01/04 pondok timur indah , KOTA BEKASI, MUSTIKA JAYA, JAWA BARAT, ID, 17170</t>
  </si>
  <si>
    <t xml:space="preserve">Sandra Haryanto
</t>
  </si>
  <si>
    <t>Kabupaten Purwakarta</t>
  </si>
  <si>
    <t>tumidi</t>
  </si>
  <si>
    <t>Kampung Family No 21 RT 03 RW 03 · Mandiraja Wetan Jawa Tengah Kab. Banjarnegara Mandiraja Indonesia Kab. Banjarnegara</t>
  </si>
  <si>
    <t>Hamzah</t>
  </si>
  <si>
    <t>Jalan Lanto Daeng Pasewang, Lorong Masuk samping Bank Sulselbar Sekretariat P3MD Bulukumba(Samping TK Ananda Ujung Bulu) · Caile Sulawesi Selatan Kab. Bulukumba Ujung Bulu Indonesia Kab. Bulukumba</t>
  </si>
  <si>
    <t>Gojali Supiandi</t>
  </si>
  <si>
    <t>Perum Griya permai blok D3/15 rt 002/06 caringin
  Kecamatan: Legok
  Kabupaten/Kota: Tangerang
  Provinsi: Banten</t>
  </si>
  <si>
    <t>STIKES HUSADA GEMILANG
Jl. Pendidikan, Tembilahan
Tembilahan
Kabupaten Indragiri Hilir
Riau
29212</t>
  </si>
  <si>
    <t>STIKES HUSADA GEMILANG
Jl. Pendidikan, Tembilahan
Tembilahan
Kabupaten Indragiri Hilir
Riau
29213</t>
  </si>
  <si>
    <t>STIKES HUSADA GEMILANG
Jl. Pendidikan, Tembilahan
Tembilahan
Kabupaten Indragiri Hilir
Riau
29214</t>
  </si>
  <si>
    <t>Strategi Menurunkan Prevalensi Gizi Kurang pada Balita</t>
  </si>
  <si>
    <t>Fredy Akbar K. … [et al.]</t>
  </si>
  <si>
    <t>STIKES HUSADA GEMILANG
Jl. Pendidikan, Tembilahan
Tembilahan
Kabupaten Indragiri Hilir
Riau
29215</t>
  </si>
  <si>
    <t>Stunting Mengancam Human Capital</t>
  </si>
  <si>
    <t>Sitti Patimah</t>
  </si>
  <si>
    <t>Dr. Susetyowati, DCN., M.Kes, dkk</t>
  </si>
  <si>
    <t>Saku Interaksi Obat dan Makanan: Pegangan dalam Penyusunan Terapi Diet</t>
  </si>
  <si>
    <t>Siti Helmyati, DCN., M.Kes., dkk</t>
  </si>
  <si>
    <t>Yani/Mama Syifa</t>
  </si>
  <si>
    <t>Jl.Klingkit 2 no.24A RT.01/12 gang ular,ada tangga besi melingkar,pohon belimbing sayur, KOTA JAKARTA BARAT, CENGKARENG, DKI JAKARTA, ID, 11740q</t>
  </si>
  <si>
    <t>Muhamad Syafri Alfriyadi</t>
  </si>
  <si>
    <t>Grand cikarang city, cluster kresna, blok D2 no 19 Cikarang Utara, Kab. Bekasi, 17530 Jawa Barat</t>
  </si>
  <si>
    <t>BTN Andi Tonro Permai Blok F1A no. 4, Kabupaten Gowa Somba Opu, Kab. Gowa, 92111 Sulawesi Selatan</t>
  </si>
  <si>
    <t>Sistem Listrik Tenaga Surya disain, dan Operasion Instalasi Ikhtisar untuk Membangun Makassar Sulawesi Selatan Indonesia</t>
  </si>
  <si>
    <t>Jumadil Makmur</t>
  </si>
  <si>
    <t>Jln. Buru Lr. 311 No. 37, Kota Makassar. Kode Pos 90171 Wajo, Kota Makassar, 90171 Sulawesi Selatan</t>
  </si>
  <si>
    <t>Pemodelan untuk Rangkaian Listrik</t>
  </si>
  <si>
    <t>A. M. Shiddiq Yunus dan Muh. Ruswandi Djalal</t>
  </si>
  <si>
    <t>Lovina Jayanti</t>
  </si>
  <si>
    <t>Dsn Kalipang, RT.7/RW.3, Pelang, Kembangbahu, KAB. LAMONGAN, KEMBANGBAHU, JAWA TIMUR, ID, 62282</t>
  </si>
  <si>
    <t>Harrys Ramadhan</t>
  </si>
  <si>
    <t xml:space="preserve">Kota Bogor
</t>
  </si>
  <si>
    <t>Seno Aji</t>
  </si>
  <si>
    <t xml:space="preserve">Jalan Karimun Jawa, Perumahan Taman Seruni Indah, nomor E3, Kelurahan Sukarame
  Kecamatan: Sukarame 
  Kabupaten/Kota: Bandar Lampung 
  Provinsi: Lampung </t>
  </si>
  <si>
    <t xml:space="preserve">aubrey Desti
</t>
  </si>
  <si>
    <t>Jl kaliurang km 5,8 Gg pandega marta VII/2 ,caturtunggal, depok,sleman, DIY, KAB. SLEMAN, DEPOK, DI YOGYAKARTA, ID, 55282</t>
  </si>
  <si>
    <t>Rifqi Alawi</t>
  </si>
  <si>
    <t>Masjid Attaufiq, Jalan Berca Timur Lorong Pasanggar Pasanggar Pegantenan, Pasanggar, Pegantenan (085732834201), KAB. PAMEKASAN, PEGANTENAN, JAWA TIMUR, ID, 69361</t>
  </si>
  <si>
    <t>Jl. Raya Cipaku, Cipaku, Kabupaten Ciamis, Jawa Barat, 46252[Tokopedia notes: Blok Tugaran, RT 01/RW 07, Dsn. Cigebot, Ds. Muktisari] Cipaku, Kab.Ciamis, 46252 Jawa Barat</t>
  </si>
  <si>
    <t>Buku Ajar: Konsep Dasar Keperawatan</t>
  </si>
  <si>
    <t>MUKLISIN</t>
  </si>
  <si>
    <t>Jl Cemara Gg. Nangka rt 1 rw 2 Desa Lemahabang 
  Kecamatan: Tanjung
  Kabupaten/Kota: Brebes
  Provinsi: Jawa Tengah</t>
  </si>
  <si>
    <t>Membuat Aplikasi Sederhana dengan Menggunakan Java Netbeans</t>
  </si>
  <si>
    <t>Andria</t>
  </si>
  <si>
    <t>HENDRIK ARY DERMAWAN</t>
  </si>
  <si>
    <t>d/a. JL. RAYA PENIRON KM.01 KARANGPOH RT. 11 RW.04 PEJAGOAN 54361</t>
  </si>
  <si>
    <t>d/a. JL. RAYA PENIRON KM.01 KARANGPOH RT. 11 RW.04 PEJAGOAN 54362</t>
  </si>
  <si>
    <t>innani rizza</t>
  </si>
  <si>
    <t xml:space="preserve">
Kabupaten Banyumas</t>
  </si>
  <si>
    <t>Pengukuran Dan Evaluasi Olahraga (Prosedur Pelaksanaan Tes Dan Pengukuran Dalam Olahraga Pendidikan Dan Prestasi)</t>
  </si>
  <si>
    <t>Abdul Narlan &amp; Dicky Tri Juniar</t>
  </si>
  <si>
    <t>atun</t>
  </si>
  <si>
    <t xml:space="preserve">Aisha Ayu Syahputri
</t>
  </si>
  <si>
    <t>Jl. Paluh Sipat Blok Q No.2 Jatiwaringin Asri 2. Pondok Gede. Bekasi 17411, KOTA BEKASI, PONDOK GEDE, JAWA BARAT, ID, 17411</t>
  </si>
  <si>
    <t>Ahman Tambunan</t>
  </si>
  <si>
    <t>Syamsiah</t>
  </si>
  <si>
    <t>Jalan Negara Desa Lolo, RT.5/RW.1, Lolo, Kuaro, KAB. PASER, KUARO, KALIMANTAN TIMUR, ID, 76281</t>
  </si>
  <si>
    <t>Andik</t>
  </si>
  <si>
    <t>Jl. Raya I/93 Ngunut, KAB. TULUNGAGUNG, NGUNUT, JAWA TIMUR, ID, 66292</t>
  </si>
  <si>
    <t>I Made Krisma Yoga M</t>
  </si>
  <si>
    <t>Jalan Surya Indah No. 2 . Rumah diutara lapangan pada sisi timur., KAB. KARANGASEM, RENDANG, BALI, ID, 80863</t>
  </si>
  <si>
    <t>RIZKY AKBAR P</t>
  </si>
  <si>
    <t>Ndalem Prasetyo, Jl. Sunan Ampel No.61, Jurangombo Utara, Kec. Magelang Sel., Kota Magelang, KOTA MAGELANG, MAGELANG SELATAN, JAWA TENGAH, ID, 56123</t>
  </si>
  <si>
    <t>Gelar bimagraha</t>
  </si>
  <si>
    <t>Kp.Cikoneng Ds.Cikoneng Rt.03 Rw.14 kec.Ciparay Kab.Bandung, KAB. BANDUNG, CIPARAY, JAWA BARAT, ID, 4038</t>
  </si>
  <si>
    <t xml:space="preserve">Indah Lestari
</t>
  </si>
  <si>
    <t>Perum auri jaladapura jln cendrawasih 5 blok E no 49 B rt 8 rw 13 kontrakan pa jaya 32, KOTA BEKASI, BEKASI TIMUR, JAWA BARAT, ID, 17111</t>
  </si>
  <si>
    <t>Sistem Informasi Akuntansi Suatu Pengantar</t>
  </si>
  <si>
    <t>Atyanto Mahatmyo, S.E., M.M., Ak.</t>
  </si>
  <si>
    <t>Perum auri jaladapura jln cendrawasih 5 blok E no 49 B rt 8 rw 13 kontrakan pa jaya 32, KOTA BEKASI, BEKASI TIMUR, JAWA BARAT, ID, 17112</t>
  </si>
  <si>
    <t>Miftah Latifa Gallery</t>
  </si>
  <si>
    <t>Jl. Tambak - Sidorejo No 11, Tambakrejo, KAB. PURWOREJO, PURWOREJO, JAWA TENGAH, ID, 54118</t>
  </si>
  <si>
    <t>Pendidikan Anak ADHD (Attention Deficit Hyperactivity Disorder)</t>
  </si>
  <si>
    <t>Mirnawati &amp; Amka</t>
  </si>
  <si>
    <t>Nur Hichma</t>
  </si>
  <si>
    <t>Pongsimpin, lorong kantor hukum, KOTA PALOPO, MUNGKAJANG, SULAWESI SELATAN, ID, 91924</t>
  </si>
  <si>
    <t>Dedi Novaldi</t>
  </si>
  <si>
    <t>Jaranan RT. 02. Panggungharjo, Kec. Sewon, Kab. Bantul, D.I Yogyakarta (selatan gapura, rumah warna putih) Sewon, Kab. Bantul, 55188 D.I. Yogyakarta</t>
  </si>
  <si>
    <t>Revitalisasi Ruang Pasar Tradisional Melalui Pendekatan Desain dan Interaksi Pengguna Ruang</t>
  </si>
  <si>
    <t>Samuel arthur</t>
  </si>
  <si>
    <t>jln raya Ceger no.01 RT 002 RW 002 kelurahan Ceger 
  Kecamatan: cipayung
  Kabupaten/Kota:  Jakarta timur
  Provinsi: DKI jakarta</t>
  </si>
  <si>
    <t>Etika Profesi Manajemen Era Society 5.0</t>
  </si>
  <si>
    <t>Neny Rostiati dan Fakhry Zamzam</t>
  </si>
  <si>
    <t>MUHAMMAD RIYADI YN</t>
  </si>
  <si>
    <t>POLITEKNIK SEKAYU, JALAN KOLONEL WAHID UDIN LINGKUNGAN 1 KAYUARA, SEKAYU MUSI BANYUASIN
Sekayu
Kabupaten Musi Banyuasin
Sumatera Selatan
30137</t>
  </si>
  <si>
    <t>Penelitian Sumber Daya Manusia, Pengertian, Teori dan Aplikasi (Menggunakan IBM SPSS 22 For Windows)</t>
  </si>
  <si>
    <t>Surajiyo, Nasruddin &amp; Herman Paleni</t>
  </si>
  <si>
    <t>POLITEKNIK SEKAYU, JALAN KOLONEL WAHID UDIN LINGKUNGAN 1 KAYUARA, SEKAYU MUSI BANYUASIN
Sekayu
Kabupaten Musi Banyuasin
Sumatera Selatan
30138</t>
  </si>
  <si>
    <t>fairuz</t>
  </si>
  <si>
    <t xml:space="preserve"> rumah ungu marwah jl. banaran 1 Rt 01 Rw 01 · Pabelan Jawa Tengah Kab. Sukoharjo Kartasura Indonesia Kab. Sukoharjo</t>
  </si>
  <si>
    <t>ketut budiartha</t>
  </si>
  <si>
    <t>jl bougenvill no 7 warung bu haji eni labuhan dalam bandar lampung · Kedaton Lampung Kota Bandar Lampung Kedaton Indonesia Kota Bandar Lampung</t>
  </si>
  <si>
    <t>Ardianto</t>
  </si>
  <si>
    <t>Jln, Martandu, lrn. Karisma 1, Pondok Zahra, Blok C 3 Sulawesi Tenggara Kota Kendari Kambu Indonesia Kota Kendari</t>
  </si>
  <si>
    <t>Hama &amp; Penyakit Ikan</t>
  </si>
  <si>
    <t>Sri Rahmaningsih</t>
  </si>
  <si>
    <t>hazin</t>
  </si>
  <si>
    <t>jalan raya kota kapur/tokoh haji kalok depan tokoh sahari · Kota Kapur Bangka Belitung Kab. Bangka Mendo Barat Indonesia Kab. Bangka</t>
  </si>
  <si>
    <t>Ade Dea</t>
  </si>
  <si>
    <t>Jalan Lapangan Bola RT002 RW01 No.57
Bekasi Barat
Kota Bekasi
Jawa Barat</t>
  </si>
  <si>
    <t>Akuntansi Pengantar 1</t>
  </si>
  <si>
    <t xml:space="preserve"> Faiz Zamzami
Nabella Duta Nusa</t>
  </si>
  <si>
    <t>Yudha Restu Pranata</t>
  </si>
  <si>
    <t>Jalan Pinang Merah Gg Pinang Merah, RT.1/RW.5, Maharatu, Marpoyan Damai (Bengkel blackshop ), KOTA PEKANBARU, MARPOYAN DAMAI, RIAU, ID, 28125</t>
  </si>
  <si>
    <t>olivia</t>
  </si>
  <si>
    <t>Perum, Jalan Jsb Residence Blok AB1-6, RT.39, Karang Joang, Balikpapan Utara, KOTA BALIKPAPAN, BALIKPAPAN UTARA, KALIMANTAN TIMUR, ID, 76127</t>
  </si>
  <si>
    <t>Gustaf Hariyanto</t>
  </si>
  <si>
    <t>Jl. Dr. Wahidin Sudirohusodo Kp. Batara Indah I Blok P. 14 78113 Pontianak, KOTA PONTIANAK, PONTIANAK KOTA, KALIMANTAN BARAT, ID, 78112</t>
  </si>
  <si>
    <t>Pembagian Kerja Suami-Istri dalam Rumah Tangga Pemulung (Studi di TPA Piyungan Yogyakarta)</t>
  </si>
  <si>
    <t>Endry Setiawan</t>
  </si>
  <si>
    <t xml:space="preserve">Yunus Dg Bali
</t>
  </si>
  <si>
    <t>jalan poros malino, Desa pakkatto (depan mayora, samping pasar lantebung, yg penjual gorong2), KAB. GOWA, BONTOMARANNU, SULAWESI SELATAN, ID, 92171</t>
  </si>
  <si>
    <t>Muhammad Izzul Haq</t>
  </si>
  <si>
    <t>Podosari rt 04 rw 02,Cepiring,Kendal, KAB. KENDAL, CEPIRING, JAWA TENGAH, ID, 513</t>
  </si>
  <si>
    <t>Pemrograman Berbasis Mobile Menggunakan Android Studio</t>
  </si>
  <si>
    <t>Imamah</t>
  </si>
  <si>
    <t xml:space="preserve">Ade Vina Shilviyani
</t>
  </si>
  <si>
    <t>Jl. Raya Cidahu, dusun manis RT02/RW01, Desa Cieurih, Kecamatan Cidahu (Rumah ibu emah), KAB. KUNINGAN, CIDAHU, JAWA BARAT, ID, 4559</t>
  </si>
  <si>
    <t>Lamang</t>
  </si>
  <si>
    <t>Panti Asuhan Guppi RT 005,RW 004 · La'latang (La Latang) Sulawesi Selatan Kota Makassar Tallo Indonesia Kota Makassar</t>
  </si>
  <si>
    <t>Afriani</t>
  </si>
  <si>
    <t>Jalan Sultan Alauddin Lorong 3 No.48, Gunung Sari, Rappocini, KOTA MAKASSAR, RAPPOCINI, SULAWESI SELATAN, ID, 90221</t>
  </si>
  <si>
    <t>Teori Berpikir Reflektif dalam Menyelesaikan Masalah Matematika</t>
  </si>
  <si>
    <t>Hery Suharna</t>
  </si>
  <si>
    <t xml:space="preserve">Ani
</t>
  </si>
  <si>
    <t>Kaisar plaza jl.abdulrahman saleh no 64,bandung (Sebrang bank BCA), KOTA BANDUNG, CICENDO, JAWA BARAT, ID, 40174</t>
  </si>
  <si>
    <t>Karina Adhaina</t>
  </si>
  <si>
    <t>Jalan Raudah 3 Blok 1A RT. 14 Toko Karina, Kelurahan Teluk Lerong Ilir, KOTA SAMARINDA, SAMARINDA ULU, KALIMANTAN TIMUR, ID, 75128</t>
  </si>
  <si>
    <t>Ahmad Syafiq F</t>
  </si>
  <si>
    <t>Pondok modern Tazakka Bandar Batang Jawa tengah Indonesia, KAB. BATANG, BANDAR, JAWA TENGAH, ID, 51254</t>
  </si>
  <si>
    <t>Bagus pramudia yudha</t>
  </si>
  <si>
    <t>Jl. Bojong permai xii block c 21 no.5, KOTA BEKASI, RAWALUMBU, JAWA BARAT, ID, 17116</t>
  </si>
  <si>
    <t>Hukum Administrasi dan Tata Kepemerintahan yang Baik (Good Governance)</t>
  </si>
  <si>
    <t>Hukum Pemerintahan Daerah dan Daerah Istimewa Yogyakarta dalam Bingkai NKRI</t>
  </si>
  <si>
    <t xml:space="preserve"> Dr. Anom Wahyu Asmorojati, S.H.,M.H.</t>
  </si>
  <si>
    <t>rahmat</t>
  </si>
  <si>
    <t>Kincir Angin Membelah Bukit Pabbaresseng Kabupaten Sidenreng Rappang</t>
  </si>
  <si>
    <t>Akmal dan Rahmat Ahmad</t>
  </si>
  <si>
    <t>Hukum Pidana Khusus dalam Teori dan Penegakannya</t>
  </si>
  <si>
    <t>Gamification of Work (GofW): (Tinjauan Dinamika Kinerja dan Perlindungan Hukum bagi Pengemudi Online</t>
  </si>
  <si>
    <t>Honorata Ratnawati Dwi Putranti … [et al.]</t>
  </si>
  <si>
    <t>Sonopakis kidul rt 03, rw 00 kel. Ngestiharjo, kec. Kasihan, Kab. Bantul yogyakarta</t>
  </si>
  <si>
    <t>Alat Ukur Kecerdasan Kinestetik Dalam Tari</t>
  </si>
  <si>
    <t>Dr. Dinny Devi Triana, S.Sn., M.Pd.</t>
  </si>
  <si>
    <t>Klemensia Nini</t>
  </si>
  <si>
    <t>Jln. Terusan Dieng No.40.
  Kecamatan: Sukun
  Kabupaten/Kota: Malang
  Provinsi: Jawa Timur</t>
  </si>
  <si>
    <t>Maulana</t>
  </si>
  <si>
    <t>Jalan letjen hertasning no. 12(kantor sementara kejari Makassar) , KOTA MAKASSAR, PANAKKUKANG, SULAWESI SELATAN, ID, 90232</t>
  </si>
  <si>
    <t>E-Procurement (Dinamika Pengadaan Barang)</t>
  </si>
  <si>
    <t xml:space="preserve">Ajeng Handayani
</t>
  </si>
  <si>
    <t>Jl. Kampung Bukit No.09 Rt 003 rw 003 Meral Kota Kab. Karimun, Kepri, KAB. KARIMUN, MERAL, KEPULAUAN RIAU, ID, 29664</t>
  </si>
  <si>
    <t>Jl. Kampung Bukit No.09 Rt 003 rw 003 Meral Kota Kab. Karimun, Kepri, KAB. KARIMUN, MERAL, KEPULAUAN RIAU, ID, 29665</t>
  </si>
  <si>
    <t xml:space="preserve"> Alyon Puguh Saputro, S.Si.</t>
  </si>
  <si>
    <t>Sani eka pratama</t>
  </si>
  <si>
    <t>jl. Marga asri VIII blok c no. 147 rt 05 rw 08 komp. Bumi asri kel. Gempolsari kec. B, KOTA BANDUNG, BANDUNG KULON, JAWA BARAT, ID, 40215</t>
  </si>
  <si>
    <t>Gema Wibawa Mukti dkk</t>
  </si>
  <si>
    <t>yamet</t>
  </si>
  <si>
    <t>jalan harapan ujung no 08,rumah no 2 sebelah kiri wana pink RT 001/ RW 003 · Pekan Arba Riau Kab. Indragiri Hilir Tembilahan Indonesia Kab. Indragiri Hilir</t>
  </si>
  <si>
    <t>Menapak Pengembangan Diri Siswa di Sekolah</t>
  </si>
  <si>
    <t>Drs. Yayuk Nuryanto, M.Pd.</t>
  </si>
  <si>
    <t>jubaedah</t>
  </si>
  <si>
    <t>jl minangkabau timur no. 19 (kantor lurah pasar manggis bagian up pmptsp kelurahan)
  Kecamatan: setiabudi
  Kabupaten/Kota: jakarta selatan
  Provinsi: dki jakarta</t>
  </si>
  <si>
    <t>Metodologi Penelitian Kuantitatif Praktis (Petunjuk Untuk Pemecahan Masalah Bisnis, Penyusunan Skripsi, Tesis, Dan Disertasi)</t>
  </si>
  <si>
    <t>Andriasan Sudarso, Lili Suryati dan Lusiah</t>
  </si>
  <si>
    <t>mira</t>
  </si>
  <si>
    <t>kubu pratama regency kav 22, desa ngijo karangploso,kab.malang
  Kecamatan: karangploso
  Kabupaten/Kota:kab.malang
  Provinsi: jawa timur</t>
  </si>
  <si>
    <t>Teknik Evaluasi Cluster Solusi Menggunakan Python Dan Rapidminer</t>
  </si>
  <si>
    <t>Lulu Khoirun Nisa</t>
  </si>
  <si>
    <t>Gedung Baru Pondok Pesantren An Nawawi, Jalan K H Zarkasyi Blok Baru, Gebang, Gebang (B1 Wisma Kamaliyah), KAB. PURWOREJO, GEBANG, JAWA TENGAH, ID, 54191</t>
  </si>
  <si>
    <t>Wasiat Ayah: Tentang Keluarga, Adab, &amp; Bahaya</t>
  </si>
  <si>
    <t>Iban Salda Safwan</t>
  </si>
  <si>
    <t>Nine Luthansa</t>
  </si>
  <si>
    <t>Balai Pelatihan Kesehatan (Bapelkes) Salaman, Jl.Raya Salaman 48, KAB. MAGELANG, SALAMAN, JAWA TENGAH, ID, 56162</t>
  </si>
  <si>
    <t>ASN Berakhlak Bangga Melayani Bangsa</t>
  </si>
  <si>
    <t>Mbakyu</t>
  </si>
  <si>
    <t>Rt.11 Dusun tanjung Indah Desa ButangBaru, KAB. SAROLANGUN, MANDIANGIN, JAMBI, ID, 37492</t>
  </si>
  <si>
    <t>Ketut Yudyant</t>
  </si>
  <si>
    <t>Jl. Maya Garden no 1. Kompleks Maya Garden., KOTA JAKARTA SELATAN, KEBAYORAN LAMA, DKI JAKARTA, ID, 1224</t>
  </si>
  <si>
    <t>Agustina Catur S.</t>
  </si>
  <si>
    <t>Balai Pelatihan Kesehatan (BAPELKES) Semarang, Jalan Pahlawan 1 (samping Bank Mandiri) Semarang Selatan, Kota Semarang, 50249 Jawa Tengah</t>
  </si>
  <si>
    <t>bapak yohan</t>
  </si>
  <si>
    <t>jalan Batu sari no 8A., Banjar Mandala Sari, Renon, Kecamatan Denpasar Timur, Denpasar-80234</t>
  </si>
  <si>
    <t>jalan Batu sari no 8A., Banjar Mandala Sari, Renon, Kecamatan Denpasar Timur, Denpasar-80235</t>
  </si>
  <si>
    <t>jalan Batu sari no 8A., Banjar Mandala Sari, Renon, Kecamatan Denpasar Timur, Denpasar-80236</t>
  </si>
  <si>
    <t>jalan Batu sari no 8A., Banjar Mandala Sari, Renon, Kecamatan Denpasar Timur, Denpasar-80237</t>
  </si>
  <si>
    <t>jalan Batu sari no 8A., Banjar Mandala Sari, Renon, Kecamatan Denpasar Timur, Denpasar-80238</t>
  </si>
  <si>
    <t>ANTOLOGI HUKUM INTERNASIONAL KONTEMPORER</t>
  </si>
  <si>
    <t>Dr. Kadarudin, S.H., M.H., CLA.</t>
  </si>
  <si>
    <t>jalan Batu sari no 8A., Banjar Mandala Sari, Renon, Kecamatan Denpasar Timur, Denpasar-80239</t>
  </si>
  <si>
    <t>Arbitrase dan Alternatif Penyelesaian Sengketa di Luar Pengadilan</t>
  </si>
  <si>
    <t>Rini Fitriani, S.H., M.H.</t>
  </si>
  <si>
    <t>jalan Batu sari no 8A., Banjar Mandala Sari, Renon, Kecamatan Denpasar Timur, Denpasar-80240</t>
  </si>
  <si>
    <t>Asas-Asas Hukum Adat dan Murddha Hukum Adat Bali</t>
  </si>
  <si>
    <t>Ketut Sudiatmaka dan Ni Ketut Sari Adnyani</t>
  </si>
  <si>
    <t>jalan Batu sari no 8A., Banjar Mandala Sari, Renon, Kecamatan Denpasar Timur, Denpasar-80241</t>
  </si>
  <si>
    <t>jalan Batu sari no 8A., Banjar Mandala Sari, Renon, Kecamatan Denpasar Timur, Denpasar-80242</t>
  </si>
  <si>
    <t>Aspek Hukum Perdata di Indonesia</t>
  </si>
  <si>
    <t>Hetty Hassanah</t>
  </si>
  <si>
    <t>jalan Batu sari no 8A., Banjar Mandala Sari, Renon, Kecamatan Denpasar Timur, Denpasar-80243</t>
  </si>
  <si>
    <t>jalan Batu sari no 8A., Banjar Mandala Sari, Renon, Kecamatan Denpasar Timur, Denpasar-80244</t>
  </si>
  <si>
    <t>jalan Batu sari no 8A., Banjar Mandala Sari, Renon, Kecamatan Denpasar Timur, Denpasar-80245</t>
  </si>
  <si>
    <t>Budaya Hukum, Bisnis Batik, dan Hak Cipta: Dalam Rangka Pendaftaran Hak Cipta Motif Batik Cirebon Dihubungkan dengan Undang-Undang Nomor 28 Tahun 2014 Tentang Hak Cipta (Studi Kasus di Kecamatan Plered Kabupaten Cirebon)</t>
  </si>
  <si>
    <t>jalan Batu sari no 8A., Banjar Mandala Sari, Renon, Kecamatan Denpasar Timur, Denpasar-80246</t>
  </si>
  <si>
    <t>jalan Batu sari no 8A., Banjar Mandala Sari, Renon, Kecamatan Denpasar Timur, Denpasar-80247</t>
  </si>
  <si>
    <t>jalan Batu sari no 8A., Banjar Mandala Sari, Renon, Kecamatan Denpasar Timur, Denpasar-80248</t>
  </si>
  <si>
    <t>Buku Ajar Mata Kuliah Hukum Lingkungan</t>
  </si>
  <si>
    <t>Aditia Syaprillah, S.H., M.H.</t>
  </si>
  <si>
    <t>jalan Batu sari no 8A., Banjar Mandala Sari, Renon, Kecamatan Denpasar Timur, Denpasar-80249</t>
  </si>
  <si>
    <t>Buku Ajar Pengantar Hukum Pengungsi Internasional, (Perbedaan Istilah Pencari Suaka, Pengungsi Internasional, dan Pengungsi dalam Negeri)</t>
  </si>
  <si>
    <t>Iin Karita Sakharina dan Kadarudin</t>
  </si>
  <si>
    <t>jalan Batu sari no 8A., Banjar Mandala Sari, Renon, Kecamatan Denpasar Timur, Denpasar-80250</t>
  </si>
  <si>
    <t>Buku Kekerasan Dalam Rumah Tangga ( KDRT ) &amp; Hak Asasi Manusia (HAM) ( Sebuah Kajian Yuridis)</t>
  </si>
  <si>
    <t>Saptosih Ismiati</t>
  </si>
  <si>
    <t>jalan Batu sari no 8A., Banjar Mandala Sari, Renon, Kecamatan Denpasar Timur, Denpasar-80251</t>
  </si>
  <si>
    <t>jalan Batu sari no 8A., Banjar Mandala Sari, Renon, Kecamatan Denpasar Timur, Denpasar-80252</t>
  </si>
  <si>
    <t>jalan Batu sari no 8A., Banjar Mandala Sari, Renon, Kecamatan Denpasar Timur, Denpasar-80253</t>
  </si>
  <si>
    <t>Delik-delik yang Berada di Luar KUHP</t>
  </si>
  <si>
    <t>jalan Batu sari no 8A., Banjar Mandala Sari, Renon, Kecamatan Denpasar Timur, Denpasar-80254</t>
  </si>
  <si>
    <t>jalan Batu sari no 8A., Banjar Mandala Sari, Renon, Kecamatan Denpasar Timur, Denpasar-80255</t>
  </si>
  <si>
    <t>jalan Batu sari no 8A., Banjar Mandala Sari, Renon, Kecamatan Denpasar Timur, Denpasar-80256</t>
  </si>
  <si>
    <t>Format Masa Depan (Catatan Hukum Dan Demokrasi Indonesia)</t>
  </si>
  <si>
    <t>jalan Batu sari no 8A., Banjar Mandala Sari, Renon, Kecamatan Denpasar Timur, Denpasar-80257</t>
  </si>
  <si>
    <t>Gagasan Pengadilan Khusus Kdrt</t>
  </si>
  <si>
    <t>Muhammad Ishar Helmi</t>
  </si>
  <si>
    <t>jalan Batu sari no 8A., Banjar Mandala Sari, Renon, Kecamatan Denpasar Timur, Denpasar-80258</t>
  </si>
  <si>
    <t>Hitam Putih Hukum Perbankan</t>
  </si>
  <si>
    <t>jalan Batu sari no 8A., Banjar Mandala Sari, Renon, Kecamatan Denpasar Timur, Denpasar-80259</t>
  </si>
  <si>
    <t>jalan Batu sari no 8A., Banjar Mandala Sari, Renon, Kecamatan Denpasar Timur, Denpasar-80260</t>
  </si>
  <si>
    <t>jalan Batu sari no 8A., Banjar Mandala Sari, Renon, Kecamatan Denpasar Timur, Denpasar-80261</t>
  </si>
  <si>
    <t>jalan Batu sari no 8A., Banjar Mandala Sari, Renon, Kecamatan Denpasar Timur, Denpasar-80262</t>
  </si>
  <si>
    <t>Hukum Acara Perselisihan Hubungan Industrial Teori, Praktik dan Permasalahannya</t>
  </si>
  <si>
    <t>Reytman Aruan</t>
  </si>
  <si>
    <t>jalan Batu sari no 8A., Banjar Mandala Sari, Renon, Kecamatan Denpasar Timur, Denpasar-80263</t>
  </si>
  <si>
    <t>Ni Ketut Sari Adnyani</t>
  </si>
  <si>
    <t>jalan Batu sari no 8A., Banjar Mandala Sari, Renon, Kecamatan Denpasar Timur, Denpasar-80264</t>
  </si>
  <si>
    <t>jalan Batu sari no 8A., Banjar Mandala Sari, Renon, Kecamatan Denpasar Timur, Denpasar-80265</t>
  </si>
  <si>
    <t>jalan Batu sari no 8A., Banjar Mandala Sari, Renon, Kecamatan Denpasar Timur, Denpasar-80266</t>
  </si>
  <si>
    <t>jalan Batu sari no 8A., Banjar Mandala Sari, Renon, Kecamatan Denpasar Timur, Denpasar-80267</t>
  </si>
  <si>
    <t>jalan Batu sari no 8A., Banjar Mandala Sari, Renon, Kecamatan Denpasar Timur, Denpasar-80268</t>
  </si>
  <si>
    <t>jalan Batu sari no 8A., Banjar Mandala Sari, Renon, Kecamatan Denpasar Timur, Denpasar-80269</t>
  </si>
  <si>
    <t>Hukum Bisnis: Kumpulan Undang-Undang di Bidang Teknologi Informasi dan Komunikasi</t>
  </si>
  <si>
    <t>Edy Santoso dan Sukendar</t>
  </si>
  <si>
    <t>jalan Batu sari no 8A., Banjar Mandala Sari, Renon, Kecamatan Denpasar Timur, Denpasar-80270</t>
  </si>
  <si>
    <t>Hukum Dagang Suatu Pengantar</t>
  </si>
  <si>
    <t>SUWARDI, S.H., M.H.</t>
  </si>
  <si>
    <t>jalan Batu sari no 8A., Banjar Mandala Sari, Renon, Kecamatan Denpasar Timur, Denpasar-80271</t>
  </si>
  <si>
    <t>jalan Batu sari no 8A., Banjar Mandala Sari, Renon, Kecamatan Denpasar Timur, Denpasar-80272</t>
  </si>
  <si>
    <t>Hukum dan Etika Bisnis</t>
  </si>
  <si>
    <t>Moh. Ja’far Sodiq Maksum</t>
  </si>
  <si>
    <t>jalan Batu sari no 8A., Banjar Mandala Sari, Renon, Kecamatan Denpasar Timur, Denpasar-80273</t>
  </si>
  <si>
    <t>jalan Batu sari no 8A., Banjar Mandala Sari, Renon, Kecamatan Denpasar Timur, Denpasar-80274</t>
  </si>
  <si>
    <t>jalan Batu sari no 8A., Banjar Mandala Sari, Renon, Kecamatan Denpasar Timur, Denpasar-80275</t>
  </si>
  <si>
    <t>Hukum di Antara Hak dan Kewajiban Asasi</t>
  </si>
  <si>
    <t>jalan Batu sari no 8A., Banjar Mandala Sari, Renon, Kecamatan Denpasar Timur, Denpasar-80276</t>
  </si>
  <si>
    <t>jalan Batu sari no 8A., Banjar Mandala Sari, Renon, Kecamatan Denpasar Timur, Denpasar-80277</t>
  </si>
  <si>
    <t>Hukum Internasional</t>
  </si>
  <si>
    <t>Salim Fauzi Lubis</t>
  </si>
  <si>
    <t>jalan Batu sari no 8A., Banjar Mandala Sari, Renon, Kecamatan Denpasar Timur, Denpasar-80278</t>
  </si>
  <si>
    <t>Hukum Kelembagaan Negara</t>
  </si>
  <si>
    <t>Isharyanto</t>
  </si>
  <si>
    <t>jalan Batu sari no 8A., Banjar Mandala Sari, Renon, Kecamatan Denpasar Timur, Denpasar-80279</t>
  </si>
  <si>
    <t>Hukum Ketenagakerjaan</t>
  </si>
  <si>
    <t>Dalinama Telaumbanua</t>
  </si>
  <si>
    <t>jalan Batu sari no 8A., Banjar Mandala Sari, Renon, Kecamatan Denpasar Timur, Denpasar-80280</t>
  </si>
  <si>
    <t>Hukum Ketenagakerjaan dan Outsourcing</t>
  </si>
  <si>
    <t>jalan Batu sari no 8A., Banjar Mandala Sari, Renon, Kecamatan Denpasar Timur, Denpasar-80281</t>
  </si>
  <si>
    <t>Hukum Keuangan Desa (Mencari Keseimbangan Kewenangan Pemerintah Kabupaten/Kota dan Desa) Kabupaten</t>
  </si>
  <si>
    <t>jalan Batu sari no 8A., Banjar Mandala Sari, Renon, Kecamatan Denpasar Timur, Denpasar-80282</t>
  </si>
  <si>
    <t>jalan Batu sari no 8A., Banjar Mandala Sari, Renon, Kecamatan Denpasar Timur, Denpasar-80283</t>
  </si>
  <si>
    <t>Hukum Merger, Konsolidasi Dan Akuisisi Pada Industri Telekomunikasi (Perspektif Efektivitas Dan Efisiensi (Pemanfaatan Spektrum Frekuensi Radio Pada Penyelenggara Jaringan Bergerak Seluler)</t>
  </si>
  <si>
    <t>Mohan Rifqo Virhani</t>
  </si>
  <si>
    <t>jalan Batu sari no 8A., Banjar Mandala Sari, Renon, Kecamatan Denpasar Timur, Denpasar-80284</t>
  </si>
  <si>
    <t>Hukum Pembangunan: Reformasi Perencanaan Pembangunan Nasional serta Kebijakan dan Pelayanan Publik</t>
  </si>
  <si>
    <t>Dr. H. M. Syahri Thohir, Drs., SH., MH</t>
  </si>
  <si>
    <t>jalan Batu sari no 8A., Banjar Mandala Sari, Renon, Kecamatan Denpasar Timur, Denpasar-80285</t>
  </si>
  <si>
    <t>jalan Batu sari no 8A., Banjar Mandala Sari, Renon, Kecamatan Denpasar Timur, Denpasar-80286</t>
  </si>
  <si>
    <t>Hukum Pemerintahan Daerah</t>
  </si>
  <si>
    <t>Dr. H. M. Syahri Thohir, Drs., S.H., M.H.</t>
  </si>
  <si>
    <t>jalan Batu sari no 8A., Banjar Mandala Sari, Renon, Kecamatan Denpasar Timur, Denpasar-80287</t>
  </si>
  <si>
    <t>jalan Batu sari no 8A., Banjar Mandala Sari, Renon, Kecamatan Denpasar Timur, Denpasar-80288</t>
  </si>
  <si>
    <t>Hukum Perkawinan (Kajian Perceraian Dengan Alasan KDRT)</t>
  </si>
  <si>
    <t>Muhammad Khambali</t>
  </si>
  <si>
    <t>jalan Batu sari no 8A., Banjar Mandala Sari, Renon, Kecamatan Denpasar Timur, Denpasar-80289</t>
  </si>
  <si>
    <t>Drs. Asmungi, SH., M.Si</t>
  </si>
  <si>
    <t xml:space="preserve">IPDN Sumatera Barat, Jalan Raya Bukittinggi, Simarasok, Baso (An. Pak Asmungi) (IPDN Sumatera Barat), KAB. AGAM, BASO, SUMATERA BARAT, ID, 26192
</t>
  </si>
  <si>
    <t>Gebby Makawoel</t>
  </si>
  <si>
    <t>Wari Ino, Jalan Raya Wari Ino, Wari Ino, Tobelo, KAB. HALMAHERA UTARA, TOBELO, MALUKU UTARA, ID, 97762</t>
  </si>
  <si>
    <t>Immanuel Milenius France</t>
  </si>
  <si>
    <t>Jl. Cihanjuang Gg. Leuwidadap No. 30 RT001/RW002 , KOTA CIMAHI, CIMAHI UTARA, JAWA BARAT, ID, 40513</t>
  </si>
  <si>
    <t>Naily Ni'mah</t>
  </si>
  <si>
    <t>Dusun Jurang Brengos Desa Merbuh RT. 001 RW. 005 (Depan Musholla Abdurrahman ), KAB. KENDAL, SINGOROJO, JAWA TENGAH, ID, 51382</t>
  </si>
  <si>
    <t>Imam sofyan lubis</t>
  </si>
  <si>
    <t>Perumahan bukit dago cluster ambassador 2 Blok D.18 No.8a, KAB. BOGOR, GUNUNG SINDUR, JAWA BARAT, ID, 16340</t>
  </si>
  <si>
    <t>Manajemen Pengawasan Konstruksi &amp; Detail Engineering Design (DED) (Hitung Manual Tebal Pelat yang Dibutuhkan, ASME Section VIII, Div-2, 2007) Proyek Pembangunan Terminal LPG Pressurized 2 X 2500 MTon, Depot Panjang, Lampung</t>
  </si>
  <si>
    <t>Aep Triana Sumantri</t>
  </si>
  <si>
    <t>Khoirur Rohman</t>
  </si>
  <si>
    <t xml:space="preserve">Dusun bahoro. RT 09/RW 03. Desa sumberharjo, KAB. BOJONEGORO, SUMBERREJO, JAWA TIMUR, ID, 62191
</t>
  </si>
  <si>
    <t>Strategi dan Teknik Penulisan Karya Tulis Ilmiah dan Publikasi</t>
  </si>
  <si>
    <t>Ameilia Zuliyanti Siregar &amp; Nurliana Harahap</t>
  </si>
  <si>
    <t>Agung Budiono</t>
  </si>
  <si>
    <t>Jl Bintara I No 66 RT 007/002 Bekasi Barat, Kota Bekasi, 17134 Jawa Barat</t>
  </si>
  <si>
    <t xml:space="preserve">Hasif 
</t>
  </si>
  <si>
    <t>NO.89,RT.014,RW.004,klayan,gunung jati,cirebon,jawa barat Gunung Jati, Kab. Cirebon, 45151 Jawa Barat</t>
  </si>
  <si>
    <t>Ahmad Zayn Usman</t>
  </si>
  <si>
    <t xml:space="preserve">Jl. Sewu No. 3, Kec. Pekanbaru Kota, Kota Pekanbaru, Riau, 28116 [Tokopedia Note: jl sewu no 3 kel simpang empat 28116 (dpn masjid) ] Pekanbaru Kota, Kota Pekanbaru, 28116 Riau
</t>
  </si>
  <si>
    <t>23 Wasiat Rasulullah dalam Kajian Sunnah Nabawiyah</t>
  </si>
  <si>
    <t>Suryandi B. Temala</t>
  </si>
  <si>
    <t>predi susanto</t>
  </si>
  <si>
    <t>Bangka Selatan 33782 rt.25./05 · Nyelanding Bangka Belitung Kab. Bangka Selatan Air Gegas Indonesia Kab. Bangka Selatan</t>
  </si>
  <si>
    <t>Desi</t>
  </si>
  <si>
    <t>Kp. Pasir Rt 03/05 Jawa Barat Kab. Bogor Tenjolaya Indonesia Kab. Bogor</t>
  </si>
  <si>
    <t>Manajemen Sumber Daya Manusia: Dalam Perspektif Manajemen Sumber Daya Manusia: Dalam Perspektif Managerial dan Sosial</t>
  </si>
  <si>
    <t>Afri Erisman, Ph.D.</t>
  </si>
  <si>
    <t>Dian Sunardewi</t>
  </si>
  <si>
    <t>Notaris/PPAT ABDUL WAHAB, S.H., M. Kn.
Ruko Cikarang Plaza Jl. Yos Sudarso No. 91
Cikarang Utara
Kabupaten Bekasi
Jawa Barat
17530</t>
  </si>
  <si>
    <t>Notaris/PPAT ABDUL WAHAB, S.H., M. Kn.
Ruko Cikarang Plaza Jl. Yos Sudarso No. 91
Cikarang Utara
Kabupaten Bekasi
Jawa Barat
17531</t>
  </si>
  <si>
    <t>Faiz Zamzami
Nabella Duta Nusa</t>
  </si>
  <si>
    <t>DARYANTO</t>
  </si>
  <si>
    <t>Jl. Hasan Ramli, Ranai, KAB. NATUNA, BUNGURAN TIMUR, KEPULAUAN RIAU, ID, 297</t>
  </si>
  <si>
    <t>Darni Anita Taek</t>
  </si>
  <si>
    <t>Jln. Dolok, Rayon Naomi, RT.03/RW.01, Desa Kesetnana, Kecamatan Molo Selatan , Rumah Bpk Jonisius Taek (depan dolok), KAB. TIMOR TENGAH SELATAN, MOLLO SELATAN, NUSA TENGGARA TIMUR (NTT), ID, 85561</t>
  </si>
  <si>
    <t>MIKROBIOLOGI–PARASITOLOGI</t>
  </si>
  <si>
    <t>Drs. Saldanis Ismail DHSM., M.Pd.</t>
  </si>
  <si>
    <t>Rani Septiani</t>
  </si>
  <si>
    <t>Jalan kebon kopi Gg.pamaja no122 rt03 rw08 (No rumah nya ketutup sama kayu ), KOTA CIMAHI, CIMAHI SELATAN, JAWA BARAT, ID, 40535</t>
  </si>
  <si>
    <t>Made</t>
  </si>
  <si>
    <t>Gg. Mertaasih No 1, Kec. Sukasada, Kabupaten Buleleng, Bali [Tokopedia Note: Jalan Srikandi Gang Mertaasih Nomor 1 (Pagar warna merah pinggir jalan)]</t>
  </si>
  <si>
    <t>Media Pembelajaran: Kajian Teoretis dan Kemanfaatan</t>
  </si>
  <si>
    <t>Cahyo Hasanudin</t>
  </si>
  <si>
    <t>tanjung mas raya</t>
  </si>
  <si>
    <t>travel</t>
  </si>
  <si>
    <t>lok C2, Jl. Garuda No.14, RT.3/RW.11, Bintaro, Kec. Pesanggrahan, Kota Jakarta Selatan, Daerah Khusus Ibukota Jakarta 12330</t>
  </si>
  <si>
    <t>Sodikin</t>
  </si>
  <si>
    <t>Manajemen Proyek Teknologi Informasi</t>
  </si>
  <si>
    <t>Agus Suryanto dan Anan Nugroho</t>
  </si>
  <si>
    <t>Pemrograman Game Mobile</t>
  </si>
  <si>
    <t>Anugerah Bagus Wijaya, Toni Anwar dan Argiyan Dwi Pritama</t>
  </si>
  <si>
    <t>Fida Dwi yuliati</t>
  </si>
  <si>
    <t xml:space="preserve"> jl. Kampus Ronggolawe Blok B, No. 1 mentul, Cepu, Blora Jawa tengah 58315</t>
  </si>
  <si>
    <t xml:space="preserve"> jl. Kampus Ronggolawe Blok B, No. 1 mentul, Cepu, Blora Jawa tengah 58316</t>
  </si>
  <si>
    <t xml:space="preserve"> jl. Kampus Ronggolawe Blok B, No. 1 mentul, Cepu, Blora Jawa tengah 58317</t>
  </si>
  <si>
    <t xml:space="preserve"> jl. Kampus Ronggolawe Blok B, No. 1 mentul, Cepu, Blora Jawa tengah 58318</t>
  </si>
  <si>
    <t>Anto Paryanto</t>
  </si>
  <si>
    <t xml:space="preserve"> Dusun Puhun, Rt/RW: 03/03, Desa Nusaherang
  Kecamatan: Nusaherang
  Kabupaten/Kota: Kuningan
  Provinsi: Jawa Barat</t>
  </si>
  <si>
    <t>Model Pemberdayaan Kelompok Tani Tanaman Pangan Pesisir Pantai</t>
  </si>
  <si>
    <t>pak kustono</t>
  </si>
  <si>
    <t>Perpustakaan unair kampus B, jalan Darmawangsa Surabaya</t>
  </si>
  <si>
    <t xml:space="preserve">achmad sholahudin irianto
</t>
  </si>
  <si>
    <t>SMK Telekomunikasi Tunas Harapan
Perum bukit pringsari. Dsn. Tempelsari RT11 RW02 blok A5/18
Pringapus
Kabupaten Semarang
Jawa Tengah</t>
  </si>
  <si>
    <t>Alvina Damayanti (Vina)</t>
  </si>
  <si>
    <t>Jalan Desa Paninggaran Blok Lebak, RT.4/RW.1, Paninggaran, Darma, KAB. KUNINGAN, DARMA, JAWA BARAT, ID, 45562</t>
  </si>
  <si>
    <t>Jalan Desa Paninggaran Blok Lebak, RT.4/RW.1, Paninggaran, Darma, KAB. KUNINGAN, DARMA, JAWA BARAT, ID, 45563</t>
  </si>
  <si>
    <t>muhammad fikri</t>
  </si>
  <si>
    <t>jln murai 2 sarana extention rt006/02 NO37 Ciputat, Kota Tangerang Selatan, 15414 Banten</t>
  </si>
  <si>
    <t>roro widjayanti</t>
  </si>
  <si>
    <t>Blok B1/9, BSB Village · Bubakan Jawa Tengah Kota Semarang Mijen Indonesia Kota Semarang</t>
  </si>
  <si>
    <t>Edwin S. Sasradipoera</t>
  </si>
  <si>
    <t>Jl. Keuagan Raya no. 2, cilandak barat, cilandak, jaksel, KOTA JAKARTA SELATAN, CILANDAK, DKI JAKARTA, ID, 124</t>
  </si>
  <si>
    <t>Yoga Subrata</t>
  </si>
  <si>
    <t>Kos Putra Roemah Lanang (Kamar No. 7), Jalan C. Simanjuntak No.3, RT.13/RW.3, Terban, Gondokusuman, KOTA YOGYAKARTA, GONDOKUSUMAN, DI YOGYAKARTA, ID, 55223</t>
  </si>
  <si>
    <t>ALDI</t>
  </si>
  <si>
    <t xml:space="preserve">Perumahan Permata Bukit Raya, Jln. Bhakti Husada, Blok K. No. 23, Kulim Tenayan Raya (Rumah Cat Orange.), KOTA PEKANBARU, TENAYAN RAYA, RIAU, ID, 28242
</t>
  </si>
  <si>
    <t>Sultan Alauddin 2, Lorong 2D, Mangasa, Tamalate (Pondok Nur Asmin), KOTA MAKASSAR, TAMALATE, SULAWESI SELATAN, ID, 90223</t>
  </si>
  <si>
    <t>Laode Mondolalo</t>
  </si>
  <si>
    <t>MAN 1 Kebumen - Jl. Cincin Kota No.44, Watubarut, Gemeksekti, Kec. Kebumen, Kabupaten Kebumen, Jawa Tengah 54351</t>
  </si>
  <si>
    <t>MAN 1 Kebumen - Jl. Cincin Kota No.44, Watubarut, Gemeksekti, Kec. Kebumen, Kabupaten Kebumen, Jawa Tengah 54352</t>
  </si>
  <si>
    <t>Zuarnida Simanjuntak</t>
  </si>
  <si>
    <t>cik Bunda Zahra</t>
  </si>
  <si>
    <t>agustin</t>
  </si>
  <si>
    <t xml:space="preserve">Jl. Saonigeho Km. 1 Telukdalam, Nias Selatan, 22865
    RT/RW  :000/000
    Kelurahan  :Pasar Teluk dalam
    Kecamatan  :Telukdalam 
    Kabupaten/Kota :Nias Selatan 
    Provinsi  :Sumatera Utara </t>
  </si>
  <si>
    <t xml:space="preserve"> Saphira Town House No. 12, Jalan Jambu, Sanggir Lor, Kalurahan Paulan
  Kecamatan: Colomadu
  Kabupaten/Kota: Karanganyar
  Provinsi: Jawa Tengah</t>
  </si>
  <si>
    <t>Jln. Trans Sulawesi
Kota Marisa, Kabupaten Pohuwato, Prov. Gorontalo.</t>
  </si>
  <si>
    <t>Jl. Purwakarta No. 139 C RT/RW 004/007, Antapani, Kota Bandung, Jawa Barat, 40291</t>
  </si>
  <si>
    <t xml:space="preserve">Perum Marisa Indah Blok L no 25.
Kecamatan: Marisa
KABUPATEN/KOTA Pohuwato
Prov: Gorontalo </t>
  </si>
  <si>
    <t>Fakultas Kehutanan UGM Jl Agro No.1 Bulaksumur. 55281, Depok, Kabupaten/Kota Sleman, Provinsi DIY, 55281</t>
  </si>
  <si>
    <t xml:space="preserve">Jl. pelita Dk, Bilo Rt 14/03 Desa Pungpungan Kecamatan Kalitidu Kabupaten bojonegoro </t>
  </si>
  <si>
    <t>Jl. pelita Dk, Bilo Rt 14/03 Desa Pungpungan Kecamatan Kalitidu Kabupaten bojonegoro</t>
  </si>
  <si>
    <t>jl rawa selatan 3 no 65B rt 07/rw 05 kelurahan kampung rawa
  Kecamatan: johar baru
  Kabupaten/Kota: JAKARTA PUSAT
  Provinsi: dki jakarta</t>
  </si>
  <si>
    <t>jeruk nyelap gg jeruk mangse rt 01 rw 02 kelurahan situmekar kecamatan lembur situ, Lembur Situ, KABUPATEN/KOTA SUKABUMI , Jawa Barat, 43169</t>
  </si>
  <si>
    <t>Kampus Fakultas Perikanan dan Kelautan Universitas Lambung Mangkurat Jl. A. Yani km 36,5
  Kecamatan: Banjarbaru Selatan
  Kabupaten/Kota: Kota Banjar Baru
  Provinsi: Kalimantan Selatan</t>
  </si>
  <si>
    <t>Jalan.Sengkeli Piak air Sijuk RT 09 rw 05 , KAB. BELITUNG, SIJUK, ID, 33451
Sijuk
Kabupaten Belitung</t>
  </si>
  <si>
    <t>Jalan Tampaksiring VI Blok C-5 No. 59A, Komp. Antilop, RT020/RW07, Kel. Jaticempaka, Kec. Pondok Gede, Kota Bekasi  17411, Prov. Jawa Barat</t>
  </si>
  <si>
    <t>Guru SMAN 3 Batusangkar
Komplek Pendidikan Bukitgombak
Batusangkar Kabupaten Tanah Datar, 27213
Sumatera Barat</t>
  </si>
  <si>
    <t>Gardenia Estate Blok A1/17
Jl. RE Martadinata, Ciputat-Tangerang selatan
KP 15411</t>
  </si>
  <si>
    <t>jl. Palm Komplek griya mawar asri blok C/31
  Kecamatan: landasan ulin
  Kabupaten/Kota: Banjar baru
  Provinsi: Kalimantan Selatan</t>
  </si>
  <si>
    <t>Jl Trikora No. 69 RT 03 RW 06 Kelurahan Landasan Ulin Timur Kode Pos 70724
  Kecamatan: Landasan Ulin
  Kabupaten/Kota: Banjar baru
  Provinsi: Kalimantan Selatan</t>
  </si>
  <si>
    <t>RS.Helindo Blok O no. 31 jl. Moro seneng Kel. Baturaja Permai
Kec. Baturaja Timur
Kab. OGAN KOMERING ULU prov. Sumsel</t>
  </si>
  <si>
    <t>green sedayu bizpark daan mogot
Blok dm 3 no 18
PT. wellen print
  Kecamatan:kalideres
 Kabupaten/Kota: Jakarta Barat
Provinsi:Dki jakarta</t>
  </si>
  <si>
    <t>Kp. Gunung Menyan. Rt.17, Rw. 04, Desa. Cimanglid, Kec. Kasomalang, Kab. Subang
Kabupaten Subang
Jawa Barat</t>
  </si>
  <si>
    <t xml:space="preserve">Gandaria 1, Gg. Damai,... rumah didepan tambak ikan pagar hitam dinding kuning., KOTA PANGKALPINANG, GERUNGGANG, BANGKA BELITUNG, ID, 33122
</t>
  </si>
  <si>
    <t>Jalan Sungai Hitam, sehabis jembatan, ruko no 5. Sebelah kiri. Depan wahana famili. , KOTA BENGKULU, BENGKULU, ID, 38121</t>
  </si>
  <si>
    <t>Mompang angkola julu. jalan raya angkola julu Sumatera Utara Kota PADANGSIDIMPUAN Angkola Julu Indonesia Kota PADANGSIDIMPUAN</t>
  </si>
  <si>
    <t>Kampus, isi padangpanjang jalan bahder johan' padangpanjang Timur, Padang panjang Timur, Kota Padang panjang, Sumatera Barat, 27118</t>
  </si>
  <si>
    <t>Kantor BPDASHL Asahan Barumu,  Kota Pematang Siantar</t>
  </si>
  <si>
    <t>Jl. Taman Sri Rejeki Selatan 7 no 49 Rt 4 Rw 4 Kelurahan Kalibanteng kidul
  Kecamatan: Semarang Barat
  Kota: Semarang
  Provinsi: Jawa Tengah</t>
  </si>
  <si>
    <t>Ruko Villa Gading Indah A2 no 17
Jalan Boulevard Bukit Gading Raya
Kelapa Gading Barat
Jakarta utara14240</t>
  </si>
  <si>
    <t>jl rukun no 60 rt 05 rw 01 kelurahan setu
  Kecamatan: cipayung
  Kabupaten/Kota: jakarta timur 13380
  Provinsi: dki jakarta</t>
  </si>
  <si>
    <t>Jl. Pisangan Raya No. 89 Kertamukti, Cirendeu(Rumah Pagar Hitam Depan Komp. Puri Laras Dua/II)
  Kecamatan: Ciputat Timur
  Kabupaten/Kota: Tangerang Selatan
  Provinsi: Banten</t>
  </si>
  <si>
    <t>Jln. Intan 3 no 127 Kel. Sumur Batu
  Kecamatan: Kemayoran
  Kabupaten/Kota: Jakarta pusat
  Provinsi: DKI Jakarta</t>
  </si>
  <si>
    <t>Di solo jl duwet no1 karangasem laweyan surakarta</t>
  </si>
  <si>
    <t>Jalan Cendana II no.15.Perumnas Pijorkoling, KOTA PADANGSIDIMPUAN, PADANGSIDIMPUAN TENGGARA, SUMATERA UTARA, ID, 22748</t>
  </si>
  <si>
    <t>Jalan Sultan Agung Gg Rajawali No.55, Kedaton, Kota Bandar lampung
  Kecamatan: Kedaton
  Kabupaten/Kota: Bandar lampung
  Provinsi: Lampung</t>
  </si>
  <si>
    <t xml:space="preserve"> jalan ibadah 2 no 146 rt 1 kelurahan watervang 
  Kecamatan: lubuk linggau timur 1
  Kabupaten/Kota: lubuk linggau
  Provinsi: sumsel</t>
  </si>
  <si>
    <t>JL. Barokah RT 004 RW 001 kelurahan Sumber Makmur, KAB. KOTAWARINGIN TIMUR, TELAWANG, KALIMANTAN TENGAH, ID, 74352</t>
  </si>
  <si>
    <t>Komplek Highland Park (KSB) Kawasan Kelapa Gading Jl. Raflesia Blok T No. 16-17 RT 03 RW 10 Kel. Banjar Agung
Cipocok Jaya
Kota Serang</t>
  </si>
  <si>
    <t xml:space="preserve"> jl soemawinata kompleks griya asri pakusarakan cluster baru blok C1 no 3 RT 04 RW 25 desa tani Mulya kec Ngamprah kab bandung barat, </t>
  </si>
  <si>
    <t>𝖣𝗌.𝖪𝗎𝗇𝗍𝗂𝗅𝗂 𝖦𝖺𝖽𝗈𝗀 𝖱𝗍.06. 𝖱𝗐. 01. 
  Kecamatan: 𝖲𝗎𝗆𝗉𝗂𝗎𝗁
  KABUPATEN/KOTA: BANYUMAS
  Provinsi: 𝖩𝖺𝗐𝖺 𝖳𝖾𝗇𝗀𝖺𝗁</t>
  </si>
  <si>
    <t>SMK KESEHATAN BINA, Jl. Merdeka No 435
Cidawang, Martapura, OKU Timur Sumatera
Selatan, MARTAPURA, KAB. OGAN KOMERING ULU TIMUR, SUMATERA SELATAN</t>
  </si>
  <si>
    <t>Tunggul Barat RT 01RW24 Semanu, Semanu Gunung kidul, DIY (Rumah ada joglonya). 55893</t>
  </si>
  <si>
    <t>Perumahan Qoriyah Toyibah No A225 RT.05 RW. 03 kelurahan kandang Limun, Kecamatan Muara Bangkahulu, Kota Bengkulu, Provinsi Bengkulu  38122</t>
  </si>
  <si>
    <t>Perumahan Qoriyah Toyibah No A225 RT.05 RW. 03 kelurahan kandang Limun, Kecamatan Muara Bangkahulu, Kota Bengkulu, Provinsi Bengkulu 38123</t>
  </si>
  <si>
    <t>Lesehan Zaki, Jln.Lintas Sumatera Utara, Kel.Lima Puluh
  Kecamatan:Lima Puluh
  Kabupaten/Kota:Kab. Batu bara
  Provinsi:Sumatera Utara</t>
  </si>
  <si>
    <t>Jl. H. Sardana gg. Jeruk B1 Rajabasa Jaya Bandar Lampung
  Kecamatan: 
  Kabupaten/Kota: Bandar lampung
  Provinsi: Lampung</t>
  </si>
  <si>
    <t>jl batu mutiara no 41, Sampit, KAB KOTAWARINGIN TIMUR, Kalimantan Tengah, 74322</t>
  </si>
  <si>
    <t>Perumahan Teras Bumi 4 No 2 Jl. Rukun 3  Curug, Bojongsari, Kota Depok, Jawa Barat 16517
  Kecamatan: Bojongsari
  Kabupaten/Kota: DePok
  Provinsi: Jawa Barat</t>
  </si>
  <si>
    <t>Jalan Rumbia II, RT.2/RW.5, Asam, Rangkui. Kontrakan kedua warna putih kuning., KOTA PANGKALPINANG, RANGKUI, BANGKA BELITUNG, ID, 3313</t>
  </si>
  <si>
    <t>Jln.Poros Pasarwajo/ Lasalimu, Kab Buton</t>
  </si>
  <si>
    <t>Sekolah Tinggi Ilmu Kesehatan Kepanjen
Jl. Trunojoyo No. 16
Kepanjen
Kabupaten Malang</t>
  </si>
  <si>
    <t xml:space="preserve"> jl siung no 32  kelurahan setu
  Kecamatan: cipayung
  Kabupaten/Kota: jakarta timur 13380
  Provinsi: dki jakarta</t>
  </si>
  <si>
    <t>Warung Oppung Jojor No. 10 Desa Gur-gur Aekraja.
Kecamatan : Tampahan
Kabupaten : Toba Samosir
Provinsi : Sumatera utara</t>
  </si>
  <si>
    <t>Jalan Merak 4 No.15a, Gilingan Kel., Banjarsari, KOTA SURAKARTA (SOLO) JAWA TENGAH, ID, 57134</t>
  </si>
  <si>
    <t>Desa Pudun Jae, Gang Hasayangan, Pudun Jae, Padang Sidempuan Batunadua, KOTA PADANGSIDiMPUAN, PADANG SIDEMPUAN BATUNADUA, SUMATERA UTARA, ID, 22733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</si>
</sst>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Rp&quot;* #,##0_-;\-&quot;Rp&quot;* #,##0_-;_-&quot;Rp&quot;* &quot;-&quot;_-;_-@_-"/>
    <numFmt numFmtId="41" formatCode="_-* #,##0_-;\-* #,##0_-;_-* &quot;-&quot;_-;_-@_-"/>
    <numFmt numFmtId="43" formatCode="_-* #,##0.00_-;\-* #,##0.00_-;_-* &quot;-&quot;??_-;_-@_-"/>
    <numFmt numFmtId="164" formatCode="_(&quot;$&quot;* #,##0_);_(&quot;$&quot;* \(#,##0\);_(&quot;$&quot;* &quot;-&quot;_);_(@_)"/>
    <numFmt numFmtId="165" formatCode="_(* #,##0_);_(* \(#,##0\);_(* &quot;-&quot;_);_(@_)"/>
    <numFmt numFmtId="166" formatCode="_([$Rp-421]* #,##0_);_([$Rp-421]* \(#,##0\);_([$Rp-421]* &quot;-&quot;??_);_(@_)"/>
    <numFmt numFmtId="167" formatCode="_(&quot;Rp&quot;* #,##0_);_(&quot;Rp&quot;* \(#,##0\);_(&quot;Rp&quot;* &quot;-&quot;_);_(@_)"/>
    <numFmt numFmtId="168" formatCode="&quot;Rp&quot;#,##0"/>
  </numFmts>
  <fonts count="102">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
      <scheme val="minor"/>
    </font>
    <font>
      <sz val="11"/>
      <color theme="1"/>
      <name val="Calibri"/>
      <family val="2"/>
      <scheme val="minor"/>
    </font>
    <font>
      <sz val="11"/>
      <color rgb="FF272F34"/>
      <name val="Calibri"/>
      <family val="2"/>
      <scheme val="minor"/>
    </font>
    <font>
      <sz val="11"/>
      <color rgb="FF000000"/>
      <name val="Calibri"/>
      <family val="2"/>
      <scheme val="minor"/>
    </font>
    <font>
      <sz val="11"/>
      <color rgb="FF666666"/>
      <name val="Calibri"/>
      <family val="2"/>
      <scheme val="minor"/>
    </font>
    <font>
      <sz val="11"/>
      <name val="Calibri"/>
      <family val="2"/>
      <scheme val="minor"/>
    </font>
    <font>
      <sz val="11"/>
      <name val="Arial"/>
      <family val="2"/>
    </font>
    <font>
      <sz val="12"/>
      <color rgb="FF000000"/>
      <name val="Calibri"/>
      <family val="2"/>
      <scheme val="minor"/>
    </font>
    <font>
      <sz val="12"/>
      <color rgb="FF272F34"/>
      <name val="Calibri"/>
      <family val="2"/>
      <scheme val="minor"/>
    </font>
    <font>
      <sz val="12"/>
      <color rgb="FF272F34"/>
      <name val="Arial"/>
      <family val="2"/>
    </font>
    <font>
      <sz val="11"/>
      <color rgb="FF666666"/>
      <name val="Arial"/>
      <family val="2"/>
    </font>
    <font>
      <sz val="11"/>
      <color theme="1"/>
      <name val="Arial"/>
      <family val="2"/>
    </font>
    <font>
      <sz val="11"/>
      <color rgb="FF333333"/>
      <name val="Arial"/>
      <family val="2"/>
    </font>
    <font>
      <sz val="11"/>
      <color rgb="FF333333"/>
      <name val="Segoe UI"/>
      <family val="2"/>
    </font>
    <font>
      <sz val="11"/>
      <color theme="1"/>
      <name val="Segoe UI"/>
      <family val="2"/>
    </font>
    <font>
      <sz val="12"/>
      <color rgb="FF333333"/>
      <name val="Arial"/>
      <family val="2"/>
    </font>
    <font>
      <sz val="11"/>
      <color rgb="FF333333"/>
      <name val="Calibri"/>
      <family val="2"/>
      <scheme val="minor"/>
    </font>
    <font>
      <b/>
      <sz val="8"/>
      <color rgb="FF444444"/>
      <name val="Arial"/>
      <family val="2"/>
    </font>
    <font>
      <sz val="9"/>
      <color theme="1"/>
      <name val="Segoe UI"/>
      <family val="2"/>
    </font>
    <font>
      <sz val="10"/>
      <color rgb="FF333333"/>
      <name val="Helvetica-Bold"/>
    </font>
    <font>
      <u/>
      <sz val="11"/>
      <color theme="10"/>
      <name val="Calibri"/>
      <family val="2"/>
      <scheme val="minor"/>
    </font>
    <font>
      <sz val="9"/>
      <color rgb="FF52565E"/>
      <name val="Segoe UI"/>
      <family val="2"/>
    </font>
    <font>
      <sz val="12"/>
      <color rgb="FF272F34"/>
      <name val="Times New Roman"/>
      <family val="1"/>
    </font>
    <font>
      <sz val="11"/>
      <color rgb="FF404040"/>
      <name val="Calibri"/>
      <family val="2"/>
      <scheme val="minor"/>
    </font>
    <font>
      <sz val="11"/>
      <color rgb="FF23282D"/>
      <name val="Arial"/>
      <family val="2"/>
    </font>
    <font>
      <sz val="12"/>
      <color rgb="FF000000"/>
      <name val="Arial"/>
      <family val="2"/>
    </font>
    <font>
      <sz val="9"/>
      <color rgb="FF333333"/>
      <name val="Arial"/>
      <family val="2"/>
    </font>
    <font>
      <sz val="11"/>
      <color rgb="FF52565E"/>
      <name val="Calibri"/>
      <family val="2"/>
      <scheme val="minor"/>
    </font>
    <font>
      <sz val="8"/>
      <color rgb="FF000000"/>
      <name val="Arial"/>
      <family val="2"/>
    </font>
    <font>
      <sz val="12"/>
      <color theme="1"/>
      <name val="Calibri"/>
      <family val="2"/>
      <scheme val="minor"/>
    </font>
    <font>
      <sz val="12"/>
      <color rgb="FF000000"/>
      <name val="Times New Roman"/>
      <family val="1"/>
    </font>
    <font>
      <sz val="9"/>
      <color rgb="FF333333"/>
      <name val="Segoe UI"/>
      <family val="2"/>
    </font>
    <font>
      <sz val="11"/>
      <color rgb="FF000000"/>
      <name val="Arial"/>
      <family val="2"/>
    </font>
    <font>
      <sz val="8"/>
      <name val="Arial"/>
      <family val="2"/>
    </font>
    <font>
      <sz val="12"/>
      <name val="Calibri"/>
      <family val="2"/>
      <scheme val="minor"/>
    </font>
    <font>
      <sz val="9"/>
      <name val="Segoe UI"/>
      <family val="2"/>
    </font>
    <font>
      <sz val="12"/>
      <name val="Times New Roman"/>
      <family val="1"/>
    </font>
    <font>
      <sz val="11"/>
      <name val="Georgia"/>
      <family val="1"/>
    </font>
    <font>
      <u/>
      <sz val="11"/>
      <name val="Calibri"/>
      <family val="2"/>
      <scheme val="minor"/>
    </font>
    <font>
      <sz val="11"/>
      <name val="Segoe UI"/>
      <family val="2"/>
    </font>
    <font>
      <sz val="11"/>
      <color rgb="FF444444"/>
      <name val="Calibri"/>
      <family val="2"/>
      <scheme val="minor"/>
    </font>
    <font>
      <sz val="11"/>
      <color rgb="FF444444"/>
      <name val="Arial"/>
      <family val="2"/>
    </font>
    <font>
      <sz val="11"/>
      <name val="Tahoma"/>
      <family val="2"/>
    </font>
    <font>
      <sz val="11"/>
      <color theme="1"/>
      <name val="Georgia"/>
      <family val="1"/>
    </font>
    <font>
      <sz val="10"/>
      <color rgb="FF333333"/>
      <name val="Helvetica-Bold"/>
      <charset val="134"/>
    </font>
    <font>
      <sz val="11"/>
      <color rgb="FF000000"/>
      <name val="-apple-system"/>
    </font>
    <font>
      <sz val="10"/>
      <color rgb="FF000000"/>
      <name val="Arial"/>
      <family val="2"/>
    </font>
    <font>
      <b/>
      <sz val="11"/>
      <color rgb="FF272F34"/>
      <name val="Calibri"/>
      <family val="2"/>
      <scheme val="minor"/>
    </font>
    <font>
      <b/>
      <sz val="12"/>
      <color rgb="FF272F34"/>
      <name val="Calibri"/>
      <family val="2"/>
      <scheme val="minor"/>
    </font>
    <font>
      <sz val="11"/>
      <color rgb="FF000000"/>
      <name val="Garamond"/>
      <family val="1"/>
    </font>
    <font>
      <sz val="10"/>
      <color rgb="FF444444"/>
      <name val="Arial"/>
      <family val="2"/>
    </font>
    <font>
      <b/>
      <sz val="12"/>
      <color rgb="FF000000"/>
      <name val="Calibri"/>
      <family val="2"/>
      <scheme val="minor"/>
    </font>
    <font>
      <sz val="12"/>
      <color theme="1"/>
      <name val="Times New Roman"/>
      <family val="1"/>
    </font>
    <font>
      <b/>
      <sz val="12"/>
      <color theme="1"/>
      <name val="Calibri"/>
      <family val="2"/>
      <scheme val="minor"/>
    </font>
    <font>
      <sz val="9"/>
      <color rgb="FF333333"/>
      <name val="Quattrocento Sans"/>
    </font>
    <font>
      <sz val="11"/>
      <color rgb="FF333333"/>
      <name val="Quattrocento Sans"/>
    </font>
    <font>
      <sz val="11"/>
      <color theme="1"/>
      <name val="Quattrocento Sans"/>
    </font>
    <font>
      <sz val="12"/>
      <color rgb="FF272F34"/>
      <name val="Times"/>
    </font>
    <font>
      <sz val="12"/>
      <color rgb="FF000000"/>
      <name val="Times"/>
    </font>
    <font>
      <sz val="11"/>
      <color rgb="FF000000"/>
      <name val="Segoe UI"/>
      <family val="2"/>
    </font>
    <font>
      <sz val="11"/>
      <color theme="1"/>
      <name val="Calibri"/>
      <family val="2"/>
      <scheme val="minor"/>
    </font>
    <font>
      <u/>
      <sz val="11"/>
      <color theme="10"/>
      <name val="Calibri"/>
      <family val="2"/>
      <charset val="1"/>
      <scheme val="minor"/>
    </font>
    <font>
      <sz val="11"/>
      <color rgb="FF333333"/>
      <name val="Helvetica-Bold"/>
      <charset val="134"/>
    </font>
    <font>
      <sz val="11"/>
      <color rgb="FF52565E"/>
      <name val="Segoe UI"/>
      <family val="2"/>
    </font>
    <font>
      <sz val="11"/>
      <name val="Docs-Calibri"/>
    </font>
    <font>
      <sz val="11"/>
      <color rgb="FF31353B"/>
      <name val="Segoe UI"/>
      <family val="2"/>
    </font>
    <font>
      <sz val="11"/>
      <name val="Calibri"/>
      <family val="2"/>
      <charset val="1"/>
      <scheme val="minor"/>
    </font>
    <font>
      <sz val="11"/>
      <name val="-apple-system"/>
    </font>
    <font>
      <sz val="11"/>
      <color rgb="FFFF0000"/>
      <name val="Calibri"/>
      <family val="2"/>
      <scheme val="minor"/>
    </font>
    <font>
      <b/>
      <sz val="11"/>
      <color theme="1"/>
      <name val="Calibri"/>
      <family val="2"/>
      <scheme val="minor"/>
    </font>
    <font>
      <sz val="11"/>
      <color rgb="FF202429"/>
      <name val="Calibri"/>
      <family val="2"/>
      <scheme val="minor"/>
    </font>
    <font>
      <sz val="12"/>
      <color indexed="8"/>
      <name val="Calibri"/>
      <family val="2"/>
    </font>
    <font>
      <sz val="11"/>
      <color indexed="8"/>
      <name val="Calibri"/>
      <family val="2"/>
    </font>
    <font>
      <sz val="12"/>
      <color indexed="8"/>
      <name val="Times New Roman"/>
      <family val="1"/>
    </font>
    <font>
      <b/>
      <sz val="11"/>
      <name val="Calibri"/>
      <family val="2"/>
      <scheme val="minor"/>
    </font>
    <font>
      <strike/>
      <sz val="11"/>
      <color rgb="FF272F34"/>
      <name val="Calibri"/>
      <family val="2"/>
      <scheme val="minor"/>
    </font>
    <font>
      <sz val="11"/>
      <color rgb="FFFF00FF"/>
      <name val="Calibri"/>
      <family val="2"/>
      <scheme val="minor"/>
    </font>
  </fonts>
  <fills count="7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28AD7"/>
        <bgColor indexed="64"/>
      </patternFill>
    </fill>
    <fill>
      <patternFill patternType="solid">
        <fgColor rgb="FFFF99CC"/>
        <bgColor indexed="64"/>
      </patternFill>
    </fill>
    <fill>
      <patternFill patternType="solid">
        <fgColor rgb="FFF8BEE9"/>
        <bgColor indexed="64"/>
      </patternFill>
    </fill>
    <fill>
      <patternFill patternType="solid">
        <fgColor rgb="FFF4B084"/>
        <bgColor indexed="64"/>
      </patternFill>
    </fill>
    <fill>
      <patternFill patternType="solid">
        <fgColor rgb="FF92D050"/>
        <bgColor indexed="64"/>
      </patternFill>
    </fill>
    <fill>
      <patternFill patternType="solid">
        <fgColor rgb="FFFFC000"/>
        <bgColor indexed="64"/>
      </patternFill>
    </fill>
    <fill>
      <patternFill patternType="solid">
        <fgColor rgb="FFF0F1F2"/>
        <bgColor indexed="64"/>
      </patternFill>
    </fill>
    <fill>
      <patternFill patternType="solid">
        <fgColor rgb="FFFF9900"/>
        <bgColor indexed="64"/>
      </patternFill>
    </fill>
    <fill>
      <patternFill patternType="solid">
        <fgColor rgb="FFFF0066"/>
        <bgColor indexed="64"/>
      </patternFill>
    </fill>
    <fill>
      <patternFill patternType="solid">
        <fgColor rgb="FFFF5050"/>
        <bgColor indexed="64"/>
      </patternFill>
    </fill>
    <fill>
      <patternFill patternType="solid">
        <fgColor rgb="FFB4A7D6"/>
        <bgColor indexed="64"/>
      </patternFill>
    </fill>
    <fill>
      <patternFill patternType="solid">
        <fgColor rgb="FF8064A2"/>
        <bgColor indexed="64"/>
      </patternFill>
    </fill>
    <fill>
      <patternFill patternType="solid">
        <fgColor rgb="FF00B050"/>
        <bgColor indexed="64"/>
      </patternFill>
    </fill>
    <fill>
      <patternFill patternType="solid">
        <fgColor rgb="FF00B0F0"/>
        <bgColor indexed="64"/>
      </patternFill>
    </fill>
    <fill>
      <patternFill patternType="solid">
        <fgColor rgb="FF00FFFF"/>
        <bgColor indexed="64"/>
      </patternFill>
    </fill>
    <fill>
      <patternFill patternType="solid">
        <fgColor theme="5" tint="0.39997558519241921"/>
        <bgColor indexed="64"/>
      </patternFill>
    </fill>
    <fill>
      <patternFill patternType="solid">
        <fgColor rgb="FF9BC2E6"/>
        <bgColor indexed="64"/>
      </patternFill>
    </fill>
    <fill>
      <patternFill patternType="solid">
        <fgColor rgb="FFF8CBAD"/>
        <bgColor indexed="64"/>
      </patternFill>
    </fill>
    <fill>
      <patternFill patternType="solid">
        <fgColor rgb="FFE06666"/>
        <bgColor indexed="64"/>
      </patternFill>
    </fill>
    <fill>
      <patternFill patternType="solid">
        <fgColor rgb="FFFF00FF"/>
        <bgColor indexed="64"/>
      </patternFill>
    </fill>
    <fill>
      <patternFill patternType="solid">
        <fgColor rgb="FFD5A6BD"/>
        <bgColor indexed="64"/>
      </patternFill>
    </fill>
    <fill>
      <patternFill patternType="solid">
        <fgColor rgb="FFF6B26B"/>
        <bgColor indexed="64"/>
      </patternFill>
    </fill>
    <fill>
      <patternFill patternType="solid">
        <fgColor theme="5" tint="0.59999389629810485"/>
        <bgColor indexed="64"/>
      </patternFill>
    </fill>
    <fill>
      <patternFill patternType="solid">
        <fgColor theme="0"/>
        <bgColor indexed="64"/>
      </patternFill>
    </fill>
    <fill>
      <patternFill patternType="solid">
        <fgColor rgb="FFBDD7EE"/>
        <bgColor indexed="64"/>
      </patternFill>
    </fill>
    <fill>
      <patternFill patternType="solid">
        <fgColor rgb="FF9BBB59"/>
        <bgColor indexed="64"/>
      </patternFill>
    </fill>
    <fill>
      <patternFill patternType="solid">
        <fgColor rgb="FFF1C232"/>
        <bgColor indexed="64"/>
      </patternFill>
    </fill>
    <fill>
      <patternFill patternType="solid">
        <fgColor theme="4" tint="0.59999389629810485"/>
        <bgColor indexed="64"/>
      </patternFill>
    </fill>
    <fill>
      <patternFill patternType="solid">
        <fgColor rgb="FFF9CB9C"/>
        <bgColor indexed="64"/>
      </patternFill>
    </fill>
    <fill>
      <patternFill patternType="solid">
        <fgColor rgb="FFFCD1FC"/>
        <bgColor indexed="64"/>
      </patternFill>
    </fill>
    <fill>
      <patternFill patternType="solid">
        <fgColor rgb="FFE6F882"/>
        <bgColor indexed="64"/>
      </patternFill>
    </fill>
    <fill>
      <patternFill patternType="solid">
        <fgColor rgb="FFF4CCCC"/>
        <bgColor indexed="64"/>
      </patternFill>
    </fill>
    <fill>
      <patternFill patternType="solid">
        <fgColor rgb="FFFCE5CD"/>
        <bgColor indexed="64"/>
      </patternFill>
    </fill>
    <fill>
      <patternFill patternType="solid">
        <fgColor rgb="FF8DB3E2"/>
        <bgColor indexed="64"/>
      </patternFill>
    </fill>
    <fill>
      <patternFill patternType="solid">
        <fgColor rgb="FFF2DBDB"/>
        <bgColor indexed="64"/>
      </patternFill>
    </fill>
    <fill>
      <patternFill patternType="solid">
        <fgColor rgb="FFEA9999"/>
        <bgColor indexed="64"/>
      </patternFill>
    </fill>
    <fill>
      <patternFill patternType="solid">
        <fgColor rgb="FFB6D7A8"/>
        <bgColor indexed="64"/>
      </patternFill>
    </fill>
    <fill>
      <patternFill patternType="solid">
        <fgColor rgb="FFF7981D"/>
        <bgColor indexed="64"/>
      </patternFill>
    </fill>
    <fill>
      <patternFill patternType="solid">
        <fgColor rgb="FFFFD966"/>
        <bgColor indexed="64"/>
      </patternFill>
    </fill>
    <fill>
      <patternFill patternType="solid">
        <fgColor rgb="FFFFE599"/>
        <bgColor indexed="64"/>
      </patternFill>
    </fill>
    <fill>
      <patternFill patternType="solid">
        <fgColor rgb="FFC9DAF8"/>
        <bgColor indexed="64"/>
      </patternFill>
    </fill>
    <fill>
      <patternFill patternType="solid">
        <fgColor theme="2" tint="-0.249977111117893"/>
        <bgColor indexed="64"/>
      </patternFill>
    </fill>
    <fill>
      <patternFill patternType="solid">
        <fgColor theme="2" tint="-0.749992370372631"/>
        <bgColor indexed="64"/>
      </patternFill>
    </fill>
    <fill>
      <patternFill patternType="solid">
        <fgColor rgb="FF92CDDC"/>
        <bgColor indexed="64"/>
      </patternFill>
    </fill>
    <fill>
      <patternFill patternType="solid">
        <fgColor theme="3" tint="0.39997558519241921"/>
        <bgColor indexed="64"/>
      </patternFill>
    </fill>
    <fill>
      <patternFill patternType="solid">
        <fgColor rgb="FFD99795"/>
        <bgColor indexed="64"/>
      </patternFill>
    </fill>
    <fill>
      <patternFill patternType="solid">
        <fgColor rgb="FF9FC5E8"/>
        <bgColor indexed="64"/>
      </patternFill>
    </fill>
    <fill>
      <patternFill patternType="solid">
        <fgColor rgb="FFBF9000"/>
        <bgColor indexed="64"/>
      </patternFill>
    </fill>
    <fill>
      <patternFill patternType="solid">
        <fgColor rgb="FFFFF2CC"/>
        <bgColor indexed="64"/>
      </patternFill>
    </fill>
    <fill>
      <patternFill patternType="solid">
        <fgColor rgb="FF93C47D"/>
        <bgColor indexed="64"/>
      </patternFill>
    </fill>
    <fill>
      <patternFill patternType="solid">
        <fgColor rgb="FFFFC7CE"/>
        <bgColor indexed="64"/>
      </patternFill>
    </fill>
    <fill>
      <patternFill patternType="solid">
        <fgColor rgb="FFFF0000"/>
        <bgColor indexed="64"/>
      </patternFill>
    </fill>
    <fill>
      <patternFill patternType="solid">
        <fgColor theme="3" tint="0.59999389629810485"/>
        <bgColor indexed="64"/>
      </patternFill>
    </fill>
    <fill>
      <patternFill patternType="solid">
        <fgColor rgb="FFA64D79"/>
        <bgColor indexed="64"/>
      </patternFill>
    </fill>
    <fill>
      <patternFill patternType="solid">
        <fgColor theme="0" tint="-0.14999847407452621"/>
        <bgColor indexed="64"/>
      </patternFill>
    </fill>
    <fill>
      <patternFill patternType="solid">
        <fgColor rgb="FFE6B8B7"/>
        <bgColor indexed="64"/>
      </patternFill>
    </fill>
    <fill>
      <patternFill patternType="solid">
        <fgColor rgb="FF00FF00"/>
        <bgColor indexed="64"/>
      </patternFill>
    </fill>
    <fill>
      <patternFill patternType="solid">
        <fgColor rgb="FFE6B8AF"/>
        <bgColor indexed="64"/>
      </patternFill>
    </fill>
    <fill>
      <patternFill patternType="solid">
        <fgColor rgb="FF9900FF"/>
        <bgColor indexed="64"/>
      </patternFill>
    </fill>
    <fill>
      <patternFill patternType="solid">
        <fgColor theme="2" tint="-9.9978637043366805E-2"/>
        <bgColor indexed="64"/>
      </patternFill>
    </fill>
    <fill>
      <patternFill patternType="solid">
        <fgColor rgb="FFE36C09"/>
        <bgColor indexed="64"/>
      </patternFill>
    </fill>
    <fill>
      <patternFill patternType="solid">
        <fgColor rgb="FFD9D9D9"/>
        <bgColor indexed="64"/>
      </patternFill>
    </fill>
    <fill>
      <patternFill patternType="solid">
        <fgColor theme="3" tint="0.79998168889431442"/>
        <bgColor indexed="64"/>
      </patternFill>
    </fill>
    <fill>
      <patternFill patternType="solid">
        <fgColor rgb="FFCCCCCC"/>
        <bgColor indexed="64"/>
      </patternFill>
    </fill>
    <fill>
      <patternFill patternType="solid">
        <fgColor rgb="FFC0504D"/>
        <bgColor indexed="64"/>
      </patternFill>
    </fill>
    <fill>
      <patternFill patternType="solid">
        <fgColor rgb="FFFCD5B4"/>
        <bgColor indexed="64"/>
      </patternFill>
    </fill>
    <fill>
      <patternFill patternType="solid">
        <fgColor rgb="FFE9FFE8"/>
        <bgColor indexed="64"/>
      </patternFill>
    </fill>
    <fill>
      <patternFill patternType="solid">
        <fgColor rgb="FFF79646"/>
        <bgColor indexed="64"/>
      </patternFill>
    </fill>
    <fill>
      <patternFill patternType="solid">
        <fgColor rgb="FFFABF8F"/>
        <bgColor indexed="64"/>
      </patternFill>
    </fill>
    <fill>
      <patternFill patternType="solid">
        <fgColor rgb="FF8E7CC3"/>
        <bgColor indexed="64"/>
      </patternFill>
    </fill>
    <fill>
      <patternFill patternType="solid">
        <fgColor rgb="FFB6DDE8"/>
        <bgColor indexed="64"/>
      </patternFill>
    </fill>
    <fill>
      <patternFill patternType="solid">
        <fgColor rgb="FFE69138"/>
        <bgColor indexed="64"/>
      </patternFill>
    </fill>
    <fill>
      <patternFill patternType="solid">
        <fgColor rgb="FFB2A1C7"/>
        <bgColor indexed="64"/>
      </patternFill>
    </fill>
    <fill>
      <patternFill patternType="solid">
        <fgColor theme="4" tint="0.39997558519241921"/>
        <bgColor indexed="64"/>
      </patternFill>
    </fill>
    <fill>
      <patternFill patternType="solid">
        <fgColor rgb="FFFFE699"/>
        <bgColor indexed="64"/>
      </patternFill>
    </fill>
  </fills>
  <borders count="7">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bottom/>
      <diagonal/>
    </border>
    <border>
      <left style="medium">
        <color rgb="FFCCCCCC"/>
      </left>
      <right style="medium">
        <color rgb="FF000000"/>
      </right>
      <top/>
      <bottom/>
      <diagonal/>
    </border>
    <border>
      <left/>
      <right/>
      <top/>
      <bottom style="thin">
        <color indexed="64"/>
      </bottom>
      <diagonal/>
    </border>
  </borders>
  <cellStyleXfs count="89">
    <xf numFmtId="0" fontId="0" fillId="0" borderId="0"/>
    <xf numFmtId="0" fontId="26" fillId="0" borderId="0"/>
    <xf numFmtId="167" fontId="25" fillId="0" borderId="0" applyFont="0" applyFill="0" applyBorder="0" applyAlignment="0" applyProtection="0"/>
    <xf numFmtId="0" fontId="36" fillId="0" borderId="0"/>
    <xf numFmtId="0" fontId="45" fillId="0" borderId="0" applyNumberFormat="0" applyFill="0" applyBorder="0" applyAlignment="0" applyProtection="0"/>
    <xf numFmtId="0" fontId="25" fillId="0" borderId="0"/>
    <xf numFmtId="0" fontId="22" fillId="0" borderId="0"/>
    <xf numFmtId="0" fontId="22" fillId="0" borderId="0"/>
    <xf numFmtId="0" fontId="25" fillId="0" borderId="0"/>
    <xf numFmtId="0" fontId="25" fillId="0" borderId="0"/>
    <xf numFmtId="0" fontId="25" fillId="0" borderId="0"/>
    <xf numFmtId="0" fontId="25" fillId="0" borderId="0"/>
    <xf numFmtId="0" fontId="85" fillId="0" borderId="0"/>
    <xf numFmtId="167" fontId="19"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0" fontId="19" fillId="0" borderId="0"/>
    <xf numFmtId="0" fontId="45" fillId="0" borderId="0" applyNumberFormat="0" applyFill="0" applyBorder="0" applyAlignment="0" applyProtection="0"/>
    <xf numFmtId="0" fontId="25" fillId="0" borderId="0"/>
    <xf numFmtId="42" fontId="25" fillId="0" borderId="0" applyFont="0" applyFill="0" applyBorder="0" applyAlignment="0" applyProtection="0"/>
    <xf numFmtId="42" fontId="19" fillId="0" borderId="0" applyFont="0" applyFill="0" applyBorder="0" applyAlignment="0" applyProtection="0"/>
    <xf numFmtId="0" fontId="19" fillId="0" borderId="0"/>
    <xf numFmtId="0" fontId="19" fillId="0" borderId="0"/>
    <xf numFmtId="0" fontId="19" fillId="0" borderId="0"/>
    <xf numFmtId="0" fontId="25" fillId="0" borderId="0"/>
    <xf numFmtId="167" fontId="25" fillId="0" borderId="0" applyFont="0" applyFill="0" applyBorder="0" applyAlignment="0" applyProtection="0"/>
    <xf numFmtId="0" fontId="19" fillId="0" borderId="0"/>
    <xf numFmtId="43" fontId="19" fillId="0" borderId="0" applyFont="0" applyFill="0" applyBorder="0" applyAlignment="0" applyProtection="0"/>
    <xf numFmtId="0" fontId="25" fillId="0" borderId="0"/>
    <xf numFmtId="0" fontId="19" fillId="0" borderId="0"/>
    <xf numFmtId="164" fontId="19" fillId="0" borderId="0" applyFont="0" applyFill="0" applyBorder="0" applyAlignment="0" applyProtection="0"/>
    <xf numFmtId="0" fontId="19" fillId="0" borderId="0"/>
    <xf numFmtId="0" fontId="19" fillId="0" borderId="0"/>
    <xf numFmtId="167" fontId="19" fillId="0" borderId="0" applyFont="0" applyFill="0" applyBorder="0" applyAlignment="0" applyProtection="0"/>
    <xf numFmtId="167" fontId="19" fillId="0" borderId="0" applyFont="0" applyFill="0" applyBorder="0" applyAlignment="0" applyProtection="0"/>
    <xf numFmtId="0" fontId="19" fillId="0" borderId="0"/>
    <xf numFmtId="167" fontId="19" fillId="0" borderId="0" applyFont="0" applyFill="0" applyBorder="0" applyAlignment="0" applyProtection="0"/>
    <xf numFmtId="0" fontId="19" fillId="0" borderId="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0" fontId="19" fillId="0" borderId="0"/>
    <xf numFmtId="0" fontId="19" fillId="0" borderId="0"/>
    <xf numFmtId="0" fontId="25" fillId="0" borderId="0"/>
    <xf numFmtId="167" fontId="25" fillId="0" borderId="0" applyFont="0" applyFill="0" applyBorder="0" applyAlignment="0" applyProtection="0"/>
    <xf numFmtId="167" fontId="25" fillId="0" borderId="0" applyFont="0" applyFill="0" applyBorder="0" applyAlignment="0" applyProtection="0"/>
    <xf numFmtId="0" fontId="86" fillId="0" borderId="0" applyNumberFormat="0" applyFill="0" applyBorder="0" applyAlignment="0" applyProtection="0"/>
    <xf numFmtId="0" fontId="25" fillId="0" borderId="0"/>
    <xf numFmtId="42" fontId="25" fillId="0" borderId="0" applyFont="0" applyFill="0" applyBorder="0" applyAlignment="0" applyProtection="0"/>
    <xf numFmtId="167" fontId="19" fillId="0" borderId="0" applyFont="0" applyFill="0" applyBorder="0" applyAlignment="0" applyProtection="0"/>
    <xf numFmtId="0" fontId="25" fillId="0" borderId="0"/>
    <xf numFmtId="167" fontId="25" fillId="0" borderId="0" applyFont="0" applyFill="0" applyBorder="0" applyAlignment="0" applyProtection="0"/>
    <xf numFmtId="0" fontId="25" fillId="0" borderId="0"/>
    <xf numFmtId="0" fontId="45" fillId="0" borderId="0" applyNumberFormat="0" applyFill="0" applyBorder="0" applyAlignment="0" applyProtection="0"/>
    <xf numFmtId="0" fontId="25" fillId="0" borderId="0"/>
    <xf numFmtId="0" fontId="45" fillId="0" borderId="0" applyNumberFormat="0" applyFill="0" applyBorder="0" applyAlignment="0" applyProtection="0"/>
    <xf numFmtId="42" fontId="19" fillId="0" borderId="0" applyFont="0" applyFill="0" applyBorder="0" applyAlignment="0" applyProtection="0"/>
    <xf numFmtId="167" fontId="25" fillId="0" borderId="0" applyFont="0" applyFill="0" applyBorder="0" applyAlignment="0" applyProtection="0"/>
    <xf numFmtId="41" fontId="19" fillId="0" borderId="0" applyFont="0" applyFill="0" applyBorder="0" applyAlignment="0" applyProtection="0"/>
    <xf numFmtId="167" fontId="18" fillId="0" borderId="0" applyFont="0" applyFill="0" applyBorder="0" applyAlignment="0" applyProtection="0"/>
    <xf numFmtId="0" fontId="18" fillId="0" borderId="0"/>
    <xf numFmtId="42" fontId="18" fillId="0" borderId="0" applyFont="0" applyFill="0" applyBorder="0" applyAlignment="0" applyProtection="0"/>
    <xf numFmtId="0" fontId="18" fillId="0" borderId="0"/>
    <xf numFmtId="0" fontId="18" fillId="0" borderId="0"/>
    <xf numFmtId="0" fontId="18" fillId="0" borderId="0"/>
    <xf numFmtId="0" fontId="18" fillId="0" borderId="0"/>
    <xf numFmtId="43" fontId="18" fillId="0" borderId="0" applyFont="0" applyFill="0" applyBorder="0" applyAlignment="0" applyProtection="0"/>
    <xf numFmtId="0" fontId="18" fillId="0" borderId="0"/>
    <xf numFmtId="164" fontId="18" fillId="0" borderId="0" applyFont="0" applyFill="0" applyBorder="0" applyAlignment="0" applyProtection="0"/>
    <xf numFmtId="0" fontId="18" fillId="0" borderId="0"/>
    <xf numFmtId="0" fontId="18" fillId="0"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7" fontId="18" fillId="0" borderId="0" applyFont="0" applyFill="0" applyBorder="0" applyAlignment="0" applyProtection="0"/>
    <xf numFmtId="0" fontId="18" fillId="0" borderId="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7" fontId="18" fillId="0" borderId="0" applyFont="0" applyFill="0" applyBorder="0" applyAlignment="0" applyProtection="0"/>
    <xf numFmtId="42" fontId="18" fillId="0" borderId="0" applyFont="0" applyFill="0" applyBorder="0" applyAlignment="0" applyProtection="0"/>
    <xf numFmtId="41" fontId="18" fillId="0" borderId="0" applyFont="0" applyFill="0" applyBorder="0" applyAlignment="0" applyProtection="0"/>
    <xf numFmtId="43" fontId="18" fillId="0" borderId="0" applyFont="0" applyFill="0" applyBorder="0" applyAlignment="0" applyProtection="0"/>
    <xf numFmtId="0" fontId="8" fillId="0" borderId="0"/>
    <xf numFmtId="0" fontId="7" fillId="0" borderId="0"/>
    <xf numFmtId="0" fontId="25" fillId="0" borderId="0"/>
    <xf numFmtId="43" fontId="25" fillId="0" borderId="0" applyFont="0" applyFill="0" applyBorder="0" applyAlignment="0" applyProtection="0"/>
  </cellStyleXfs>
  <cellXfs count="1101">
    <xf numFmtId="0" fontId="0" fillId="0" borderId="0" xfId="0"/>
    <xf numFmtId="0" fontId="26" fillId="0" borderId="0" xfId="1"/>
    <xf numFmtId="14" fontId="28" fillId="2" borderId="0" xfId="1" applyNumberFormat="1" applyFont="1" applyFill="1" applyBorder="1" applyAlignment="1">
      <alignment horizontal="center" vertical="center"/>
    </xf>
    <xf numFmtId="0" fontId="28" fillId="2" borderId="0" xfId="1" applyFont="1" applyFill="1" applyBorder="1" applyAlignment="1">
      <alignment horizontal="center" vertical="center"/>
    </xf>
    <xf numFmtId="1" fontId="28" fillId="2" borderId="0" xfId="1" applyNumberFormat="1" applyFont="1" applyFill="1" applyBorder="1" applyAlignment="1">
      <alignment horizontal="center" vertical="center"/>
    </xf>
    <xf numFmtId="166" fontId="28" fillId="2" borderId="0" xfId="1" applyNumberFormat="1" applyFont="1" applyFill="1" applyBorder="1" applyAlignment="1">
      <alignment horizontal="center" vertical="center"/>
    </xf>
    <xf numFmtId="165" fontId="28" fillId="2" borderId="0" xfId="1" applyNumberFormat="1" applyFont="1" applyFill="1" applyBorder="1" applyAlignment="1">
      <alignment horizontal="center" vertical="center"/>
    </xf>
    <xf numFmtId="1" fontId="28" fillId="2" borderId="0" xfId="1" applyNumberFormat="1" applyFont="1" applyFill="1" applyBorder="1" applyAlignment="1">
      <alignment horizontal="left" vertical="center"/>
    </xf>
    <xf numFmtId="0" fontId="28" fillId="2" borderId="0" xfId="1" applyNumberFormat="1" applyFont="1" applyFill="1" applyBorder="1" applyAlignment="1">
      <alignment horizontal="left" vertical="top"/>
    </xf>
    <xf numFmtId="16" fontId="28" fillId="0" borderId="0" xfId="0" applyNumberFormat="1" applyFont="1" applyBorder="1" applyAlignment="1">
      <alignment horizontal="center"/>
    </xf>
    <xf numFmtId="0" fontId="27" fillId="0" borderId="0" xfId="0" applyFont="1" applyBorder="1" applyAlignment="1"/>
    <xf numFmtId="0" fontId="27" fillId="0" borderId="0" xfId="0" applyFont="1" applyBorder="1" applyAlignment="1">
      <alignment vertical="center"/>
    </xf>
    <xf numFmtId="0" fontId="31" fillId="0" borderId="0" xfId="0" applyFont="1" applyFill="1" applyBorder="1" applyAlignment="1"/>
    <xf numFmtId="0" fontId="0" fillId="0" borderId="0" xfId="0" quotePrefix="1" applyFont="1" applyFill="1" applyBorder="1"/>
    <xf numFmtId="0" fontId="32" fillId="3" borderId="0" xfId="0" applyFont="1" applyFill="1" applyBorder="1" applyAlignment="1"/>
    <xf numFmtId="0" fontId="33" fillId="0" borderId="0" xfId="0" applyFont="1" applyBorder="1" applyAlignment="1"/>
    <xf numFmtId="0" fontId="0" fillId="0" borderId="0" xfId="0" applyBorder="1" applyAlignment="1">
      <alignment horizontal="center"/>
    </xf>
    <xf numFmtId="0" fontId="0" fillId="0" borderId="0" xfId="0" applyFont="1" applyFill="1" applyBorder="1"/>
    <xf numFmtId="0" fontId="0" fillId="0" borderId="0" xfId="0" applyNumberFormat="1" applyFont="1" applyFill="1" applyBorder="1"/>
    <xf numFmtId="0" fontId="29" fillId="0" borderId="0" xfId="0" applyFont="1" applyFill="1" applyBorder="1" applyAlignment="1">
      <alignment horizontal="right" vertical="center" indent="4"/>
    </xf>
    <xf numFmtId="0" fontId="0" fillId="0" borderId="0" xfId="0" applyFill="1" applyBorder="1"/>
    <xf numFmtId="0" fontId="31" fillId="0" borderId="0" xfId="0" applyFont="1" applyFill="1" applyBorder="1"/>
    <xf numFmtId="0" fontId="32" fillId="0" borderId="0" xfId="0" applyFont="1" applyBorder="1" applyAlignment="1"/>
    <xf numFmtId="0" fontId="30" fillId="0" borderId="0" xfId="0" applyFont="1" applyFill="1" applyBorder="1" applyAlignment="1"/>
    <xf numFmtId="0" fontId="32" fillId="5" borderId="0" xfId="0" applyFont="1" applyFill="1" applyBorder="1" applyAlignment="1"/>
    <xf numFmtId="0" fontId="33" fillId="5" borderId="0" xfId="0" applyFont="1" applyFill="1" applyBorder="1" applyAlignment="1"/>
    <xf numFmtId="0" fontId="30" fillId="0" borderId="0" xfId="0" applyFont="1" applyFill="1" applyBorder="1"/>
    <xf numFmtId="0" fontId="34" fillId="5" borderId="0" xfId="0" applyFont="1" applyFill="1" applyBorder="1" applyAlignment="1"/>
    <xf numFmtId="0" fontId="29" fillId="0" borderId="0" xfId="0" applyFont="1" applyFill="1" applyBorder="1"/>
    <xf numFmtId="0" fontId="0" fillId="0" borderId="0" xfId="0" applyFill="1" applyBorder="1" applyAlignment="1"/>
    <xf numFmtId="0" fontId="27" fillId="0" borderId="0" xfId="0" applyFont="1" applyBorder="1" applyAlignment="1">
      <alignment horizontal="center"/>
    </xf>
    <xf numFmtId="0" fontId="35" fillId="0" borderId="0" xfId="0" applyFont="1"/>
    <xf numFmtId="0" fontId="31" fillId="0" borderId="0" xfId="0" applyFont="1"/>
    <xf numFmtId="0" fontId="33" fillId="0" borderId="0" xfId="0" applyFont="1" applyBorder="1" applyAlignment="1">
      <alignment vertical="center"/>
    </xf>
    <xf numFmtId="0" fontId="34" fillId="4" borderId="0" xfId="0" applyFont="1" applyFill="1" applyBorder="1" applyAlignment="1"/>
    <xf numFmtId="0" fontId="27" fillId="3" borderId="0" xfId="0" applyFont="1" applyFill="1" applyBorder="1" applyAlignment="1">
      <alignment horizontal="center"/>
    </xf>
    <xf numFmtId="0" fontId="30" fillId="0" borderId="0" xfId="0" applyFont="1" applyFill="1" applyBorder="1" applyAlignment="1">
      <alignment vertical="center"/>
    </xf>
    <xf numFmtId="0" fontId="31" fillId="0" borderId="0" xfId="0" applyFont="1" applyAlignment="1"/>
    <xf numFmtId="0" fontId="34" fillId="0" borderId="0" xfId="0" applyFont="1" applyBorder="1" applyAlignment="1"/>
    <xf numFmtId="0" fontId="33" fillId="6" borderId="0" xfId="0" applyFont="1" applyFill="1" applyBorder="1" applyAlignment="1"/>
    <xf numFmtId="0" fontId="34" fillId="6" borderId="0" xfId="0" applyFont="1" applyFill="1" applyBorder="1" applyAlignment="1"/>
    <xf numFmtId="0" fontId="37" fillId="0" borderId="0" xfId="0" applyFont="1" applyBorder="1" applyAlignment="1"/>
    <xf numFmtId="0" fontId="38" fillId="0" borderId="0" xfId="0" applyFont="1" applyAlignment="1"/>
    <xf numFmtId="0" fontId="40" fillId="0" borderId="0" xfId="0" applyFont="1" applyAlignment="1">
      <alignment vertical="center"/>
    </xf>
    <xf numFmtId="0" fontId="41" fillId="0" borderId="0" xfId="0" applyFont="1" applyFill="1" applyBorder="1" applyAlignment="1"/>
    <xf numFmtId="0" fontId="42" fillId="0" borderId="0" xfId="0" applyFont="1" applyBorder="1" applyAlignment="1">
      <alignment vertical="center"/>
    </xf>
    <xf numFmtId="0" fontId="33" fillId="4" borderId="0" xfId="0" applyFont="1" applyFill="1" applyBorder="1" applyAlignment="1"/>
    <xf numFmtId="0" fontId="41" fillId="0" borderId="0" xfId="0" applyFont="1" applyFill="1" applyBorder="1" applyAlignment="1">
      <alignment horizontal="left" vertical="center"/>
    </xf>
    <xf numFmtId="0" fontId="27" fillId="4" borderId="0" xfId="0" applyFont="1" applyFill="1" applyBorder="1" applyAlignment="1"/>
    <xf numFmtId="0" fontId="32" fillId="7" borderId="0" xfId="0" applyFont="1" applyFill="1" applyBorder="1" applyAlignment="1"/>
    <xf numFmtId="0" fontId="27" fillId="7" borderId="0" xfId="0" applyFont="1" applyFill="1" applyBorder="1" applyAlignment="1"/>
    <xf numFmtId="0" fontId="27" fillId="8" borderId="0" xfId="0" applyFont="1" applyFill="1" applyBorder="1" applyAlignment="1"/>
    <xf numFmtId="0" fontId="33" fillId="8" borderId="0" xfId="0" applyFont="1" applyFill="1" applyBorder="1" applyAlignment="1"/>
    <xf numFmtId="0" fontId="27" fillId="8" borderId="0" xfId="0" applyFont="1" applyFill="1" applyBorder="1" applyAlignment="1">
      <alignment vertical="center"/>
    </xf>
    <xf numFmtId="0" fontId="37" fillId="0" borderId="0" xfId="0" applyFont="1" applyBorder="1" applyAlignment="1">
      <alignment vertical="center"/>
    </xf>
    <xf numFmtId="0" fontId="33" fillId="9" borderId="0" xfId="0" applyFont="1" applyFill="1" applyBorder="1" applyAlignment="1"/>
    <xf numFmtId="0" fontId="27" fillId="0" borderId="0" xfId="0" applyFont="1" applyFill="1" applyBorder="1" applyAlignment="1">
      <alignment horizontal="center"/>
    </xf>
    <xf numFmtId="0" fontId="34" fillId="3" borderId="0" xfId="0" applyFont="1" applyFill="1" applyBorder="1" applyAlignment="1"/>
    <xf numFmtId="0" fontId="34" fillId="0" borderId="0" xfId="0" applyFont="1" applyBorder="1" applyAlignment="1">
      <alignment vertical="center"/>
    </xf>
    <xf numFmtId="0" fontId="33" fillId="5" borderId="0" xfId="0" applyFont="1" applyFill="1" applyBorder="1" applyAlignment="1">
      <alignment vertical="center"/>
    </xf>
    <xf numFmtId="0" fontId="27" fillId="0" borderId="0" xfId="0" quotePrefix="1" applyFont="1" applyFill="1" applyBorder="1" applyAlignment="1">
      <alignment horizontal="center"/>
    </xf>
    <xf numFmtId="0" fontId="27" fillId="5" borderId="0" xfId="0" applyFont="1" applyFill="1" applyBorder="1" applyAlignment="1"/>
    <xf numFmtId="0" fontId="32" fillId="2" borderId="0" xfId="0" applyFont="1" applyFill="1" applyBorder="1" applyAlignment="1"/>
    <xf numFmtId="0" fontId="32" fillId="2" borderId="0" xfId="0" applyFont="1" applyFill="1" applyBorder="1" applyAlignment="1">
      <alignment vertical="center"/>
    </xf>
    <xf numFmtId="0" fontId="34" fillId="2" borderId="0" xfId="0" applyFont="1" applyFill="1" applyBorder="1" applyAlignment="1"/>
    <xf numFmtId="0" fontId="34" fillId="2" borderId="0" xfId="0" applyFont="1" applyFill="1" applyBorder="1" applyAlignment="1">
      <alignment vertical="center"/>
    </xf>
    <xf numFmtId="0" fontId="30" fillId="0" borderId="0" xfId="0" applyFont="1" applyAlignment="1">
      <alignment vertical="top"/>
    </xf>
    <xf numFmtId="0" fontId="30" fillId="0" borderId="0" xfId="0" applyFont="1" applyAlignment="1">
      <alignment vertical="center"/>
    </xf>
    <xf numFmtId="0" fontId="42" fillId="0" borderId="0" xfId="0" applyFont="1" applyBorder="1" applyAlignment="1"/>
    <xf numFmtId="0" fontId="27" fillId="0" borderId="0" xfId="0" quotePrefix="1" applyFont="1" applyFill="1" applyBorder="1" applyAlignment="1"/>
    <xf numFmtId="0" fontId="39" fillId="0" borderId="0" xfId="0" applyFont="1" applyBorder="1" applyAlignment="1">
      <alignment vertical="center"/>
    </xf>
    <xf numFmtId="0" fontId="47" fillId="0" borderId="0" xfId="0" applyFont="1" applyBorder="1" applyAlignment="1"/>
    <xf numFmtId="0" fontId="27" fillId="0" borderId="0" xfId="0" applyFont="1" applyFill="1" applyBorder="1" applyAlignment="1"/>
    <xf numFmtId="0" fontId="38" fillId="0" borderId="0" xfId="0" applyFont="1" applyBorder="1" applyAlignment="1">
      <alignment vertical="center"/>
    </xf>
    <xf numFmtId="0" fontId="33" fillId="3" borderId="0" xfId="0" applyFont="1" applyFill="1" applyBorder="1" applyAlignment="1"/>
    <xf numFmtId="0" fontId="49" fillId="0" borderId="0" xfId="0" applyFont="1" applyFill="1" applyBorder="1" applyAlignment="1">
      <alignment vertical="center"/>
    </xf>
    <xf numFmtId="0" fontId="0" fillId="0" borderId="0" xfId="0" applyBorder="1" applyAlignment="1"/>
    <xf numFmtId="0" fontId="36" fillId="0" borderId="0" xfId="0" applyFont="1" applyBorder="1" applyAlignment="1">
      <alignment vertical="center"/>
    </xf>
    <xf numFmtId="0" fontId="27" fillId="3" borderId="0" xfId="0" applyFont="1" applyFill="1" applyBorder="1" applyAlignment="1"/>
    <xf numFmtId="0" fontId="50" fillId="6" borderId="0" xfId="0" applyFont="1" applyFill="1" applyBorder="1" applyAlignment="1"/>
    <xf numFmtId="0" fontId="50" fillId="6" borderId="0" xfId="0" applyFont="1" applyFill="1" applyBorder="1" applyAlignment="1">
      <alignment vertical="center"/>
    </xf>
    <xf numFmtId="0" fontId="32" fillId="6" borderId="0" xfId="0" applyFont="1" applyFill="1" applyBorder="1" applyAlignment="1"/>
    <xf numFmtId="0" fontId="32" fillId="6" borderId="0" xfId="0" applyFont="1" applyFill="1" applyBorder="1" applyAlignment="1">
      <alignment vertical="center"/>
    </xf>
    <xf numFmtId="0" fontId="32" fillId="11" borderId="0" xfId="0" applyFont="1" applyFill="1" applyBorder="1" applyAlignment="1"/>
    <xf numFmtId="0" fontId="0" fillId="0" borderId="0" xfId="0" applyNumberFormat="1" applyBorder="1" applyAlignment="1"/>
    <xf numFmtId="0" fontId="36" fillId="0" borderId="0" xfId="0" applyFont="1" applyBorder="1" applyAlignment="1"/>
    <xf numFmtId="0" fontId="0" fillId="0" borderId="0" xfId="0" applyNumberFormat="1" applyFont="1" applyFill="1" applyBorder="1" applyAlignment="1"/>
    <xf numFmtId="0" fontId="27" fillId="9" borderId="0" xfId="0" applyFont="1" applyFill="1" applyBorder="1" applyAlignment="1"/>
    <xf numFmtId="0" fontId="33" fillId="9" borderId="0" xfId="0" applyFont="1" applyFill="1" applyBorder="1" applyAlignment="1">
      <alignment vertical="center"/>
    </xf>
    <xf numFmtId="0" fontId="0" fillId="0" borderId="0" xfId="0" quotePrefix="1" applyFont="1" applyFill="1" applyBorder="1" applyAlignment="1"/>
    <xf numFmtId="0" fontId="28" fillId="3" borderId="0" xfId="0" applyFont="1" applyFill="1" applyBorder="1" applyAlignment="1"/>
    <xf numFmtId="0" fontId="28" fillId="0" borderId="0" xfId="0" applyFont="1" applyBorder="1" applyAlignment="1"/>
    <xf numFmtId="0" fontId="0" fillId="0" borderId="0" xfId="0" applyFont="1" applyFill="1" applyBorder="1" applyAlignment="1"/>
    <xf numFmtId="0" fontId="51" fillId="0" borderId="0" xfId="0" quotePrefix="1" applyFont="1" applyFill="1" applyBorder="1" applyAlignment="1"/>
    <xf numFmtId="0" fontId="32" fillId="0" borderId="0" xfId="0" applyFont="1" applyBorder="1" applyAlignment="1">
      <alignment vertical="center"/>
    </xf>
    <xf numFmtId="0" fontId="35" fillId="0" borderId="0" xfId="0" applyFont="1" applyFill="1" applyBorder="1" applyAlignment="1"/>
    <xf numFmtId="0" fontId="30" fillId="0" borderId="0" xfId="4" applyFont="1" applyFill="1" applyBorder="1" applyAlignment="1"/>
    <xf numFmtId="0" fontId="27" fillId="9" borderId="0" xfId="0" applyFont="1" applyFill="1" applyBorder="1" applyAlignment="1">
      <alignment horizontal="center"/>
    </xf>
    <xf numFmtId="0" fontId="32" fillId="9" borderId="0" xfId="0" applyFont="1" applyFill="1" applyBorder="1" applyAlignment="1"/>
    <xf numFmtId="0" fontId="32" fillId="9" borderId="0" xfId="0" applyFont="1" applyFill="1" applyBorder="1" applyAlignment="1">
      <alignment vertical="center"/>
    </xf>
    <xf numFmtId="0" fontId="35" fillId="0" borderId="0" xfId="0" applyFont="1" applyAlignment="1"/>
    <xf numFmtId="0" fontId="29" fillId="0" borderId="0" xfId="0" applyFont="1" applyAlignment="1">
      <alignment horizontal="left" vertical="center"/>
    </xf>
    <xf numFmtId="0" fontId="29" fillId="0" borderId="0" xfId="0" quotePrefix="1" applyFont="1" applyFill="1" applyBorder="1" applyAlignment="1"/>
    <xf numFmtId="0" fontId="31" fillId="0" borderId="0" xfId="0" quotePrefix="1" applyFont="1" applyFill="1" applyBorder="1" applyAlignment="1"/>
    <xf numFmtId="0" fontId="39" fillId="0" borderId="0" xfId="0" applyFont="1" applyAlignment="1"/>
    <xf numFmtId="0" fontId="29" fillId="0" borderId="0" xfId="0" applyFont="1" applyFill="1" applyBorder="1" applyAlignment="1">
      <alignment horizontal="left" vertical="center"/>
    </xf>
    <xf numFmtId="0" fontId="29" fillId="0" borderId="0" xfId="0" applyFont="1" applyFill="1" applyBorder="1" applyAlignment="1"/>
    <xf numFmtId="0" fontId="30" fillId="0" borderId="0" xfId="0" quotePrefix="1" applyFont="1" applyFill="1" applyBorder="1" applyAlignment="1"/>
    <xf numFmtId="0" fontId="43" fillId="0" borderId="0" xfId="0" applyFont="1" applyAlignment="1"/>
    <xf numFmtId="0" fontId="44" fillId="0" borderId="0" xfId="0" applyFont="1" applyAlignment="1"/>
    <xf numFmtId="0" fontId="46" fillId="0" borderId="0" xfId="0" applyFont="1" applyFill="1" applyBorder="1" applyAlignment="1"/>
    <xf numFmtId="0" fontId="47" fillId="10" borderId="0" xfId="0" applyFont="1" applyFill="1" applyBorder="1" applyAlignment="1"/>
    <xf numFmtId="0" fontId="29" fillId="0" borderId="0" xfId="0" applyFont="1" applyAlignment="1">
      <alignment horizontal="right" vertical="center"/>
    </xf>
    <xf numFmtId="0" fontId="48" fillId="0" borderId="0" xfId="0" applyFont="1" applyFill="1" applyBorder="1" applyAlignment="1"/>
    <xf numFmtId="0" fontId="49" fillId="0" borderId="0" xfId="0" quotePrefix="1" applyFont="1" applyFill="1" applyBorder="1" applyAlignment="1">
      <alignment vertical="center"/>
    </xf>
    <xf numFmtId="0" fontId="40" fillId="0" borderId="0" xfId="0" applyFont="1" applyAlignment="1"/>
    <xf numFmtId="0" fontId="31" fillId="0" borderId="0" xfId="0" applyFont="1" applyAlignment="1">
      <alignment vertical="center"/>
    </xf>
    <xf numFmtId="0" fontId="0" fillId="0" borderId="0" xfId="0" quotePrefix="1" applyFill="1" applyBorder="1" applyAlignment="1"/>
    <xf numFmtId="0" fontId="35" fillId="0" borderId="0" xfId="0" quotePrefix="1" applyFont="1" applyFill="1" applyBorder="1" applyAlignment="1"/>
    <xf numFmtId="0" fontId="0" fillId="0" borderId="0" xfId="0" applyNumberFormat="1" applyFill="1" applyBorder="1" applyAlignment="1"/>
    <xf numFmtId="0" fontId="31" fillId="0" borderId="0" xfId="0" applyFont="1" applyBorder="1" applyAlignment="1">
      <alignment vertical="center"/>
    </xf>
    <xf numFmtId="0" fontId="37" fillId="0" borderId="0" xfId="0" applyFont="1" applyFill="1" applyBorder="1" applyAlignment="1">
      <alignment vertical="center"/>
    </xf>
    <xf numFmtId="0" fontId="52" fillId="0" borderId="0" xfId="0" applyFont="1" applyFill="1" applyBorder="1" applyAlignment="1"/>
    <xf numFmtId="0" fontId="28" fillId="0" borderId="0" xfId="0" applyFont="1" applyBorder="1" applyAlignment="1">
      <alignment vertical="center"/>
    </xf>
    <xf numFmtId="0" fontId="28" fillId="11" borderId="0" xfId="0" applyFont="1" applyFill="1" applyBorder="1" applyAlignment="1"/>
    <xf numFmtId="0" fontId="32" fillId="11" borderId="0" xfId="0" applyFont="1" applyFill="1" applyBorder="1" applyAlignment="1">
      <alignment vertical="center"/>
    </xf>
    <xf numFmtId="0" fontId="55" fillId="11" borderId="0" xfId="0" applyFont="1" applyFill="1" applyBorder="1" applyAlignment="1"/>
    <xf numFmtId="0" fontId="45" fillId="0" borderId="0" xfId="4" applyBorder="1" applyAlignment="1"/>
    <xf numFmtId="0" fontId="50" fillId="0" borderId="0" xfId="0" applyFont="1" applyBorder="1" applyAlignment="1"/>
    <xf numFmtId="0" fontId="57" fillId="0" borderId="0" xfId="0" applyFont="1" applyBorder="1" applyAlignment="1"/>
    <xf numFmtId="0" fontId="32" fillId="4" borderId="0" xfId="0" applyFont="1" applyFill="1" applyBorder="1" applyAlignment="1"/>
    <xf numFmtId="0" fontId="24" fillId="0" borderId="0" xfId="0" quotePrefix="1" applyFont="1" applyFill="1" applyBorder="1" applyAlignment="1"/>
    <xf numFmtId="0" fontId="24" fillId="0" borderId="0" xfId="0" applyFont="1" applyBorder="1" applyAlignment="1">
      <alignment horizontal="center"/>
    </xf>
    <xf numFmtId="0" fontId="50" fillId="5" borderId="0" xfId="0" applyFont="1" applyFill="1" applyBorder="1" applyAlignment="1"/>
    <xf numFmtId="0" fontId="50" fillId="5" borderId="0" xfId="0" applyFont="1" applyFill="1" applyBorder="1" applyAlignment="1">
      <alignment vertical="center"/>
    </xf>
    <xf numFmtId="0" fontId="51" fillId="0" borderId="0" xfId="0" applyFont="1" applyBorder="1" applyAlignment="1"/>
    <xf numFmtId="0" fontId="24" fillId="0" borderId="0" xfId="0" applyFont="1" applyFill="1" applyBorder="1" applyAlignment="1"/>
    <xf numFmtId="16" fontId="30" fillId="0" borderId="0" xfId="0" applyNumberFormat="1" applyFont="1" applyBorder="1" applyAlignment="1">
      <alignment horizontal="center"/>
    </xf>
    <xf numFmtId="0" fontId="30" fillId="0" borderId="0" xfId="0" applyFont="1" applyBorder="1" applyAlignment="1"/>
    <xf numFmtId="0" fontId="58" fillId="0" borderId="0" xfId="0" applyFont="1" applyBorder="1" applyAlignment="1">
      <alignment vertical="center"/>
    </xf>
    <xf numFmtId="0" fontId="59" fillId="0" borderId="0" xfId="0" applyFont="1" applyBorder="1" applyAlignment="1"/>
    <xf numFmtId="0" fontId="30" fillId="0" borderId="0" xfId="0" applyFont="1" applyBorder="1" applyAlignment="1">
      <alignment horizontal="center"/>
    </xf>
    <xf numFmtId="0" fontId="60" fillId="0" borderId="0" xfId="0" applyFont="1" applyBorder="1" applyAlignment="1"/>
    <xf numFmtId="0" fontId="59" fillId="0" borderId="0" xfId="0" applyFont="1" applyBorder="1" applyAlignment="1">
      <alignment vertical="center"/>
    </xf>
    <xf numFmtId="0" fontId="61" fillId="5" borderId="0" xfId="0" applyFont="1" applyFill="1" applyBorder="1" applyAlignment="1"/>
    <xf numFmtId="0" fontId="59" fillId="5" borderId="0" xfId="0" applyFont="1" applyFill="1" applyBorder="1" applyAlignment="1"/>
    <xf numFmtId="0" fontId="30" fillId="0" borderId="0" xfId="0" applyFont="1" applyBorder="1" applyAlignment="1">
      <alignment vertical="center"/>
    </xf>
    <xf numFmtId="0" fontId="59" fillId="3" borderId="0" xfId="0" applyFont="1" applyFill="1" applyBorder="1" applyAlignment="1"/>
    <xf numFmtId="0" fontId="61" fillId="3" borderId="0" xfId="0" applyFont="1" applyFill="1" applyBorder="1" applyAlignment="1"/>
    <xf numFmtId="0" fontId="61" fillId="0" borderId="0" xfId="0" applyFont="1" applyBorder="1" applyAlignment="1"/>
    <xf numFmtId="0" fontId="61" fillId="9" borderId="0" xfId="0" applyFont="1" applyFill="1" applyBorder="1" applyAlignment="1"/>
    <xf numFmtId="0" fontId="62" fillId="9" borderId="0" xfId="0" applyFont="1" applyFill="1" applyBorder="1" applyAlignment="1"/>
    <xf numFmtId="0" fontId="63" fillId="9" borderId="0" xfId="4" applyFont="1" applyFill="1" applyBorder="1" applyAlignment="1">
      <alignment vertical="center"/>
    </xf>
    <xf numFmtId="0" fontId="30" fillId="7" borderId="0" xfId="0" applyFont="1" applyFill="1" applyBorder="1" applyAlignment="1">
      <alignment horizontal="center"/>
    </xf>
    <xf numFmtId="0" fontId="64" fillId="0" borderId="0" xfId="0" applyFont="1" applyBorder="1" applyAlignment="1"/>
    <xf numFmtId="0" fontId="54" fillId="0" borderId="0" xfId="0" applyFont="1" applyFill="1" applyBorder="1" applyAlignment="1">
      <alignment horizontal="left" vertical="center"/>
    </xf>
    <xf numFmtId="0" fontId="54" fillId="0" borderId="0" xfId="0" applyFont="1" applyBorder="1" applyAlignment="1">
      <alignment vertical="center"/>
    </xf>
    <xf numFmtId="0" fontId="28" fillId="0" borderId="0" xfId="0" applyNumberFormat="1" applyFont="1" applyBorder="1" applyAlignment="1"/>
    <xf numFmtId="0" fontId="56" fillId="0" borderId="0" xfId="0" applyFont="1" applyBorder="1" applyAlignment="1">
      <alignment vertical="center"/>
    </xf>
    <xf numFmtId="0" fontId="28" fillId="0" borderId="0" xfId="0" applyNumberFormat="1" applyFont="1" applyFill="1" applyBorder="1" applyAlignment="1"/>
    <xf numFmtId="0" fontId="55" fillId="3" borderId="0" xfId="0" applyFont="1" applyFill="1" applyBorder="1" applyAlignment="1"/>
    <xf numFmtId="0" fontId="55" fillId="0" borderId="0" xfId="0" applyFont="1" applyBorder="1" applyAlignment="1"/>
    <xf numFmtId="0" fontId="53" fillId="0" borderId="0" xfId="0" applyFont="1" applyBorder="1" applyAlignment="1"/>
    <xf numFmtId="0" fontId="54" fillId="0" borderId="0" xfId="0" applyNumberFormat="1" applyFont="1" applyBorder="1" applyAlignment="1"/>
    <xf numFmtId="168" fontId="0" fillId="0" borderId="0" xfId="0" applyNumberFormat="1" applyBorder="1" applyAlignment="1"/>
    <xf numFmtId="0" fontId="54" fillId="0" borderId="0" xfId="0" applyNumberFormat="1" applyFont="1" applyFill="1" applyBorder="1" applyAlignment="1"/>
    <xf numFmtId="0" fontId="56" fillId="0" borderId="0" xfId="0" applyFont="1" applyAlignment="1"/>
    <xf numFmtId="0" fontId="51" fillId="0" borderId="0" xfId="0" applyFont="1" applyFill="1" applyBorder="1" applyAlignment="1"/>
    <xf numFmtId="0" fontId="37" fillId="0" borderId="0" xfId="0" applyFont="1" applyFill="1" applyBorder="1" applyAlignment="1"/>
    <xf numFmtId="0" fontId="40" fillId="0" borderId="0" xfId="0" applyFont="1" applyFill="1" applyBorder="1" applyAlignment="1"/>
    <xf numFmtId="42" fontId="0" fillId="0" borderId="0" xfId="0" applyNumberFormat="1" applyFont="1" applyFill="1" applyBorder="1" applyAlignment="1"/>
    <xf numFmtId="0" fontId="30" fillId="0" borderId="0" xfId="0" applyNumberFormat="1" applyFont="1" applyFill="1" applyBorder="1" applyAlignment="1"/>
    <xf numFmtId="0" fontId="24" fillId="0" borderId="0" xfId="0" applyFont="1" applyBorder="1" applyAlignment="1"/>
    <xf numFmtId="0" fontId="23" fillId="0" borderId="0" xfId="0" applyFont="1" applyFill="1" applyBorder="1" applyAlignment="1"/>
    <xf numFmtId="0" fontId="28" fillId="0" borderId="0" xfId="0" applyFont="1" applyBorder="1" applyAlignment="1">
      <alignment horizontal="center"/>
    </xf>
    <xf numFmtId="0" fontId="0" fillId="0" borderId="0" xfId="0" applyNumberFormat="1" applyFill="1" applyBorder="1" applyAlignment="1">
      <alignment horizontal="center"/>
    </xf>
    <xf numFmtId="0" fontId="30" fillId="0" borderId="0" xfId="0" applyNumberFormat="1" applyFont="1" applyFill="1" applyBorder="1"/>
    <xf numFmtId="0" fontId="51" fillId="0" borderId="0" xfId="0" applyFont="1" applyFill="1" applyBorder="1"/>
    <xf numFmtId="0" fontId="23" fillId="0" borderId="0" xfId="0" quotePrefix="1" applyFont="1" applyFill="1" applyBorder="1"/>
    <xf numFmtId="0" fontId="23" fillId="0" borderId="0" xfId="0" applyFont="1" applyBorder="1" applyAlignment="1"/>
    <xf numFmtId="0" fontId="41" fillId="0" borderId="0" xfId="0" applyFont="1" applyFill="1" applyBorder="1" applyAlignment="1">
      <alignment wrapText="1"/>
    </xf>
    <xf numFmtId="0" fontId="29" fillId="0" borderId="0" xfId="0" applyFont="1" applyFill="1" applyBorder="1" applyAlignment="1">
      <alignment horizontal="left" vertical="center" indent="4"/>
    </xf>
    <xf numFmtId="0" fontId="39" fillId="0" borderId="0" xfId="0" applyFont="1" applyBorder="1" applyAlignment="1"/>
    <xf numFmtId="0" fontId="27" fillId="0" borderId="0" xfId="0" applyFont="1" applyFill="1" applyBorder="1" applyAlignment="1">
      <alignment vertical="center"/>
    </xf>
    <xf numFmtId="0" fontId="65" fillId="0" borderId="0" xfId="0" applyFont="1" applyFill="1" applyBorder="1" applyAlignment="1">
      <alignment vertical="center"/>
    </xf>
    <xf numFmtId="0" fontId="55" fillId="12" borderId="0" xfId="0" applyFont="1" applyFill="1" applyBorder="1" applyAlignment="1"/>
    <xf numFmtId="0" fontId="55" fillId="12" borderId="0" xfId="0" applyFont="1" applyFill="1" applyBorder="1" applyAlignment="1">
      <alignment vertical="center"/>
    </xf>
    <xf numFmtId="0" fontId="23" fillId="0" borderId="0" xfId="0" applyFont="1" applyBorder="1" applyAlignment="1">
      <alignment horizontal="center"/>
    </xf>
    <xf numFmtId="0" fontId="65" fillId="0" borderId="0" xfId="0" applyFont="1" applyFill="1" applyBorder="1" applyAlignment="1">
      <alignment wrapText="1"/>
    </xf>
    <xf numFmtId="0" fontId="41" fillId="0" borderId="0" xfId="0" applyFont="1" applyFill="1" applyBorder="1"/>
    <xf numFmtId="0" fontId="32" fillId="12" borderId="0" xfId="0" applyFont="1" applyFill="1" applyBorder="1" applyAlignment="1"/>
    <xf numFmtId="0" fontId="0" fillId="0" borderId="0" xfId="0" applyFont="1" applyFill="1" applyBorder="1" applyAlignment="1">
      <alignment vertical="center"/>
    </xf>
    <xf numFmtId="0" fontId="27" fillId="0" borderId="0" xfId="0" applyFont="1" applyFill="1" applyBorder="1" applyAlignment="1">
      <alignment wrapText="1"/>
    </xf>
    <xf numFmtId="0" fontId="23" fillId="0" borderId="0" xfId="0" applyFont="1" applyFill="1" applyBorder="1"/>
    <xf numFmtId="0" fontId="66" fillId="0" borderId="0" xfId="0" applyFont="1" applyBorder="1" applyAlignment="1"/>
    <xf numFmtId="0" fontId="43" fillId="0" borderId="0" xfId="0" applyFont="1"/>
    <xf numFmtId="0" fontId="28" fillId="0" borderId="0" xfId="0" applyFont="1" applyBorder="1" applyAlignment="1">
      <alignment horizontal="right"/>
    </xf>
    <xf numFmtId="0" fontId="40" fillId="0" borderId="0" xfId="0" applyFont="1"/>
    <xf numFmtId="0" fontId="29" fillId="0" borderId="0" xfId="0" applyFont="1" applyAlignment="1">
      <alignment horizontal="right" vertical="center" indent="4"/>
    </xf>
    <xf numFmtId="16" fontId="28" fillId="0" borderId="0" xfId="0" applyNumberFormat="1" applyFont="1" applyFill="1" applyBorder="1" applyAlignment="1">
      <alignment horizontal="center"/>
    </xf>
    <xf numFmtId="0" fontId="50" fillId="3" borderId="0" xfId="0" applyFont="1" applyFill="1" applyBorder="1" applyAlignment="1"/>
    <xf numFmtId="0" fontId="50" fillId="0" borderId="0" xfId="0" applyFont="1" applyBorder="1" applyAlignment="1">
      <alignment vertical="center"/>
    </xf>
    <xf numFmtId="0" fontId="32" fillId="0" borderId="0" xfId="0" applyFont="1" applyFill="1" applyBorder="1" applyAlignment="1">
      <alignment wrapText="1"/>
    </xf>
    <xf numFmtId="0" fontId="0" fillId="0" borderId="0" xfId="0" applyNumberFormat="1" applyFill="1" applyBorder="1"/>
    <xf numFmtId="0" fontId="43" fillId="0" borderId="0" xfId="0" applyFont="1" applyFill="1" applyBorder="1"/>
    <xf numFmtId="0" fontId="32" fillId="5" borderId="0" xfId="0" applyFont="1" applyFill="1" applyBorder="1" applyAlignment="1">
      <alignment vertical="center"/>
    </xf>
    <xf numFmtId="0" fontId="55" fillId="5" borderId="0" xfId="0" applyFont="1" applyFill="1" applyBorder="1" applyAlignment="1"/>
    <xf numFmtId="0" fontId="55" fillId="5" borderId="0" xfId="0" applyFont="1" applyFill="1" applyBorder="1" applyAlignment="1">
      <alignment vertical="center"/>
    </xf>
    <xf numFmtId="0" fontId="42" fillId="0" borderId="0" xfId="0" applyFont="1" applyFill="1" applyBorder="1"/>
    <xf numFmtId="0" fontId="23" fillId="0" borderId="0" xfId="0" applyFont="1" applyFill="1" applyBorder="1" applyAlignment="1">
      <alignment horizontal="center"/>
    </xf>
    <xf numFmtId="0" fontId="54" fillId="0" borderId="0" xfId="0" applyFont="1" applyBorder="1" applyAlignment="1">
      <alignment vertical="center" wrapText="1"/>
    </xf>
    <xf numFmtId="15" fontId="0" fillId="0" borderId="0" xfId="0" applyNumberFormat="1" applyBorder="1"/>
    <xf numFmtId="0" fontId="56" fillId="0" borderId="0" xfId="0" applyFont="1" applyFill="1" applyBorder="1"/>
    <xf numFmtId="0" fontId="28" fillId="0" borderId="0" xfId="0" applyFont="1" applyBorder="1" applyAlignment="1">
      <alignment wrapText="1"/>
    </xf>
    <xf numFmtId="0" fontId="56" fillId="0" borderId="0" xfId="0" applyFont="1"/>
    <xf numFmtId="0" fontId="67" fillId="0" borderId="0" xfId="0" applyFont="1" applyFill="1" applyBorder="1"/>
    <xf numFmtId="0" fontId="29" fillId="0" borderId="0" xfId="0" quotePrefix="1" applyFont="1" applyFill="1" applyBorder="1"/>
    <xf numFmtId="0" fontId="39" fillId="3" borderId="0" xfId="0" applyFont="1" applyFill="1" applyBorder="1" applyAlignment="1">
      <alignment vertical="center"/>
    </xf>
    <xf numFmtId="0" fontId="32" fillId="13" borderId="0" xfId="0" applyFont="1" applyFill="1" applyBorder="1" applyAlignment="1"/>
    <xf numFmtId="0" fontId="32" fillId="13" borderId="0" xfId="0" applyFont="1" applyFill="1" applyBorder="1" applyAlignment="1">
      <alignment vertical="center"/>
    </xf>
    <xf numFmtId="0" fontId="33" fillId="0" borderId="0" xfId="0" applyFont="1" applyFill="1" applyBorder="1" applyAlignment="1">
      <alignment wrapText="1"/>
    </xf>
    <xf numFmtId="0" fontId="27" fillId="0" borderId="0" xfId="0" applyFont="1" applyFill="1" applyBorder="1" applyAlignment="1">
      <alignment horizontal="center" wrapText="1"/>
    </xf>
    <xf numFmtId="0" fontId="34" fillId="0" borderId="0" xfId="0" applyFont="1" applyFill="1" applyBorder="1" applyAlignment="1">
      <alignment wrapText="1"/>
    </xf>
    <xf numFmtId="0" fontId="55" fillId="0" borderId="0" xfId="0" applyFont="1" applyBorder="1" applyAlignment="1">
      <alignment vertical="center"/>
    </xf>
    <xf numFmtId="0" fontId="35" fillId="0" borderId="0" xfId="0" applyFont="1" applyFill="1"/>
    <xf numFmtId="0" fontId="31" fillId="0" borderId="0" xfId="0" applyFont="1" applyFill="1"/>
    <xf numFmtId="0" fontId="42" fillId="0" borderId="0" xfId="0" applyFont="1" applyFill="1" applyBorder="1" applyAlignment="1"/>
    <xf numFmtId="0" fontId="22" fillId="0" borderId="0" xfId="0" quotePrefix="1" applyFont="1" applyFill="1" applyBorder="1" applyAlignment="1"/>
    <xf numFmtId="0" fontId="22" fillId="0" borderId="0" xfId="0" applyFont="1" applyFill="1" applyBorder="1" applyAlignment="1"/>
    <xf numFmtId="0" fontId="39" fillId="0" borderId="0" xfId="0" applyFont="1"/>
    <xf numFmtId="0" fontId="68" fillId="0" borderId="0" xfId="0" applyFont="1" applyBorder="1" applyAlignment="1"/>
    <xf numFmtId="0" fontId="28" fillId="14" borderId="0" xfId="0" applyFont="1" applyFill="1" applyBorder="1" applyAlignment="1">
      <alignment horizontal="center"/>
    </xf>
    <xf numFmtId="0" fontId="28" fillId="13" borderId="0" xfId="0" applyFont="1" applyFill="1" applyBorder="1" applyAlignment="1">
      <alignment horizontal="center"/>
    </xf>
    <xf numFmtId="0" fontId="22" fillId="0" borderId="0" xfId="0" quotePrefix="1" applyFont="1" applyFill="1" applyBorder="1"/>
    <xf numFmtId="168" fontId="0" fillId="0" borderId="0" xfId="0" applyNumberFormat="1" applyFont="1" applyFill="1" applyBorder="1" applyAlignment="1"/>
    <xf numFmtId="0" fontId="29" fillId="0" borderId="0" xfId="0" quotePrefix="1" applyFont="1" applyFill="1" applyBorder="1" applyAlignment="1">
      <alignment horizontal="left" vertical="center" indent="4"/>
    </xf>
    <xf numFmtId="0" fontId="35" fillId="0" borderId="0" xfId="0" applyFont="1" applyFill="1" applyBorder="1"/>
    <xf numFmtId="0" fontId="38" fillId="0" borderId="0" xfId="0" applyFont="1" applyFill="1" applyBorder="1" applyAlignment="1"/>
    <xf numFmtId="0" fontId="31" fillId="0" borderId="0" xfId="0" quotePrefix="1" applyFont="1" applyFill="1" applyBorder="1"/>
    <xf numFmtId="0" fontId="39" fillId="0" borderId="0" xfId="0" applyFont="1" applyFill="1" applyBorder="1"/>
    <xf numFmtId="0" fontId="40" fillId="0" borderId="0" xfId="0" applyFont="1" applyFill="1" applyBorder="1" applyAlignment="1">
      <alignment vertical="center"/>
    </xf>
    <xf numFmtId="0" fontId="22" fillId="0" borderId="0" xfId="0" applyFont="1" applyBorder="1" applyAlignment="1">
      <alignment horizontal="center" vertical="center"/>
    </xf>
    <xf numFmtId="0" fontId="22" fillId="0" borderId="0" xfId="0" applyFont="1" applyBorder="1" applyAlignment="1">
      <alignment horizontal="center"/>
    </xf>
    <xf numFmtId="0" fontId="69" fillId="0" borderId="0" xfId="0" applyFont="1" applyFill="1" applyBorder="1"/>
    <xf numFmtId="0" fontId="22" fillId="0" borderId="0" xfId="0" applyFont="1" applyFill="1" applyBorder="1"/>
    <xf numFmtId="0" fontId="22" fillId="0" borderId="0" xfId="0" applyFont="1" applyFill="1" applyBorder="1" applyAlignment="1">
      <alignment horizontal="center"/>
    </xf>
    <xf numFmtId="0" fontId="50" fillId="9" borderId="0" xfId="0" applyFont="1" applyFill="1" applyBorder="1" applyAlignment="1"/>
    <xf numFmtId="0" fontId="50" fillId="9" borderId="0" xfId="0" applyFont="1" applyFill="1" applyBorder="1" applyAlignment="1">
      <alignment vertical="center"/>
    </xf>
    <xf numFmtId="0" fontId="30" fillId="0" borderId="0" xfId="4" applyFont="1" applyFill="1" applyBorder="1"/>
    <xf numFmtId="0" fontId="46" fillId="0" borderId="0" xfId="0" applyFont="1" applyFill="1" applyBorder="1"/>
    <xf numFmtId="0" fontId="30" fillId="0" borderId="0" xfId="0" applyFont="1" applyFill="1" applyBorder="1" applyAlignment="1">
      <alignment vertical="top"/>
    </xf>
    <xf numFmtId="0" fontId="28" fillId="15" borderId="0" xfId="0" applyFont="1" applyFill="1" applyBorder="1" applyAlignment="1">
      <alignment horizontal="center"/>
    </xf>
    <xf numFmtId="0" fontId="28" fillId="16" borderId="0" xfId="0" applyFont="1" applyFill="1" applyBorder="1" applyAlignment="1">
      <alignment horizontal="center"/>
    </xf>
    <xf numFmtId="0" fontId="22" fillId="0" borderId="0" xfId="0" applyFont="1" applyFill="1" applyBorder="1" applyAlignment="1">
      <alignment wrapText="1"/>
    </xf>
    <xf numFmtId="0" fontId="22" fillId="0" borderId="0" xfId="0" applyNumberFormat="1" applyFont="1" applyFill="1" applyBorder="1" applyAlignment="1"/>
    <xf numFmtId="0" fontId="34" fillId="9" borderId="0" xfId="0" applyFont="1" applyFill="1" applyBorder="1" applyAlignment="1"/>
    <xf numFmtId="0" fontId="34" fillId="9" borderId="0" xfId="0" applyFont="1" applyFill="1" applyBorder="1" applyAlignment="1">
      <alignment vertical="center"/>
    </xf>
    <xf numFmtId="0" fontId="34" fillId="10" borderId="0" xfId="0" applyFont="1" applyFill="1" applyBorder="1" applyAlignment="1"/>
    <xf numFmtId="0" fontId="48" fillId="0" borderId="0" xfId="0" applyFont="1" applyFill="1" applyBorder="1"/>
    <xf numFmtId="0" fontId="49" fillId="0" borderId="0" xfId="0" quotePrefix="1" applyFont="1" applyFill="1" applyBorder="1" applyAlignment="1">
      <alignment vertical="center" wrapText="1"/>
    </xf>
    <xf numFmtId="0" fontId="68" fillId="2" borderId="0" xfId="0" applyFont="1" applyFill="1" applyBorder="1" applyAlignment="1"/>
    <xf numFmtId="0" fontId="27" fillId="2" borderId="0" xfId="0" applyFont="1" applyFill="1" applyBorder="1" applyAlignment="1"/>
    <xf numFmtId="0" fontId="40" fillId="0" borderId="0" xfId="0" applyFont="1" applyFill="1" applyBorder="1"/>
    <xf numFmtId="0" fontId="33" fillId="2" borderId="0" xfId="0" applyFont="1" applyFill="1" applyBorder="1" applyAlignment="1"/>
    <xf numFmtId="0" fontId="33" fillId="2" borderId="0" xfId="0" applyFont="1" applyFill="1" applyBorder="1" applyAlignment="1">
      <alignment vertical="center"/>
    </xf>
    <xf numFmtId="0" fontId="49" fillId="0" borderId="0" xfId="0" applyFont="1" applyFill="1" applyBorder="1" applyAlignment="1">
      <alignment vertical="center" wrapText="1"/>
    </xf>
    <xf numFmtId="0" fontId="33" fillId="16" borderId="0" xfId="0" applyFont="1" applyFill="1" applyBorder="1" applyAlignment="1"/>
    <xf numFmtId="0" fontId="31" fillId="0" borderId="0" xfId="0" applyFont="1" applyFill="1" applyBorder="1" applyAlignment="1">
      <alignment vertical="center" wrapText="1"/>
    </xf>
    <xf numFmtId="0" fontId="27" fillId="17" borderId="0" xfId="0" applyFont="1" applyFill="1" applyBorder="1" applyAlignment="1"/>
    <xf numFmtId="0" fontId="32" fillId="17" borderId="0" xfId="0" applyFont="1" applyFill="1" applyBorder="1" applyAlignment="1"/>
    <xf numFmtId="0" fontId="32" fillId="17" borderId="0" xfId="0" applyFont="1" applyFill="1" applyBorder="1" applyAlignment="1">
      <alignment vertical="center"/>
    </xf>
    <xf numFmtId="0" fontId="0" fillId="0" borderId="0" xfId="0" quotePrefix="1" applyFill="1" applyBorder="1"/>
    <xf numFmtId="0" fontId="33" fillId="10" borderId="0" xfId="0" applyFont="1" applyFill="1" applyBorder="1" applyAlignment="1"/>
    <xf numFmtId="0" fontId="47" fillId="0" borderId="0" xfId="0" applyFont="1" applyBorder="1" applyAlignment="1">
      <alignment vertical="center"/>
    </xf>
    <xf numFmtId="0" fontId="0" fillId="2" borderId="0" xfId="0" applyFont="1" applyFill="1" applyBorder="1"/>
    <xf numFmtId="0" fontId="0" fillId="2" borderId="0" xfId="0" applyFill="1" applyBorder="1"/>
    <xf numFmtId="0" fontId="55" fillId="0" borderId="0" xfId="0" applyFont="1" applyFill="1" applyBorder="1" applyAlignment="1"/>
    <xf numFmtId="0" fontId="22" fillId="18" borderId="0" xfId="0" applyFont="1" applyFill="1" applyBorder="1" applyAlignment="1">
      <alignment horizontal="center"/>
    </xf>
    <xf numFmtId="0" fontId="35" fillId="0" borderId="0" xfId="0" quotePrefix="1" applyFont="1" applyFill="1" applyBorder="1"/>
    <xf numFmtId="0" fontId="0" fillId="2" borderId="0" xfId="0" applyFont="1" applyFill="1" applyBorder="1" applyAlignment="1"/>
    <xf numFmtId="0" fontId="0" fillId="2" borderId="0" xfId="0" applyFill="1" applyBorder="1" applyAlignment="1"/>
    <xf numFmtId="0" fontId="32" fillId="0" borderId="0" xfId="0" applyFont="1" applyFill="1" applyBorder="1" applyAlignment="1"/>
    <xf numFmtId="0" fontId="28" fillId="0" borderId="0" xfId="0" applyFont="1" applyFill="1" applyBorder="1" applyAlignment="1"/>
    <xf numFmtId="0" fontId="28" fillId="0" borderId="0" xfId="0" applyFont="1" applyFill="1" applyBorder="1" applyAlignment="1">
      <alignment vertical="center"/>
    </xf>
    <xf numFmtId="0" fontId="55" fillId="9" borderId="0" xfId="0" applyFont="1" applyFill="1" applyBorder="1" applyAlignment="1"/>
    <xf numFmtId="0" fontId="28" fillId="9" borderId="0" xfId="0" applyFont="1" applyFill="1" applyBorder="1" applyAlignment="1"/>
    <xf numFmtId="0" fontId="70" fillId="0" borderId="0" xfId="0" applyFont="1" applyFill="1" applyBorder="1" applyAlignment="1">
      <alignment vertical="center"/>
    </xf>
    <xf numFmtId="0" fontId="22" fillId="0" borderId="0" xfId="0" applyFont="1" applyBorder="1" applyAlignment="1">
      <alignment vertical="center"/>
    </xf>
    <xf numFmtId="0" fontId="71" fillId="0" borderId="0" xfId="0" applyNumberFormat="1" applyFont="1" applyBorder="1"/>
    <xf numFmtId="0" fontId="47" fillId="3" borderId="0" xfId="0" applyFont="1" applyFill="1" applyBorder="1" applyAlignment="1"/>
    <xf numFmtId="16" fontId="28" fillId="0" borderId="0" xfId="0" applyNumberFormat="1" applyFont="1" applyBorder="1" applyAlignment="1">
      <alignment horizontal="center" wrapText="1"/>
    </xf>
    <xf numFmtId="0" fontId="71" fillId="0" borderId="0" xfId="0" applyNumberFormat="1" applyFont="1" applyFill="1" applyBorder="1"/>
    <xf numFmtId="0" fontId="27" fillId="5" borderId="0" xfId="0" applyFont="1" applyFill="1" applyBorder="1" applyAlignment="1">
      <alignment vertical="center"/>
    </xf>
    <xf numFmtId="0" fontId="32" fillId="8" borderId="0" xfId="0" applyFont="1" applyFill="1" applyBorder="1" applyAlignment="1"/>
    <xf numFmtId="0" fontId="28" fillId="8" borderId="0" xfId="0" applyFont="1" applyFill="1" applyBorder="1" applyAlignment="1"/>
    <xf numFmtId="0" fontId="50" fillId="7" borderId="0" xfId="0" applyFont="1" applyFill="1" applyBorder="1" applyAlignment="1"/>
    <xf numFmtId="0" fontId="28" fillId="7" borderId="0" xfId="0" applyFont="1" applyFill="1" applyBorder="1" applyAlignment="1"/>
    <xf numFmtId="0" fontId="28" fillId="7" borderId="0" xfId="0" applyFont="1" applyFill="1" applyBorder="1" applyAlignment="1">
      <alignment vertical="center"/>
    </xf>
    <xf numFmtId="0" fontId="28" fillId="2" borderId="0" xfId="0" applyFont="1" applyFill="1" applyBorder="1" applyAlignment="1"/>
    <xf numFmtId="0" fontId="34" fillId="3" borderId="0" xfId="0" applyFont="1" applyFill="1" applyBorder="1" applyAlignment="1">
      <alignment vertical="center"/>
    </xf>
    <xf numFmtId="0" fontId="33" fillId="19" borderId="0" xfId="0" applyFont="1" applyFill="1" applyBorder="1" applyAlignment="1"/>
    <xf numFmtId="0" fontId="33" fillId="19" borderId="0" xfId="0" applyFont="1" applyFill="1" applyBorder="1" applyAlignment="1">
      <alignment vertical="center"/>
    </xf>
    <xf numFmtId="0" fontId="72" fillId="19" borderId="0" xfId="0" applyFont="1" applyFill="1" applyBorder="1" applyAlignment="1"/>
    <xf numFmtId="0" fontId="34" fillId="19" borderId="0" xfId="0" applyFont="1" applyFill="1" applyBorder="1" applyAlignment="1"/>
    <xf numFmtId="0" fontId="34" fillId="19" borderId="0" xfId="0" applyFont="1" applyFill="1" applyBorder="1" applyAlignment="1">
      <alignment vertical="center"/>
    </xf>
    <xf numFmtId="0" fontId="27" fillId="19" borderId="0" xfId="0" applyFont="1" applyFill="1" applyBorder="1" applyAlignment="1"/>
    <xf numFmtId="0" fontId="27" fillId="19" borderId="0" xfId="0" applyFont="1" applyFill="1" applyBorder="1" applyAlignment="1">
      <alignment vertical="center"/>
    </xf>
    <xf numFmtId="0" fontId="32" fillId="19" borderId="0" xfId="0" applyFont="1" applyFill="1" applyBorder="1" applyAlignment="1"/>
    <xf numFmtId="0" fontId="32" fillId="19" borderId="0" xfId="0" applyFont="1" applyFill="1" applyBorder="1" applyAlignment="1">
      <alignment vertical="center"/>
    </xf>
    <xf numFmtId="0" fontId="28" fillId="19" borderId="0" xfId="0" applyFont="1" applyFill="1" applyBorder="1" applyAlignment="1"/>
    <xf numFmtId="0" fontId="45" fillId="19" borderId="0" xfId="4" applyFill="1" applyBorder="1" applyAlignment="1">
      <alignment vertical="center"/>
    </xf>
    <xf numFmtId="0" fontId="73" fillId="0" borderId="0" xfId="0" applyFont="1" applyBorder="1" applyAlignment="1"/>
    <xf numFmtId="0" fontId="47" fillId="9" borderId="0" xfId="0" applyFont="1" applyFill="1" applyBorder="1" applyAlignment="1"/>
    <xf numFmtId="0" fontId="73" fillId="3" borderId="0" xfId="0" applyFont="1" applyFill="1" applyBorder="1" applyAlignment="1"/>
    <xf numFmtId="0" fontId="74" fillId="3" borderId="0" xfId="0" applyFont="1" applyFill="1" applyBorder="1" applyAlignment="1"/>
    <xf numFmtId="0" fontId="33" fillId="3" borderId="0" xfId="0" applyFont="1" applyFill="1" applyBorder="1" applyAlignment="1">
      <alignment vertical="center"/>
    </xf>
    <xf numFmtId="0" fontId="47" fillId="5" borderId="0" xfId="0" applyFont="1" applyFill="1" applyBorder="1" applyAlignment="1"/>
    <xf numFmtId="0" fontId="47" fillId="5" borderId="0" xfId="0" applyFont="1" applyFill="1" applyBorder="1" applyAlignment="1">
      <alignment vertical="center"/>
    </xf>
    <xf numFmtId="0" fontId="39" fillId="0" borderId="0" xfId="0" quotePrefix="1" applyFont="1" applyFill="1" applyBorder="1" applyAlignment="1"/>
    <xf numFmtId="0" fontId="0" fillId="0" borderId="0" xfId="0" applyFill="1" applyBorder="1" applyAlignment="1">
      <alignment horizontal="center"/>
    </xf>
    <xf numFmtId="0" fontId="71" fillId="0" borderId="0" xfId="0" applyNumberFormat="1" applyFont="1" applyFill="1" applyBorder="1" applyAlignment="1"/>
    <xf numFmtId="1" fontId="25" fillId="0" borderId="0" xfId="5" applyNumberFormat="1" applyBorder="1" applyAlignment="1"/>
    <xf numFmtId="168" fontId="0" fillId="0" borderId="0" xfId="0" applyNumberFormat="1" applyFill="1" applyBorder="1" applyAlignment="1"/>
    <xf numFmtId="1" fontId="25" fillId="9" borderId="0" xfId="5" applyNumberFormat="1" applyFill="1" applyBorder="1" applyAlignment="1"/>
    <xf numFmtId="0" fontId="56" fillId="0" borderId="0" xfId="0" applyFont="1" applyFill="1" applyAlignment="1"/>
    <xf numFmtId="0" fontId="35" fillId="0" borderId="0" xfId="0" applyFont="1" applyFill="1" applyAlignment="1"/>
    <xf numFmtId="0" fontId="31" fillId="0" borderId="0" xfId="0" applyFont="1" applyFill="1" applyAlignment="1"/>
    <xf numFmtId="0" fontId="43" fillId="0" borderId="0" xfId="0" applyFont="1" applyFill="1" applyAlignment="1"/>
    <xf numFmtId="0" fontId="67" fillId="0" borderId="0" xfId="0" applyFont="1" applyFill="1" applyBorder="1" applyAlignment="1"/>
    <xf numFmtId="0" fontId="43" fillId="0" borderId="0" xfId="0" applyFont="1" applyFill="1" applyBorder="1" applyAlignment="1"/>
    <xf numFmtId="0" fontId="28" fillId="0" borderId="0" xfId="0" applyFont="1" applyFill="1" applyBorder="1" applyAlignment="1">
      <alignment horizontal="center"/>
    </xf>
    <xf numFmtId="0" fontId="71" fillId="0" borderId="0" xfId="0" applyFont="1" applyBorder="1" applyAlignment="1"/>
    <xf numFmtId="0" fontId="65" fillId="0" borderId="0" xfId="0" applyFont="1" applyFill="1" applyBorder="1" applyAlignment="1"/>
    <xf numFmtId="0" fontId="29" fillId="0" borderId="0" xfId="0" applyFont="1" applyFill="1" applyBorder="1" applyAlignment="1">
      <alignment horizontal="right" vertical="center"/>
    </xf>
    <xf numFmtId="0" fontId="71" fillId="0" borderId="0" xfId="0" applyNumberFormat="1" applyFont="1" applyBorder="1" applyAlignment="1"/>
    <xf numFmtId="0" fontId="56" fillId="0" borderId="0" xfId="0" applyFont="1" applyFill="1" applyBorder="1" applyAlignment="1"/>
    <xf numFmtId="0" fontId="32" fillId="0" borderId="0" xfId="0" applyNumberFormat="1" applyFont="1" applyFill="1" applyBorder="1" applyAlignment="1"/>
    <xf numFmtId="0" fontId="22" fillId="0" borderId="0" xfId="0" applyFont="1" applyBorder="1" applyAlignment="1"/>
    <xf numFmtId="0" fontId="32" fillId="0" borderId="0" xfId="0" applyNumberFormat="1" applyFont="1" applyFill="1" applyBorder="1" applyAlignment="1">
      <alignment wrapText="1"/>
    </xf>
    <xf numFmtId="0" fontId="32" fillId="3" borderId="0" xfId="0" applyFont="1" applyFill="1" applyBorder="1" applyAlignment="1">
      <alignment vertical="center"/>
    </xf>
    <xf numFmtId="0" fontId="27" fillId="3" borderId="0" xfId="0" applyFont="1" applyFill="1" applyBorder="1" applyAlignment="1">
      <alignment vertical="center"/>
    </xf>
    <xf numFmtId="0" fontId="0" fillId="0" borderId="0" xfId="0" applyNumberFormat="1" applyFont="1" applyFill="1" applyBorder="1" applyAlignment="1">
      <alignment horizontal="center" vertical="center" wrapText="1"/>
    </xf>
    <xf numFmtId="0" fontId="74" fillId="0" borderId="0" xfId="0" applyFont="1" applyBorder="1" applyAlignment="1"/>
    <xf numFmtId="0" fontId="55" fillId="4" borderId="0" xfId="0" applyFont="1" applyFill="1" applyBorder="1" applyAlignment="1"/>
    <xf numFmtId="0" fontId="55" fillId="4" borderId="0" xfId="0" applyFont="1" applyFill="1" applyBorder="1" applyAlignment="1">
      <alignment vertical="center"/>
    </xf>
    <xf numFmtId="0" fontId="75" fillId="0" borderId="0" xfId="0" applyFont="1" applyBorder="1" applyAlignment="1"/>
    <xf numFmtId="0" fontId="76" fillId="0" borderId="0" xfId="0" applyFont="1" applyBorder="1" applyAlignment="1"/>
    <xf numFmtId="0" fontId="22" fillId="0" borderId="0" xfId="0" applyFont="1" applyBorder="1" applyAlignment="1">
      <alignment horizontal="left"/>
    </xf>
    <xf numFmtId="0" fontId="27" fillId="0" borderId="0" xfId="0" applyFont="1" applyBorder="1" applyAlignment="1">
      <alignment horizontal="left"/>
    </xf>
    <xf numFmtId="16" fontId="28" fillId="2" borderId="0" xfId="0" applyNumberFormat="1" applyFont="1" applyFill="1" applyBorder="1" applyAlignment="1">
      <alignment horizontal="center"/>
    </xf>
    <xf numFmtId="0" fontId="39" fillId="2" borderId="0" xfId="0" applyFont="1" applyFill="1" applyBorder="1" applyAlignment="1"/>
    <xf numFmtId="0" fontId="22" fillId="2" borderId="0" xfId="0" applyFont="1" applyFill="1" applyBorder="1" applyAlignment="1"/>
    <xf numFmtId="0" fontId="27" fillId="2" borderId="0" xfId="0" applyFont="1" applyFill="1" applyBorder="1" applyAlignment="1">
      <alignment horizontal="center"/>
    </xf>
    <xf numFmtId="0" fontId="0" fillId="2" borderId="0" xfId="0" applyNumberFormat="1" applyFont="1" applyFill="1" applyBorder="1" applyAlignment="1">
      <alignment horizontal="center" vertical="center" wrapText="1"/>
    </xf>
    <xf numFmtId="0" fontId="32" fillId="2" borderId="0" xfId="0" applyNumberFormat="1" applyFont="1" applyFill="1" applyBorder="1" applyAlignment="1">
      <alignment wrapText="1"/>
    </xf>
    <xf numFmtId="0" fontId="0" fillId="2" borderId="0" xfId="0" applyNumberFormat="1" applyFill="1" applyBorder="1"/>
    <xf numFmtId="0" fontId="28" fillId="9" borderId="0" xfId="0" applyFont="1" applyFill="1" applyBorder="1" applyAlignment="1">
      <alignment vertical="center"/>
    </xf>
    <xf numFmtId="0" fontId="28" fillId="3" borderId="0" xfId="0" applyFont="1" applyFill="1" applyBorder="1" applyAlignment="1">
      <alignment vertical="center"/>
    </xf>
    <xf numFmtId="0" fontId="38" fillId="0" borderId="0" xfId="0" applyFont="1" applyBorder="1" applyAlignment="1"/>
    <xf numFmtId="0" fontId="38" fillId="0" borderId="0" xfId="0" applyFont="1"/>
    <xf numFmtId="0" fontId="55" fillId="20" borderId="0" xfId="0" applyFont="1" applyFill="1" applyBorder="1" applyAlignment="1"/>
    <xf numFmtId="0" fontId="32" fillId="20" borderId="0" xfId="0" applyFont="1" applyFill="1" applyBorder="1" applyAlignment="1"/>
    <xf numFmtId="0" fontId="28" fillId="4" borderId="0" xfId="0" applyFont="1" applyFill="1" applyBorder="1" applyAlignment="1"/>
    <xf numFmtId="0" fontId="22" fillId="0" borderId="0" xfId="0" quotePrefix="1" applyFont="1" applyBorder="1"/>
    <xf numFmtId="0" fontId="0" fillId="0" borderId="0" xfId="0" applyBorder="1"/>
    <xf numFmtId="0" fontId="0" fillId="0" borderId="0" xfId="0" applyFont="1" applyBorder="1"/>
    <xf numFmtId="0" fontId="47" fillId="3" borderId="0" xfId="0" applyFont="1" applyFill="1" applyBorder="1" applyAlignment="1">
      <alignment vertical="center"/>
    </xf>
    <xf numFmtId="0" fontId="29" fillId="0" borderId="0" xfId="0" applyFont="1" applyAlignment="1">
      <alignment horizontal="left" vertical="center" indent="4"/>
    </xf>
    <xf numFmtId="0" fontId="22" fillId="0" borderId="0" xfId="0" applyFont="1" applyBorder="1"/>
    <xf numFmtId="0" fontId="22" fillId="2" borderId="0" xfId="0" applyFont="1" applyFill="1" applyBorder="1"/>
    <xf numFmtId="0" fontId="22" fillId="2" borderId="0" xfId="0" applyFont="1" applyFill="1" applyBorder="1" applyAlignment="1">
      <alignment horizontal="center"/>
    </xf>
    <xf numFmtId="0" fontId="0" fillId="0" borderId="0" xfId="0" applyNumberFormat="1" applyBorder="1"/>
    <xf numFmtId="0" fontId="27" fillId="6" borderId="0" xfId="0" applyFont="1" applyFill="1" applyBorder="1" applyAlignment="1"/>
    <xf numFmtId="0" fontId="22" fillId="0" borderId="0" xfId="0" quotePrefix="1" applyFont="1" applyBorder="1" applyAlignment="1"/>
    <xf numFmtId="0" fontId="27" fillId="6" borderId="0" xfId="0" applyFont="1" applyFill="1" applyBorder="1" applyAlignment="1">
      <alignment vertical="center"/>
    </xf>
    <xf numFmtId="0" fontId="22" fillId="0" borderId="0" xfId="0" applyFont="1"/>
    <xf numFmtId="0" fontId="0" fillId="0" borderId="0" xfId="0" applyAlignment="1"/>
    <xf numFmtId="0" fontId="22" fillId="0" borderId="0" xfId="0" applyFont="1" applyAlignment="1"/>
    <xf numFmtId="0" fontId="0" fillId="0" borderId="0" xfId="0" applyFont="1"/>
    <xf numFmtId="0" fontId="27" fillId="2" borderId="0" xfId="0" applyFont="1" applyFill="1" applyBorder="1" applyAlignment="1">
      <alignment vertical="center"/>
    </xf>
    <xf numFmtId="168" fontId="36" fillId="0" borderId="0" xfId="0" applyNumberFormat="1" applyFont="1" applyBorder="1"/>
    <xf numFmtId="0" fontId="66" fillId="0" borderId="0" xfId="0" applyFont="1" applyBorder="1" applyAlignment="1">
      <alignment vertical="center"/>
    </xf>
    <xf numFmtId="0" fontId="76" fillId="9" borderId="0" xfId="0" applyFont="1" applyFill="1" applyBorder="1" applyAlignment="1"/>
    <xf numFmtId="0" fontId="33" fillId="21" borderId="0" xfId="0" applyFont="1" applyFill="1" applyBorder="1" applyAlignment="1"/>
    <xf numFmtId="0" fontId="32" fillId="21" borderId="0" xfId="0" applyFont="1" applyFill="1" applyBorder="1" applyAlignment="1"/>
    <xf numFmtId="0" fontId="33" fillId="21" borderId="0" xfId="0" applyFont="1" applyFill="1" applyBorder="1" applyAlignment="1">
      <alignment vertical="center"/>
    </xf>
    <xf numFmtId="0" fontId="71" fillId="0" borderId="0" xfId="0" applyFont="1" applyBorder="1"/>
    <xf numFmtId="168" fontId="0" fillId="0" borderId="0" xfId="0" applyNumberFormat="1" applyFont="1" applyBorder="1"/>
    <xf numFmtId="0" fontId="54" fillId="5" borderId="1" xfId="6" applyFont="1" applyFill="1" applyBorder="1" applyAlignment="1"/>
    <xf numFmtId="0" fontId="54" fillId="5" borderId="1" xfId="6" applyFont="1" applyFill="1" applyBorder="1" applyAlignment="1">
      <alignment vertical="center"/>
    </xf>
    <xf numFmtId="0" fontId="22" fillId="0" borderId="0" xfId="7"/>
    <xf numFmtId="0" fontId="22" fillId="0" borderId="0" xfId="7" applyNumberFormat="1" applyFont="1" applyFill="1" applyBorder="1" applyAlignment="1">
      <alignment horizontal="center" vertical="center" wrapText="1"/>
    </xf>
    <xf numFmtId="0" fontId="22" fillId="5" borderId="1" xfId="6" applyFont="1" applyFill="1" applyBorder="1" applyAlignment="1">
      <alignment vertical="center"/>
    </xf>
    <xf numFmtId="0" fontId="77" fillId="5" borderId="1" xfId="6" applyFont="1" applyFill="1" applyBorder="1" applyAlignment="1">
      <alignment horizontal="left" vertical="center"/>
    </xf>
    <xf numFmtId="0" fontId="77" fillId="5" borderId="1" xfId="6" applyFont="1" applyFill="1" applyBorder="1" applyAlignment="1">
      <alignment vertical="center"/>
    </xf>
    <xf numFmtId="0" fontId="32" fillId="5" borderId="1" xfId="6" applyFont="1" applyFill="1" applyBorder="1" applyAlignment="1">
      <alignment vertical="center"/>
    </xf>
    <xf numFmtId="0" fontId="78" fillId="5" borderId="2" xfId="6" applyFont="1" applyFill="1" applyBorder="1" applyAlignment="1">
      <alignment vertical="center"/>
    </xf>
    <xf numFmtId="0" fontId="54" fillId="5" borderId="3" xfId="6" applyFont="1" applyFill="1" applyBorder="1" applyAlignment="1">
      <alignment vertical="center"/>
    </xf>
    <xf numFmtId="0" fontId="54" fillId="0" borderId="1" xfId="8" applyFont="1" applyBorder="1" applyAlignment="1">
      <alignment vertical="center"/>
    </xf>
    <xf numFmtId="0" fontId="22" fillId="0" borderId="0" xfId="7" applyFill="1" applyBorder="1"/>
    <xf numFmtId="0" fontId="55" fillId="9" borderId="0" xfId="0" applyFont="1" applyFill="1" applyBorder="1" applyAlignment="1">
      <alignment vertical="center"/>
    </xf>
    <xf numFmtId="0" fontId="32" fillId="22" borderId="0" xfId="0" applyFont="1" applyFill="1" applyBorder="1" applyAlignment="1"/>
    <xf numFmtId="0" fontId="55" fillId="22" borderId="0" xfId="0" applyFont="1" applyFill="1" applyBorder="1" applyAlignment="1"/>
    <xf numFmtId="0" fontId="55" fillId="22" borderId="0" xfId="0" applyFont="1" applyFill="1" applyBorder="1" applyAlignment="1">
      <alignment vertical="center"/>
    </xf>
    <xf numFmtId="0" fontId="54" fillId="2" borderId="0" xfId="0" applyFont="1" applyFill="1" applyBorder="1" applyAlignment="1">
      <alignment vertical="center"/>
    </xf>
    <xf numFmtId="0" fontId="0" fillId="2" borderId="0" xfId="0" applyFill="1" applyBorder="1" applyAlignment="1">
      <alignment horizontal="center"/>
    </xf>
    <xf numFmtId="0" fontId="27" fillId="0" borderId="0" xfId="0" applyFont="1" applyBorder="1" applyAlignment="1">
      <alignment wrapText="1"/>
    </xf>
    <xf numFmtId="0" fontId="33" fillId="4" borderId="0" xfId="0" applyFont="1" applyFill="1" applyBorder="1" applyAlignment="1">
      <alignment vertical="center"/>
    </xf>
    <xf numFmtId="0" fontId="56" fillId="0" borderId="0" xfId="0" quotePrefix="1" applyFont="1"/>
    <xf numFmtId="0" fontId="42" fillId="0" borderId="0" xfId="0" applyFont="1" applyFill="1" applyBorder="1" applyAlignment="1">
      <alignment vertical="center"/>
    </xf>
    <xf numFmtId="0" fontId="22" fillId="3" borderId="0" xfId="0" applyFont="1" applyFill="1" applyBorder="1" applyAlignment="1">
      <alignment horizontal="center"/>
    </xf>
    <xf numFmtId="14" fontId="28" fillId="2" borderId="0" xfId="0" applyNumberFormat="1" applyFont="1" applyFill="1" applyBorder="1" applyAlignment="1">
      <alignment horizontal="center" vertical="center"/>
    </xf>
    <xf numFmtId="0" fontId="28" fillId="2" borderId="0" xfId="0" applyFont="1" applyFill="1" applyBorder="1" applyAlignment="1">
      <alignment horizontal="center" vertical="center"/>
    </xf>
    <xf numFmtId="0" fontId="28" fillId="2" borderId="0" xfId="0" applyFont="1" applyFill="1" applyBorder="1" applyAlignment="1">
      <alignment vertical="center"/>
    </xf>
    <xf numFmtId="1" fontId="28" fillId="2" borderId="0" xfId="0" applyNumberFormat="1" applyFont="1" applyFill="1" applyBorder="1" applyAlignment="1">
      <alignment horizontal="center" vertical="center"/>
    </xf>
    <xf numFmtId="0" fontId="28" fillId="2" borderId="0" xfId="0" applyNumberFormat="1" applyFont="1" applyFill="1" applyBorder="1" applyAlignment="1">
      <alignment horizontal="left" vertical="top"/>
    </xf>
    <xf numFmtId="166" fontId="28" fillId="2" borderId="0" xfId="0" applyNumberFormat="1" applyFont="1" applyFill="1" applyBorder="1" applyAlignment="1">
      <alignment horizontal="center" vertical="center"/>
    </xf>
    <xf numFmtId="0" fontId="28" fillId="2" borderId="0" xfId="0" applyNumberFormat="1" applyFont="1" applyFill="1" applyBorder="1" applyAlignment="1">
      <alignment horizontal="center" vertical="center"/>
    </xf>
    <xf numFmtId="165" fontId="28" fillId="2" borderId="0" xfId="0" applyNumberFormat="1" applyFont="1" applyFill="1" applyBorder="1" applyAlignment="1">
      <alignment horizontal="center" vertical="center"/>
    </xf>
    <xf numFmtId="1" fontId="28" fillId="2" borderId="0" xfId="0" applyNumberFormat="1" applyFont="1" applyFill="1" applyBorder="1" applyAlignment="1">
      <alignment horizontal="left" vertical="center"/>
    </xf>
    <xf numFmtId="0" fontId="79" fillId="0" borderId="0" xfId="0" applyFont="1" applyBorder="1" applyAlignment="1">
      <alignment vertical="center"/>
    </xf>
    <xf numFmtId="0" fontId="79" fillId="0" borderId="0" xfId="0" applyFont="1" applyBorder="1" applyAlignment="1"/>
    <xf numFmtId="0" fontId="80" fillId="0" borderId="0" xfId="0" applyFont="1" applyBorder="1" applyAlignment="1">
      <alignment vertical="center"/>
    </xf>
    <xf numFmtId="0" fontId="81" fillId="0" borderId="0" xfId="0" applyFont="1" applyBorder="1" applyAlignment="1"/>
    <xf numFmtId="0" fontId="81" fillId="0" borderId="0" xfId="0" applyFont="1" applyBorder="1" applyAlignment="1">
      <alignment vertical="center"/>
    </xf>
    <xf numFmtId="0" fontId="55" fillId="13" borderId="0" xfId="0" applyFont="1" applyFill="1" applyBorder="1" applyAlignment="1"/>
    <xf numFmtId="0" fontId="32" fillId="21" borderId="0" xfId="0" applyFont="1" applyFill="1" applyBorder="1" applyAlignment="1">
      <alignment vertical="center"/>
    </xf>
    <xf numFmtId="0" fontId="22" fillId="23" borderId="0" xfId="0" applyFont="1" applyFill="1" applyBorder="1" applyAlignment="1">
      <alignment horizontal="center"/>
    </xf>
    <xf numFmtId="0" fontId="82" fillId="3" borderId="0" xfId="0" applyFont="1" applyFill="1" applyBorder="1" applyAlignment="1"/>
    <xf numFmtId="0" fontId="82" fillId="0" borderId="0" xfId="0" applyFont="1" applyBorder="1" applyAlignment="1">
      <alignment vertical="center"/>
    </xf>
    <xf numFmtId="0" fontId="80" fillId="0" borderId="0" xfId="0" applyFont="1" applyBorder="1" applyAlignment="1"/>
    <xf numFmtId="0" fontId="82" fillId="0" borderId="0" xfId="0" applyFont="1" applyBorder="1" applyAlignment="1"/>
    <xf numFmtId="0" fontId="39" fillId="0" borderId="0" xfId="0" applyFont="1" applyFill="1" applyBorder="1" applyAlignment="1"/>
    <xf numFmtId="0" fontId="54" fillId="3" borderId="0" xfId="0" applyFont="1" applyFill="1" applyBorder="1" applyAlignment="1"/>
    <xf numFmtId="0" fontId="54" fillId="0" borderId="0" xfId="0" applyFont="1" applyBorder="1" applyAlignment="1"/>
    <xf numFmtId="0" fontId="32" fillId="23" borderId="0" xfId="0" applyFont="1" applyFill="1" applyBorder="1" applyAlignment="1"/>
    <xf numFmtId="0" fontId="32" fillId="23" borderId="0" xfId="0" applyFont="1" applyFill="1" applyBorder="1" applyAlignment="1">
      <alignment vertical="center"/>
    </xf>
    <xf numFmtId="0" fontId="54" fillId="23" borderId="0" xfId="0" applyFont="1" applyFill="1" applyBorder="1" applyAlignment="1"/>
    <xf numFmtId="0" fontId="32" fillId="24" borderId="0" xfId="0" applyFont="1" applyFill="1" applyBorder="1" applyAlignment="1"/>
    <xf numFmtId="0" fontId="32" fillId="24" borderId="0" xfId="0" applyFont="1" applyFill="1" applyBorder="1" applyAlignment="1">
      <alignment vertical="center"/>
    </xf>
    <xf numFmtId="0" fontId="32" fillId="25" borderId="0" xfId="0" applyFont="1" applyFill="1" applyBorder="1" applyAlignment="1"/>
    <xf numFmtId="0" fontId="32" fillId="25" borderId="0" xfId="0" applyFont="1" applyFill="1" applyBorder="1" applyAlignment="1">
      <alignment vertical="center"/>
    </xf>
    <xf numFmtId="0" fontId="70" fillId="3" borderId="0" xfId="0" applyFont="1" applyFill="1" applyBorder="1" applyAlignment="1">
      <alignment vertical="center"/>
    </xf>
    <xf numFmtId="0" fontId="28" fillId="5" borderId="0" xfId="0" applyFont="1" applyFill="1" applyBorder="1" applyAlignment="1"/>
    <xf numFmtId="0" fontId="32" fillId="20" borderId="0" xfId="0" applyFont="1" applyFill="1" applyBorder="1" applyAlignment="1">
      <alignment vertical="center"/>
    </xf>
    <xf numFmtId="0" fontId="83" fillId="20" borderId="0" xfId="0" applyFont="1" applyFill="1" applyBorder="1" applyAlignment="1"/>
    <xf numFmtId="0" fontId="28" fillId="20" borderId="0" xfId="0" applyFont="1" applyFill="1" applyBorder="1" applyAlignment="1"/>
    <xf numFmtId="0" fontId="33" fillId="6" borderId="0" xfId="0" applyFont="1" applyFill="1" applyBorder="1" applyAlignment="1">
      <alignment vertical="center"/>
    </xf>
    <xf numFmtId="0" fontId="33" fillId="26" borderId="0" xfId="0" applyFont="1" applyFill="1" applyBorder="1" applyAlignment="1"/>
    <xf numFmtId="0" fontId="54" fillId="9" borderId="0" xfId="0" applyFont="1" applyFill="1" applyBorder="1" applyAlignment="1">
      <alignment vertical="center"/>
    </xf>
    <xf numFmtId="0" fontId="22" fillId="9" borderId="0" xfId="0" applyFont="1" applyFill="1" applyBorder="1" applyAlignment="1"/>
    <xf numFmtId="0" fontId="77" fillId="27" borderId="0" xfId="9" applyFont="1" applyFill="1" applyBorder="1" applyAlignment="1">
      <alignment horizontal="left" vertical="center"/>
    </xf>
    <xf numFmtId="0" fontId="77" fillId="0" borderId="0" xfId="9" applyFont="1" applyBorder="1" applyAlignment="1">
      <alignment horizontal="left" vertical="center"/>
    </xf>
    <xf numFmtId="0" fontId="77" fillId="0" borderId="0" xfId="0" applyFont="1" applyBorder="1" applyAlignment="1"/>
    <xf numFmtId="0" fontId="82" fillId="3" borderId="0" xfId="0" applyFont="1" applyFill="1" applyBorder="1" applyAlignment="1">
      <alignment vertical="center"/>
    </xf>
    <xf numFmtId="0" fontId="30" fillId="3" borderId="0" xfId="4" applyFont="1" applyFill="1" applyBorder="1" applyAlignment="1"/>
    <xf numFmtId="0" fontId="22" fillId="6" borderId="0" xfId="0" applyFont="1" applyFill="1" applyBorder="1" applyAlignment="1">
      <alignment horizontal="center"/>
    </xf>
    <xf numFmtId="0" fontId="47" fillId="2" borderId="0" xfId="0" applyFont="1" applyFill="1" applyBorder="1" applyAlignment="1"/>
    <xf numFmtId="0" fontId="73" fillId="2" borderId="0" xfId="0" applyFont="1" applyFill="1" applyBorder="1" applyAlignment="1"/>
    <xf numFmtId="0" fontId="27" fillId="0" borderId="0" xfId="0" applyNumberFormat="1" applyFont="1" applyFill="1" applyBorder="1" applyAlignment="1">
      <alignment vertical="center"/>
    </xf>
    <xf numFmtId="0" fontId="0" fillId="0" borderId="0" xfId="0" applyNumberFormat="1" applyFont="1" applyFill="1" applyBorder="1" applyAlignment="1">
      <alignment vertical="center"/>
    </xf>
    <xf numFmtId="0" fontId="83" fillId="3" borderId="0" xfId="0" applyFont="1" applyFill="1" applyBorder="1" applyAlignment="1"/>
    <xf numFmtId="0" fontId="83" fillId="0" borderId="0" xfId="0" applyFont="1" applyBorder="1" applyAlignment="1">
      <alignment vertical="center"/>
    </xf>
    <xf numFmtId="0" fontId="83" fillId="7" borderId="0" xfId="0" applyFont="1" applyFill="1" applyBorder="1" applyAlignment="1"/>
    <xf numFmtId="0" fontId="83" fillId="7" borderId="0" xfId="0" applyFont="1" applyFill="1" applyBorder="1" applyAlignment="1">
      <alignment vertical="center"/>
    </xf>
    <xf numFmtId="0" fontId="32" fillId="7" borderId="0" xfId="0" applyFont="1" applyFill="1" applyBorder="1" applyAlignment="1">
      <alignment vertical="center"/>
    </xf>
    <xf numFmtId="0" fontId="0" fillId="0" borderId="0" xfId="0" applyNumberFormat="1" applyFill="1" applyBorder="1" applyAlignment="1">
      <alignment horizontal="right"/>
    </xf>
    <xf numFmtId="0" fontId="55" fillId="20" borderId="0" xfId="0" applyFont="1" applyFill="1" applyBorder="1" applyAlignment="1">
      <alignment vertical="center"/>
    </xf>
    <xf numFmtId="0" fontId="21" fillId="0" borderId="0" xfId="0" applyFont="1" applyFill="1" applyBorder="1" applyAlignment="1"/>
    <xf numFmtId="0" fontId="76" fillId="3" borderId="0" xfId="0" applyFont="1" applyFill="1" applyBorder="1" applyAlignment="1"/>
    <xf numFmtId="0" fontId="21" fillId="0" borderId="0" xfId="0" quotePrefix="1" applyFont="1" applyFill="1" applyBorder="1" applyAlignment="1"/>
    <xf numFmtId="0" fontId="21" fillId="0" borderId="0" xfId="0" applyNumberFormat="1" applyFont="1" applyFill="1" applyBorder="1" applyAlignment="1"/>
    <xf numFmtId="0" fontId="47" fillId="2" borderId="0" xfId="0" applyFont="1" applyFill="1" applyBorder="1" applyAlignment="1">
      <alignment vertical="center"/>
    </xf>
    <xf numFmtId="0" fontId="28" fillId="28" borderId="0" xfId="0" applyFont="1" applyFill="1" applyBorder="1" applyAlignment="1"/>
    <xf numFmtId="0" fontId="32" fillId="28" borderId="0" xfId="0" applyFont="1" applyFill="1" applyBorder="1" applyAlignment="1"/>
    <xf numFmtId="0" fontId="32" fillId="28" borderId="0" xfId="0" applyFont="1" applyFill="1" applyBorder="1" applyAlignment="1">
      <alignment vertical="center"/>
    </xf>
    <xf numFmtId="0" fontId="27" fillId="7" borderId="0" xfId="0" applyFont="1" applyFill="1" applyBorder="1" applyAlignment="1">
      <alignment horizontal="center"/>
    </xf>
    <xf numFmtId="0" fontId="47" fillId="7" borderId="0" xfId="0" applyFont="1" applyFill="1" applyBorder="1" applyAlignment="1"/>
    <xf numFmtId="0" fontId="33" fillId="7" borderId="0" xfId="0" applyFont="1" applyFill="1" applyBorder="1" applyAlignment="1"/>
    <xf numFmtId="0" fontId="33" fillId="7" borderId="0" xfId="0" applyFont="1" applyFill="1" applyBorder="1" applyAlignment="1">
      <alignment vertical="center"/>
    </xf>
    <xf numFmtId="0" fontId="77" fillId="27" borderId="0" xfId="10" applyFont="1" applyFill="1" applyBorder="1" applyAlignment="1">
      <alignment horizontal="left" vertical="center"/>
    </xf>
    <xf numFmtId="0" fontId="77" fillId="0" borderId="0" xfId="10" applyFont="1" applyBorder="1" applyAlignment="1">
      <alignment horizontal="left" vertical="center"/>
    </xf>
    <xf numFmtId="0" fontId="77" fillId="27" borderId="0" xfId="10" applyFont="1" applyFill="1" applyBorder="1" applyAlignment="1">
      <alignment vertical="center"/>
    </xf>
    <xf numFmtId="16" fontId="27" fillId="0" borderId="0" xfId="0" applyNumberFormat="1" applyFont="1" applyBorder="1" applyAlignment="1">
      <alignment horizontal="center"/>
    </xf>
    <xf numFmtId="0" fontId="84" fillId="0" borderId="0" xfId="0" applyFont="1" applyFill="1" applyBorder="1" applyAlignment="1"/>
    <xf numFmtId="0" fontId="28" fillId="29" borderId="0" xfId="0" applyFont="1" applyFill="1" applyBorder="1" applyAlignment="1">
      <alignment horizontal="center"/>
    </xf>
    <xf numFmtId="0" fontId="20" fillId="0" borderId="0" xfId="0" applyFont="1" applyFill="1" applyBorder="1" applyAlignment="1"/>
    <xf numFmtId="0" fontId="20" fillId="0" borderId="0" xfId="0" quotePrefix="1" applyFont="1" applyFill="1" applyBorder="1" applyAlignment="1"/>
    <xf numFmtId="0" fontId="20" fillId="0" borderId="0" xfId="0" applyFont="1" applyBorder="1" applyAlignment="1"/>
    <xf numFmtId="0" fontId="28" fillId="0" borderId="0" xfId="0" applyNumberFormat="1" applyFont="1" applyFill="1" applyBorder="1" applyAlignment="1">
      <alignment horizontal="right"/>
    </xf>
    <xf numFmtId="0" fontId="66" fillId="0" borderId="0" xfId="0" applyFont="1" applyFill="1" applyBorder="1" applyAlignment="1">
      <alignment vertical="center"/>
    </xf>
    <xf numFmtId="0" fontId="32" fillId="4" borderId="0" xfId="0" applyFont="1" applyFill="1" applyBorder="1" applyAlignment="1">
      <alignment vertical="center"/>
    </xf>
    <xf numFmtId="168" fontId="36" fillId="0" borderId="0" xfId="0" applyNumberFormat="1" applyFont="1" applyFill="1" applyBorder="1" applyAlignment="1"/>
    <xf numFmtId="0" fontId="27" fillId="0" borderId="0" xfId="0" applyNumberFormat="1" applyFont="1" applyFill="1" applyBorder="1" applyAlignment="1"/>
    <xf numFmtId="0" fontId="29" fillId="0" borderId="0" xfId="0" quotePrefix="1" applyFont="1" applyFill="1" applyBorder="1" applyAlignment="1">
      <alignment horizontal="left" vertical="center"/>
    </xf>
    <xf numFmtId="0" fontId="69" fillId="0" borderId="0" xfId="0" applyFont="1" applyFill="1" applyBorder="1" applyAlignment="1"/>
    <xf numFmtId="0" fontId="31" fillId="0" borderId="0" xfId="0" applyFont="1" applyFill="1" applyBorder="1" applyAlignment="1">
      <alignment vertical="center"/>
    </xf>
    <xf numFmtId="0" fontId="25" fillId="0" borderId="0" xfId="5" applyNumberFormat="1" applyFill="1" applyBorder="1" applyAlignment="1"/>
    <xf numFmtId="0" fontId="27" fillId="14" borderId="0" xfId="0" applyFont="1" applyFill="1" applyBorder="1" applyAlignment="1">
      <alignment horizontal="center"/>
    </xf>
    <xf numFmtId="0" fontId="41" fillId="0" borderId="0" xfId="0" applyNumberFormat="1" applyFont="1" applyFill="1" applyBorder="1" applyAlignment="1"/>
    <xf numFmtId="0" fontId="65" fillId="0" borderId="0" xfId="0" applyNumberFormat="1" applyFont="1" applyFill="1" applyBorder="1" applyAlignment="1"/>
    <xf numFmtId="0" fontId="21" fillId="0" borderId="0" xfId="0" applyFont="1" applyBorder="1" applyAlignment="1"/>
    <xf numFmtId="0" fontId="40" fillId="0" borderId="0" xfId="0" quotePrefix="1" applyFont="1" applyFill="1" applyBorder="1" applyAlignment="1"/>
    <xf numFmtId="0" fontId="0" fillId="0" borderId="0" xfId="0" applyNumberFormat="1" applyFont="1" applyFill="1" applyBorder="1" applyAlignment="1">
      <alignment horizontal="center" vertical="center"/>
    </xf>
    <xf numFmtId="0" fontId="20" fillId="0" borderId="0" xfId="0" applyNumberFormat="1" applyFont="1" applyFill="1" applyBorder="1" applyAlignment="1">
      <alignment horizontal="center" vertical="center"/>
    </xf>
    <xf numFmtId="0" fontId="85" fillId="0" borderId="0" xfId="12" applyNumberFormat="1" applyBorder="1" applyAlignment="1"/>
    <xf numFmtId="0" fontId="71" fillId="0" borderId="0" xfId="12" applyNumberFormat="1" applyFont="1" applyFill="1" applyBorder="1" applyAlignment="1"/>
    <xf numFmtId="0" fontId="85" fillId="0" borderId="0" xfId="12" applyNumberFormat="1" applyFont="1" applyBorder="1" applyAlignment="1"/>
    <xf numFmtId="0" fontId="31" fillId="0" borderId="0" xfId="12" applyFont="1" applyAlignment="1"/>
    <xf numFmtId="0" fontId="35" fillId="0" borderId="0" xfId="12" quotePrefix="1" applyNumberFormat="1" applyFont="1" applyFill="1" applyBorder="1" applyAlignment="1"/>
    <xf numFmtId="0" fontId="43" fillId="0" borderId="0" xfId="12" applyNumberFormat="1" applyFont="1" applyFill="1" applyBorder="1" applyAlignment="1"/>
    <xf numFmtId="0" fontId="40" fillId="0" borderId="0" xfId="12" applyNumberFormat="1" applyFont="1" applyFill="1" applyBorder="1" applyAlignment="1"/>
    <xf numFmtId="0" fontId="29" fillId="0" borderId="0" xfId="12" applyNumberFormat="1" applyFont="1" applyFill="1" applyBorder="1" applyAlignment="1">
      <alignment horizontal="right" vertical="center"/>
    </xf>
    <xf numFmtId="0" fontId="41" fillId="0" borderId="0" xfId="12" applyNumberFormat="1" applyFont="1" applyFill="1" applyBorder="1" applyAlignment="1"/>
    <xf numFmtId="168" fontId="71" fillId="0" borderId="0" xfId="12" applyNumberFormat="1" applyFont="1" applyFill="1" applyBorder="1" applyAlignment="1"/>
    <xf numFmtId="0" fontId="30" fillId="0" borderId="0" xfId="12" applyFont="1" applyBorder="1" applyAlignment="1">
      <alignment horizontal="center"/>
    </xf>
    <xf numFmtId="0" fontId="30" fillId="0" borderId="0" xfId="12" applyFont="1" applyBorder="1" applyAlignment="1"/>
    <xf numFmtId="0" fontId="60" fillId="0" borderId="0" xfId="12" applyNumberFormat="1" applyFont="1" applyFill="1" applyBorder="1" applyAlignment="1"/>
    <xf numFmtId="0" fontId="46" fillId="0" borderId="0" xfId="12" applyNumberFormat="1" applyFont="1" applyFill="1" applyBorder="1" applyAlignment="1"/>
    <xf numFmtId="0" fontId="85" fillId="0" borderId="0" xfId="12" applyNumberFormat="1" applyFont="1" applyFill="1" applyBorder="1" applyAlignment="1">
      <alignment horizontal="center" vertical="center"/>
    </xf>
    <xf numFmtId="0" fontId="0" fillId="0" borderId="0" xfId="0" applyFill="1"/>
    <xf numFmtId="0" fontId="0" fillId="0" borderId="0" xfId="0" applyFill="1" applyAlignment="1"/>
    <xf numFmtId="0" fontId="0" fillId="2" borderId="0" xfId="0" applyFill="1"/>
    <xf numFmtId="0" fontId="85" fillId="0" borderId="0" xfId="12" applyNumberFormat="1" applyFill="1" applyBorder="1" applyAlignment="1"/>
    <xf numFmtId="0" fontId="85" fillId="0" borderId="0" xfId="12" applyNumberFormat="1" applyFont="1" applyFill="1" applyBorder="1" applyAlignment="1"/>
    <xf numFmtId="0" fontId="27" fillId="0" borderId="0" xfId="12" applyFont="1" applyBorder="1" applyAlignment="1"/>
    <xf numFmtId="0" fontId="28" fillId="0" borderId="0" xfId="12" applyFont="1" applyBorder="1" applyAlignment="1"/>
    <xf numFmtId="0" fontId="28" fillId="0" borderId="0" xfId="12" applyNumberFormat="1" applyFont="1" applyFill="1" applyBorder="1" applyAlignment="1"/>
    <xf numFmtId="0" fontId="85" fillId="0" borderId="0" xfId="12" applyNumberFormat="1" applyFill="1" applyBorder="1" applyAlignment="1">
      <alignment horizontal="center"/>
    </xf>
    <xf numFmtId="0" fontId="27" fillId="0" borderId="0" xfId="12" applyFont="1" applyBorder="1" applyAlignment="1">
      <alignment horizontal="center"/>
    </xf>
    <xf numFmtId="14" fontId="28" fillId="0" borderId="0" xfId="12" applyNumberFormat="1" applyFont="1" applyBorder="1" applyAlignment="1">
      <alignment horizontal="center"/>
    </xf>
    <xf numFmtId="0" fontId="28" fillId="0" borderId="0" xfId="12" applyNumberFormat="1" applyFont="1" applyFill="1" applyBorder="1" applyAlignment="1">
      <alignment horizontal="center"/>
    </xf>
    <xf numFmtId="0" fontId="28" fillId="0" borderId="0" xfId="12" applyNumberFormat="1" applyFont="1" applyBorder="1" applyAlignment="1">
      <alignment horizontal="center"/>
    </xf>
    <xf numFmtId="0" fontId="28" fillId="0" borderId="0" xfId="12" applyNumberFormat="1" applyFont="1" applyBorder="1" applyAlignment="1"/>
    <xf numFmtId="0" fontId="31" fillId="0" borderId="0" xfId="12" applyNumberFormat="1" applyFont="1" applyFill="1" applyBorder="1" applyAlignment="1"/>
    <xf numFmtId="0" fontId="18" fillId="0" borderId="0" xfId="12" quotePrefix="1" applyNumberFormat="1" applyFont="1" applyFill="1" applyBorder="1" applyAlignment="1"/>
    <xf numFmtId="0" fontId="83" fillId="3" borderId="0" xfId="12" applyNumberFormat="1" applyFont="1" applyFill="1" applyBorder="1" applyAlignment="1"/>
    <xf numFmtId="0" fontId="83" fillId="0" borderId="0" xfId="12" applyNumberFormat="1" applyFont="1" applyBorder="1" applyAlignment="1">
      <alignment vertical="center"/>
    </xf>
    <xf numFmtId="0" fontId="28" fillId="0" borderId="0" xfId="12" applyNumberFormat="1" applyFont="1" applyBorder="1" applyAlignment="1">
      <alignment vertical="center"/>
    </xf>
    <xf numFmtId="0" fontId="32" fillId="0" borderId="0" xfId="12" applyNumberFormat="1" applyFont="1" applyBorder="1" applyAlignment="1"/>
    <xf numFmtId="0" fontId="32" fillId="0" borderId="0" xfId="12" applyNumberFormat="1" applyFont="1" applyBorder="1" applyAlignment="1">
      <alignment vertical="center"/>
    </xf>
    <xf numFmtId="0" fontId="76" fillId="5" borderId="0" xfId="12" applyNumberFormat="1" applyFont="1" applyFill="1" applyBorder="1" applyAlignment="1"/>
    <xf numFmtId="0" fontId="32" fillId="5" borderId="0" xfId="12" applyNumberFormat="1" applyFont="1" applyFill="1" applyBorder="1" applyAlignment="1">
      <alignment vertical="center"/>
    </xf>
    <xf numFmtId="0" fontId="30" fillId="0" borderId="0" xfId="12" applyNumberFormat="1" applyFont="1" applyFill="1" applyBorder="1" applyAlignment="1"/>
    <xf numFmtId="0" fontId="32" fillId="5" borderId="0" xfId="12" applyNumberFormat="1" applyFont="1" applyFill="1" applyBorder="1" applyAlignment="1"/>
    <xf numFmtId="0" fontId="29" fillId="0" borderId="0" xfId="12" quotePrefix="1" applyNumberFormat="1" applyFont="1" applyFill="1" applyBorder="1" applyAlignment="1"/>
    <xf numFmtId="0" fontId="30" fillId="0" borderId="0" xfId="12" quotePrefix="1" applyNumberFormat="1" applyFont="1" applyFill="1" applyBorder="1" applyAlignment="1"/>
    <xf numFmtId="0" fontId="18" fillId="0" borderId="0" xfId="12" applyNumberFormat="1" applyFont="1" applyFill="1" applyBorder="1" applyAlignment="1"/>
    <xf numFmtId="0" fontId="35" fillId="0" borderId="0" xfId="12" applyNumberFormat="1" applyFont="1" applyFill="1" applyBorder="1" applyAlignment="1"/>
    <xf numFmtId="0" fontId="27" fillId="0" borderId="0" xfId="12" applyNumberFormat="1" applyFont="1" applyBorder="1" applyAlignment="1"/>
    <xf numFmtId="0" fontId="32" fillId="30" borderId="0" xfId="12" applyNumberFormat="1" applyFont="1" applyFill="1" applyBorder="1" applyAlignment="1"/>
    <xf numFmtId="0" fontId="30" fillId="0" borderId="0" xfId="12" applyNumberFormat="1" applyFont="1" applyFill="1" applyBorder="1" applyAlignment="1">
      <alignment vertical="center"/>
    </xf>
    <xf numFmtId="0" fontId="27" fillId="0" borderId="0" xfId="12" applyNumberFormat="1" applyFont="1" applyFill="1" applyBorder="1" applyAlignment="1">
      <alignment horizontal="center"/>
    </xf>
    <xf numFmtId="0" fontId="31" fillId="0" borderId="0" xfId="12" quotePrefix="1" applyNumberFormat="1" applyFont="1" applyFill="1" applyBorder="1" applyAlignment="1"/>
    <xf numFmtId="0" fontId="18" fillId="0" borderId="0" xfId="12" applyNumberFormat="1" applyFont="1" applyBorder="1" applyAlignment="1"/>
    <xf numFmtId="0" fontId="27" fillId="0" borderId="0" xfId="12" applyNumberFormat="1" applyFont="1" applyBorder="1" applyAlignment="1">
      <alignment vertical="center"/>
    </xf>
    <xf numFmtId="0" fontId="54" fillId="31" borderId="0" xfId="11" applyNumberFormat="1" applyFont="1" applyFill="1" applyBorder="1" applyAlignment="1">
      <alignment vertical="center"/>
    </xf>
    <xf numFmtId="0" fontId="54" fillId="31" borderId="0" xfId="12" applyNumberFormat="1" applyFont="1" applyFill="1" applyBorder="1" applyAlignment="1">
      <alignment vertical="center"/>
    </xf>
    <xf numFmtId="0" fontId="54" fillId="31" borderId="0" xfId="12" applyNumberFormat="1" applyFont="1" applyFill="1" applyBorder="1" applyAlignment="1">
      <alignment horizontal="left" vertical="center"/>
    </xf>
    <xf numFmtId="0" fontId="40" fillId="0" borderId="0" xfId="12" applyNumberFormat="1" applyFont="1" applyFill="1" applyBorder="1" applyAlignment="1">
      <alignment vertical="center"/>
    </xf>
    <xf numFmtId="0" fontId="59" fillId="31" borderId="0" xfId="12" applyNumberFormat="1" applyFont="1" applyFill="1" applyBorder="1" applyAlignment="1">
      <alignment vertical="center"/>
    </xf>
    <xf numFmtId="0" fontId="32" fillId="31" borderId="0" xfId="12" applyNumberFormat="1" applyFont="1" applyFill="1" applyBorder="1" applyAlignment="1">
      <alignment vertical="center"/>
    </xf>
    <xf numFmtId="0" fontId="41" fillId="0" borderId="0" xfId="12" applyNumberFormat="1" applyFont="1" applyFill="1" applyBorder="1" applyAlignment="1">
      <alignment horizontal="left" vertical="center"/>
    </xf>
    <xf numFmtId="0" fontId="33" fillId="3" borderId="0" xfId="12" applyNumberFormat="1" applyFont="1" applyFill="1" applyBorder="1" applyAlignment="1"/>
    <xf numFmtId="0" fontId="33" fillId="3" borderId="0" xfId="12" applyNumberFormat="1" applyFont="1" applyFill="1" applyBorder="1" applyAlignment="1">
      <alignment vertical="center"/>
    </xf>
    <xf numFmtId="0" fontId="18" fillId="0" borderId="0" xfId="12" applyNumberFormat="1" applyFont="1" applyBorder="1" applyAlignment="1">
      <alignment vertical="center"/>
    </xf>
    <xf numFmtId="0" fontId="33" fillId="0" borderId="0" xfId="12" applyNumberFormat="1" applyFont="1" applyBorder="1" applyAlignment="1"/>
    <xf numFmtId="0" fontId="33" fillId="0" borderId="0" xfId="12" applyNumberFormat="1" applyFont="1" applyBorder="1" applyAlignment="1">
      <alignment vertical="center"/>
    </xf>
    <xf numFmtId="0" fontId="28" fillId="0" borderId="0" xfId="12" applyNumberFormat="1" applyFont="1" applyBorder="1" applyAlignment="1">
      <alignment horizontal="left"/>
    </xf>
    <xf numFmtId="0" fontId="27" fillId="0" borderId="0" xfId="12" applyNumberFormat="1" applyFont="1" applyBorder="1" applyAlignment="1">
      <alignment horizontal="left"/>
    </xf>
    <xf numFmtId="0" fontId="32" fillId="6" borderId="0" xfId="12" applyNumberFormat="1" applyFont="1" applyFill="1" applyBorder="1" applyAlignment="1"/>
    <xf numFmtId="0" fontId="76" fillId="6" borderId="0" xfId="12" applyNumberFormat="1" applyFont="1" applyFill="1" applyBorder="1" applyAlignment="1"/>
    <xf numFmtId="0" fontId="32" fillId="6" borderId="0" xfId="12" applyNumberFormat="1" applyFont="1" applyFill="1" applyBorder="1" applyAlignment="1">
      <alignment vertical="center"/>
    </xf>
    <xf numFmtId="0" fontId="28" fillId="13" borderId="0" xfId="12" applyNumberFormat="1" applyFont="1" applyFill="1" applyBorder="1" applyAlignment="1"/>
    <xf numFmtId="0" fontId="32" fillId="13" borderId="0" xfId="12" applyNumberFormat="1" applyFont="1" applyFill="1" applyBorder="1" applyAlignment="1">
      <alignment vertical="center"/>
    </xf>
    <xf numFmtId="0" fontId="83" fillId="13" borderId="0" xfId="12" applyNumberFormat="1" applyFont="1" applyFill="1" applyBorder="1" applyAlignment="1"/>
    <xf numFmtId="0" fontId="32" fillId="13" borderId="0" xfId="12" applyNumberFormat="1" applyFont="1" applyFill="1" applyBorder="1" applyAlignment="1"/>
    <xf numFmtId="0" fontId="27" fillId="0" borderId="0" xfId="12" quotePrefix="1" applyNumberFormat="1" applyFont="1" applyFill="1" applyBorder="1" applyAlignment="1"/>
    <xf numFmtId="0" fontId="54" fillId="9" borderId="0" xfId="12" applyNumberFormat="1" applyFont="1" applyFill="1" applyBorder="1" applyAlignment="1"/>
    <xf numFmtId="0" fontId="54" fillId="9" borderId="0" xfId="12" applyNumberFormat="1" applyFont="1" applyFill="1" applyBorder="1" applyAlignment="1">
      <alignment vertical="center"/>
    </xf>
    <xf numFmtId="0" fontId="27" fillId="0" borderId="0" xfId="12" applyNumberFormat="1" applyFont="1" applyFill="1" applyBorder="1" applyAlignment="1"/>
    <xf numFmtId="0" fontId="28" fillId="0" borderId="0" xfId="12" applyNumberFormat="1" applyFont="1" applyFill="1" applyBorder="1" applyAlignment="1">
      <alignment vertical="center"/>
    </xf>
    <xf numFmtId="0" fontId="85" fillId="19" borderId="0" xfId="12" applyNumberFormat="1" applyFill="1" applyBorder="1" applyAlignment="1">
      <alignment vertical="top"/>
    </xf>
    <xf numFmtId="0" fontId="49" fillId="0" borderId="0" xfId="12" applyNumberFormat="1" applyFont="1" applyFill="1" applyBorder="1" applyAlignment="1">
      <alignment vertical="center"/>
    </xf>
    <xf numFmtId="0" fontId="51" fillId="0" borderId="0" xfId="12" quotePrefix="1" applyNumberFormat="1" applyFont="1" applyFill="1" applyBorder="1" applyAlignment="1"/>
    <xf numFmtId="0" fontId="30" fillId="0" borderId="0" xfId="4" applyNumberFormat="1" applyFont="1" applyFill="1" applyBorder="1" applyAlignment="1"/>
    <xf numFmtId="0" fontId="32" fillId="7" borderId="0" xfId="12" applyNumberFormat="1" applyFont="1" applyFill="1" applyBorder="1" applyAlignment="1"/>
    <xf numFmtId="0" fontId="28" fillId="7" borderId="0" xfId="12" applyNumberFormat="1" applyFont="1" applyFill="1" applyBorder="1" applyAlignment="1"/>
    <xf numFmtId="0" fontId="28" fillId="6" borderId="0" xfId="12" applyNumberFormat="1" applyFont="1" applyFill="1" applyBorder="1" applyAlignment="1"/>
    <xf numFmtId="0" fontId="55" fillId="6" borderId="0" xfId="12" applyNumberFormat="1" applyFont="1" applyFill="1" applyBorder="1" applyAlignment="1"/>
    <xf numFmtId="0" fontId="55" fillId="6" borderId="0" xfId="12" applyNumberFormat="1" applyFont="1" applyFill="1" applyBorder="1" applyAlignment="1">
      <alignment vertical="center"/>
    </xf>
    <xf numFmtId="0" fontId="32" fillId="3" borderId="0" xfId="12" applyNumberFormat="1" applyFont="1" applyFill="1" applyBorder="1" applyAlignment="1"/>
    <xf numFmtId="0" fontId="55" fillId="0" borderId="0" xfId="12" applyNumberFormat="1" applyFont="1" applyBorder="1" applyAlignment="1"/>
    <xf numFmtId="0" fontId="55" fillId="0" borderId="0" xfId="12" applyNumberFormat="1" applyFont="1" applyBorder="1" applyAlignment="1">
      <alignment vertical="center"/>
    </xf>
    <xf numFmtId="0" fontId="55" fillId="3" borderId="0" xfId="12" applyNumberFormat="1" applyFont="1" applyFill="1" applyBorder="1" applyAlignment="1"/>
    <xf numFmtId="0" fontId="27" fillId="0" borderId="0" xfId="12" applyNumberFormat="1" applyFont="1" applyFill="1" applyBorder="1" applyAlignment="1">
      <alignment vertical="center"/>
    </xf>
    <xf numFmtId="0" fontId="74" fillId="0" borderId="0" xfId="12" applyNumberFormat="1" applyFont="1" applyBorder="1" applyAlignment="1"/>
    <xf numFmtId="0" fontId="29" fillId="0" borderId="0" xfId="12" applyNumberFormat="1" applyFont="1" applyFill="1" applyBorder="1" applyAlignment="1"/>
    <xf numFmtId="0" fontId="55" fillId="5" borderId="0" xfId="12" applyNumberFormat="1" applyFont="1" applyFill="1" applyBorder="1" applyAlignment="1"/>
    <xf numFmtId="0" fontId="55" fillId="5" borderId="0" xfId="12" applyNumberFormat="1" applyFont="1" applyFill="1" applyBorder="1" applyAlignment="1">
      <alignment vertical="center"/>
    </xf>
    <xf numFmtId="0" fontId="28" fillId="5" borderId="0" xfId="12" applyNumberFormat="1" applyFont="1" applyFill="1" applyBorder="1" applyAlignment="1"/>
    <xf numFmtId="0" fontId="32" fillId="11" borderId="0" xfId="12" applyNumberFormat="1" applyFont="1" applyFill="1" applyBorder="1" applyAlignment="1"/>
    <xf numFmtId="0" fontId="32" fillId="11" borderId="0" xfId="12" applyNumberFormat="1" applyFont="1" applyFill="1" applyBorder="1" applyAlignment="1">
      <alignment vertical="center"/>
    </xf>
    <xf numFmtId="0" fontId="28" fillId="6" borderId="0" xfId="12" applyNumberFormat="1" applyFont="1" applyFill="1" applyBorder="1" applyAlignment="1">
      <alignment horizontal="center"/>
    </xf>
    <xf numFmtId="0" fontId="32" fillId="3" borderId="0" xfId="12" applyNumberFormat="1" applyFont="1" applyFill="1" applyBorder="1" applyAlignment="1">
      <alignment vertical="center"/>
    </xf>
    <xf numFmtId="0" fontId="27" fillId="0" borderId="0" xfId="12" applyNumberFormat="1" applyFont="1" applyBorder="1" applyAlignment="1">
      <alignment horizontal="center"/>
    </xf>
    <xf numFmtId="0" fontId="32" fillId="20" borderId="0" xfId="12" applyNumberFormat="1" applyFont="1" applyFill="1" applyBorder="1" applyAlignment="1"/>
    <xf numFmtId="0" fontId="27" fillId="3" borderId="0" xfId="12" applyNumberFormat="1" applyFont="1" applyFill="1" applyBorder="1" applyAlignment="1">
      <alignment horizontal="center"/>
    </xf>
    <xf numFmtId="0" fontId="18" fillId="32" borderId="0" xfId="12" applyNumberFormat="1" applyFont="1" applyFill="1" applyBorder="1" applyAlignment="1"/>
    <xf numFmtId="0" fontId="27" fillId="6" borderId="0" xfId="12" applyNumberFormat="1" applyFont="1" applyFill="1" applyBorder="1" applyAlignment="1">
      <alignment horizontal="center"/>
    </xf>
    <xf numFmtId="0" fontId="85" fillId="0" borderId="0" xfId="12" applyNumberFormat="1" applyFont="1" applyFill="1" applyBorder="1" applyAlignment="1">
      <alignment vertical="center"/>
    </xf>
    <xf numFmtId="0" fontId="39" fillId="0" borderId="0" xfId="12" applyNumberFormat="1" applyFont="1" applyFill="1" applyBorder="1" applyAlignment="1"/>
    <xf numFmtId="0" fontId="32" fillId="0" borderId="0" xfId="12" applyNumberFormat="1" applyFont="1" applyFill="1" applyBorder="1" applyAlignment="1"/>
    <xf numFmtId="0" fontId="18" fillId="0" borderId="0" xfId="12" applyFont="1" applyBorder="1" applyAlignment="1"/>
    <xf numFmtId="0" fontId="18" fillId="0" borderId="0" xfId="12" applyFont="1" applyBorder="1" applyAlignment="1">
      <alignment vertical="center"/>
    </xf>
    <xf numFmtId="0" fontId="28" fillId="0" borderId="0" xfId="12" applyFont="1" applyBorder="1" applyAlignment="1">
      <alignment vertical="center"/>
    </xf>
    <xf numFmtId="0" fontId="18" fillId="11" borderId="0" xfId="12" applyFont="1" applyFill="1" applyBorder="1" applyAlignment="1"/>
    <xf numFmtId="0" fontId="28" fillId="0" borderId="0" xfId="12" applyFont="1" applyBorder="1" applyAlignment="1">
      <alignment horizontal="center"/>
    </xf>
    <xf numFmtId="0" fontId="28" fillId="6" borderId="0" xfId="12" applyFont="1" applyFill="1" applyBorder="1" applyAlignment="1">
      <alignment horizontal="center"/>
    </xf>
    <xf numFmtId="0" fontId="18" fillId="33" borderId="0" xfId="12" applyFont="1" applyFill="1" applyBorder="1" applyAlignment="1"/>
    <xf numFmtId="0" fontId="27" fillId="34" borderId="0" xfId="12" applyFont="1" applyFill="1" applyBorder="1" applyAlignment="1">
      <alignment horizontal="center"/>
    </xf>
    <xf numFmtId="0" fontId="27" fillId="17" borderId="0" xfId="12" applyFont="1" applyFill="1" applyBorder="1" applyAlignment="1">
      <alignment horizontal="center"/>
    </xf>
    <xf numFmtId="0" fontId="30" fillId="0" borderId="0" xfId="12" applyFont="1" applyBorder="1" applyAlignment="1">
      <alignment vertical="center"/>
    </xf>
    <xf numFmtId="0" fontId="18" fillId="35" borderId="0" xfId="12" applyFont="1" applyFill="1" applyBorder="1" applyAlignment="1">
      <alignment vertical="center"/>
    </xf>
    <xf numFmtId="0" fontId="85" fillId="0" borderId="0" xfId="12" quotePrefix="1" applyNumberFormat="1" applyFill="1" applyBorder="1" applyAlignment="1"/>
    <xf numFmtId="0" fontId="18" fillId="11" borderId="0" xfId="12" applyFont="1" applyFill="1" applyBorder="1" applyAlignment="1">
      <alignment vertical="center"/>
    </xf>
    <xf numFmtId="0" fontId="27" fillId="16" borderId="0" xfId="12" applyFont="1" applyFill="1" applyBorder="1" applyAlignment="1">
      <alignment horizontal="center"/>
    </xf>
    <xf numFmtId="0" fontId="18" fillId="18" borderId="0" xfId="12" applyFont="1" applyFill="1" applyBorder="1" applyAlignment="1">
      <alignment vertical="center"/>
    </xf>
    <xf numFmtId="0" fontId="29" fillId="0" borderId="0" xfId="12" quotePrefix="1" applyNumberFormat="1" applyFont="1" applyFill="1" applyBorder="1" applyAlignment="1">
      <alignment horizontal="left" vertical="center"/>
    </xf>
    <xf numFmtId="0" fontId="56" fillId="0" borderId="0" xfId="12" applyNumberFormat="1" applyFont="1" applyFill="1" applyBorder="1" applyAlignment="1"/>
    <xf numFmtId="0" fontId="69" fillId="0" borderId="0" xfId="12" applyNumberFormat="1" applyFont="1" applyFill="1" applyBorder="1" applyAlignment="1"/>
    <xf numFmtId="0" fontId="85" fillId="0" borderId="0" xfId="12" quotePrefix="1" applyNumberFormat="1" applyFont="1" applyFill="1" applyBorder="1" applyAlignment="1"/>
    <xf numFmtId="0" fontId="29" fillId="0" borderId="0" xfId="12" applyNumberFormat="1" applyFont="1" applyFill="1" applyBorder="1" applyAlignment="1">
      <alignment horizontal="left" vertical="center"/>
    </xf>
    <xf numFmtId="0" fontId="48" fillId="0" borderId="0" xfId="12" applyNumberFormat="1" applyFont="1" applyFill="1" applyBorder="1" applyAlignment="1"/>
    <xf numFmtId="0" fontId="49" fillId="0" borderId="0" xfId="12" quotePrefix="1" applyNumberFormat="1" applyFont="1" applyFill="1" applyBorder="1" applyAlignment="1">
      <alignment vertical="center"/>
    </xf>
    <xf numFmtId="0" fontId="31" fillId="0" borderId="0" xfId="12" applyNumberFormat="1" applyFont="1" applyFill="1" applyBorder="1" applyAlignment="1">
      <alignment vertical="center"/>
    </xf>
    <xf numFmtId="0" fontId="51" fillId="0" borderId="0" xfId="12" applyNumberFormat="1" applyFont="1" applyFill="1" applyBorder="1" applyAlignment="1"/>
    <xf numFmtId="0" fontId="37" fillId="0" borderId="0" xfId="12" applyNumberFormat="1" applyFont="1" applyFill="1" applyBorder="1" applyAlignment="1"/>
    <xf numFmtId="0" fontId="28" fillId="3" borderId="0" xfId="12" applyNumberFormat="1" applyFont="1" applyFill="1" applyBorder="1" applyAlignment="1"/>
    <xf numFmtId="0" fontId="52" fillId="0" borderId="0" xfId="12" applyNumberFormat="1" applyFont="1" applyFill="1" applyBorder="1" applyAlignment="1"/>
    <xf numFmtId="0" fontId="67" fillId="0" borderId="0" xfId="12" applyNumberFormat="1" applyFont="1" applyFill="1" applyBorder="1" applyAlignment="1"/>
    <xf numFmtId="42" fontId="0" fillId="0" borderId="0" xfId="0" applyNumberFormat="1" applyFill="1"/>
    <xf numFmtId="0" fontId="31" fillId="0" borderId="0" xfId="0" applyNumberFormat="1" applyFont="1" applyFill="1" applyBorder="1" applyAlignment="1"/>
    <xf numFmtId="0" fontId="17" fillId="0" borderId="0" xfId="0" quotePrefix="1" applyNumberFormat="1" applyFont="1" applyFill="1" applyBorder="1" applyAlignment="1"/>
    <xf numFmtId="0" fontId="17" fillId="0" borderId="0" xfId="0" applyFont="1" applyBorder="1" applyAlignment="1">
      <alignment vertical="center"/>
    </xf>
    <xf numFmtId="0" fontId="27" fillId="17" borderId="0" xfId="0" applyFont="1" applyFill="1" applyBorder="1" applyAlignment="1">
      <alignment horizontal="center"/>
    </xf>
    <xf numFmtId="0" fontId="17" fillId="6" borderId="0" xfId="0" applyFont="1" applyFill="1" applyBorder="1" applyAlignment="1">
      <alignment vertical="center"/>
    </xf>
    <xf numFmtId="0" fontId="29" fillId="0" borderId="0" xfId="0" quotePrefix="1" applyNumberFormat="1" applyFont="1" applyFill="1" applyBorder="1" applyAlignment="1"/>
    <xf numFmtId="0" fontId="30" fillId="0" borderId="0" xfId="0" quotePrefix="1" applyNumberFormat="1" applyFont="1" applyFill="1" applyBorder="1" applyAlignment="1"/>
    <xf numFmtId="0" fontId="35" fillId="0" borderId="0" xfId="0" applyNumberFormat="1" applyFont="1" applyFill="1" applyBorder="1" applyAlignment="1"/>
    <xf numFmtId="0" fontId="17" fillId="0" borderId="0" xfId="0" applyNumberFormat="1" applyFont="1" applyFill="1" applyBorder="1" applyAlignment="1"/>
    <xf numFmtId="0" fontId="17" fillId="11" borderId="0" xfId="0" applyFont="1" applyFill="1" applyBorder="1" applyAlignment="1">
      <alignment vertical="center"/>
    </xf>
    <xf numFmtId="0" fontId="30" fillId="0" borderId="0" xfId="0" applyNumberFormat="1" applyFont="1" applyFill="1" applyBorder="1" applyAlignment="1">
      <alignment vertical="center"/>
    </xf>
    <xf numFmtId="0" fontId="31" fillId="0" borderId="0" xfId="0" quotePrefix="1" applyNumberFormat="1" applyFont="1" applyFill="1" applyBorder="1" applyAlignment="1"/>
    <xf numFmtId="0" fontId="40" fillId="0" borderId="0" xfId="0" applyNumberFormat="1" applyFont="1" applyFill="1" applyBorder="1" applyAlignment="1">
      <alignment vertical="center"/>
    </xf>
    <xf numFmtId="0" fontId="17" fillId="22" borderId="0" xfId="0" applyFont="1" applyFill="1" applyBorder="1" applyAlignment="1">
      <alignment vertical="center"/>
    </xf>
    <xf numFmtId="0" fontId="27" fillId="16" borderId="0" xfId="0" applyFont="1" applyFill="1" applyBorder="1" applyAlignment="1">
      <alignment horizontal="center"/>
    </xf>
    <xf numFmtId="0" fontId="41" fillId="0" borderId="0" xfId="0" applyNumberFormat="1" applyFont="1" applyFill="1" applyBorder="1" applyAlignment="1">
      <alignment horizontal="left" vertical="center"/>
    </xf>
    <xf numFmtId="0" fontId="17" fillId="36" borderId="0" xfId="0" applyFont="1" applyFill="1" applyBorder="1" applyAlignment="1">
      <alignment vertical="center"/>
    </xf>
    <xf numFmtId="0" fontId="27" fillId="0" borderId="0" xfId="0" applyNumberFormat="1" applyFont="1" applyFill="1" applyBorder="1" applyAlignment="1">
      <alignment horizontal="center"/>
    </xf>
    <xf numFmtId="0" fontId="27" fillId="23" borderId="0" xfId="0" applyFont="1" applyFill="1" applyBorder="1" applyAlignment="1">
      <alignment horizontal="center"/>
    </xf>
    <xf numFmtId="0" fontId="17" fillId="37" borderId="0" xfId="0" applyFont="1" applyFill="1" applyBorder="1" applyAlignment="1">
      <alignment vertical="center"/>
    </xf>
    <xf numFmtId="0" fontId="27" fillId="0" borderId="0" xfId="0" quotePrefix="1" applyNumberFormat="1" applyFont="1" applyFill="1" applyBorder="1" applyAlignment="1"/>
    <xf numFmtId="0" fontId="29" fillId="0" borderId="0" xfId="0" applyNumberFormat="1" applyFont="1" applyFill="1" applyBorder="1" applyAlignment="1">
      <alignment horizontal="right" vertical="center"/>
    </xf>
    <xf numFmtId="0" fontId="39" fillId="0" borderId="0" xfId="0" applyNumberFormat="1" applyFont="1" applyFill="1" applyBorder="1" applyAlignment="1"/>
    <xf numFmtId="0" fontId="29" fillId="0" borderId="0" xfId="0" quotePrefix="1" applyNumberFormat="1" applyFont="1" applyFill="1" applyBorder="1" applyAlignment="1">
      <alignment horizontal="left" vertical="center"/>
    </xf>
    <xf numFmtId="0" fontId="56" fillId="0" borderId="0" xfId="0" applyNumberFormat="1" applyFont="1" applyFill="1" applyBorder="1" applyAlignment="1"/>
    <xf numFmtId="0" fontId="29" fillId="0" borderId="0" xfId="0" applyNumberFormat="1" applyFont="1" applyFill="1" applyBorder="1" applyAlignment="1"/>
    <xf numFmtId="0" fontId="43" fillId="0" borderId="0" xfId="0" applyNumberFormat="1" applyFont="1" applyFill="1" applyBorder="1" applyAlignment="1"/>
    <xf numFmtId="0" fontId="69" fillId="0" borderId="0" xfId="0" applyNumberFormat="1" applyFont="1" applyFill="1" applyBorder="1" applyAlignment="1"/>
    <xf numFmtId="0" fontId="0" fillId="0" borderId="0" xfId="0" quotePrefix="1" applyNumberFormat="1" applyFont="1" applyFill="1" applyBorder="1" applyAlignment="1"/>
    <xf numFmtId="0" fontId="29" fillId="0" borderId="0" xfId="0" applyNumberFormat="1" applyFont="1" applyFill="1" applyBorder="1" applyAlignment="1">
      <alignment horizontal="left" vertical="center"/>
    </xf>
    <xf numFmtId="0" fontId="46" fillId="0" borderId="0" xfId="0" applyNumberFormat="1" applyFont="1" applyFill="1" applyBorder="1" applyAlignment="1"/>
    <xf numFmtId="0" fontId="16" fillId="0" borderId="0" xfId="0" applyNumberFormat="1" applyFont="1" applyFill="1" applyBorder="1" applyAlignment="1"/>
    <xf numFmtId="0" fontId="16" fillId="0" borderId="0" xfId="0" applyFont="1" applyBorder="1" applyAlignment="1">
      <alignment vertical="center"/>
    </xf>
    <xf numFmtId="0" fontId="48" fillId="0" borderId="0" xfId="0" applyNumberFormat="1" applyFont="1" applyFill="1" applyBorder="1" applyAlignment="1"/>
    <xf numFmtId="0" fontId="49" fillId="0" borderId="0" xfId="0" applyNumberFormat="1" applyFont="1" applyFill="1" applyBorder="1" applyAlignment="1">
      <alignment vertical="center"/>
    </xf>
    <xf numFmtId="0" fontId="49" fillId="0" borderId="0" xfId="0" quotePrefix="1" applyNumberFormat="1" applyFont="1" applyFill="1" applyBorder="1" applyAlignment="1">
      <alignment vertical="center"/>
    </xf>
    <xf numFmtId="0" fontId="27" fillId="4" borderId="0" xfId="0" applyFont="1" applyFill="1" applyBorder="1" applyAlignment="1">
      <alignment horizontal="center"/>
    </xf>
    <xf numFmtId="0" fontId="40" fillId="0" borderId="0" xfId="0" applyNumberFormat="1" applyFont="1" applyFill="1" applyBorder="1" applyAlignment="1"/>
    <xf numFmtId="0" fontId="16" fillId="38" borderId="0" xfId="0" applyFont="1" applyFill="1" applyBorder="1" applyAlignment="1">
      <alignment vertical="center"/>
    </xf>
    <xf numFmtId="0" fontId="31" fillId="0" borderId="0" xfId="0" applyNumberFormat="1" applyFont="1" applyFill="1" applyBorder="1" applyAlignment="1">
      <alignment vertical="center"/>
    </xf>
    <xf numFmtId="0" fontId="0" fillId="0" borderId="0" xfId="0" quotePrefix="1" applyNumberFormat="1" applyFill="1" applyBorder="1" applyAlignment="1"/>
    <xf numFmtId="0" fontId="16" fillId="39" borderId="0" xfId="0" applyFont="1" applyFill="1" applyBorder="1" applyAlignment="1">
      <alignment vertical="center"/>
    </xf>
    <xf numFmtId="0" fontId="27" fillId="34" borderId="0" xfId="0" applyFont="1" applyFill="1" applyBorder="1" applyAlignment="1">
      <alignment horizontal="center"/>
    </xf>
    <xf numFmtId="0" fontId="35" fillId="0" borderId="0" xfId="0" quotePrefix="1" applyNumberFormat="1" applyFont="1" applyFill="1" applyBorder="1" applyAlignment="1"/>
    <xf numFmtId="0" fontId="51" fillId="0" borderId="0" xfId="0" quotePrefix="1" applyNumberFormat="1" applyFont="1" applyFill="1" applyBorder="1" applyAlignment="1"/>
    <xf numFmtId="0" fontId="51" fillId="0" borderId="0" xfId="0" applyNumberFormat="1" applyFont="1" applyFill="1" applyBorder="1" applyAlignment="1"/>
    <xf numFmtId="0" fontId="38" fillId="0" borderId="0" xfId="0" applyNumberFormat="1" applyFont="1" applyFill="1" applyBorder="1" applyAlignment="1"/>
    <xf numFmtId="0" fontId="37" fillId="0" borderId="0" xfId="0" applyNumberFormat="1" applyFont="1" applyFill="1" applyBorder="1" applyAlignment="1">
      <alignment vertical="center"/>
    </xf>
    <xf numFmtId="0" fontId="87" fillId="0" borderId="0" xfId="0" applyNumberFormat="1" applyFont="1" applyFill="1" applyBorder="1" applyAlignment="1"/>
    <xf numFmtId="0" fontId="88" fillId="0" borderId="0" xfId="0" applyNumberFormat="1" applyFont="1" applyFill="1" applyBorder="1" applyAlignment="1"/>
    <xf numFmtId="0" fontId="30" fillId="34" borderId="0" xfId="0" applyFont="1" applyFill="1" applyBorder="1" applyAlignment="1">
      <alignment horizontal="center"/>
    </xf>
    <xf numFmtId="0" fontId="30" fillId="40" borderId="0" xfId="0" applyFont="1" applyFill="1" applyBorder="1" applyAlignment="1">
      <alignment vertical="center"/>
    </xf>
    <xf numFmtId="0" fontId="30" fillId="41" borderId="0" xfId="0" applyFont="1" applyFill="1" applyBorder="1" applyAlignment="1">
      <alignment horizontal="center"/>
    </xf>
    <xf numFmtId="0" fontId="30" fillId="3" borderId="0" xfId="0" applyFont="1" applyFill="1" applyBorder="1" applyAlignment="1">
      <alignment horizontal="center"/>
    </xf>
    <xf numFmtId="0" fontId="64" fillId="0" borderId="0" xfId="0" applyNumberFormat="1" applyFont="1" applyFill="1" applyBorder="1" applyAlignment="1"/>
    <xf numFmtId="0" fontId="30" fillId="42" borderId="0" xfId="0" applyFont="1" applyFill="1" applyBorder="1" applyAlignment="1">
      <alignment vertical="center"/>
    </xf>
    <xf numFmtId="0" fontId="89" fillId="3" borderId="0" xfId="0" applyFont="1" applyFill="1" applyBorder="1" applyAlignment="1">
      <alignment vertical="center"/>
    </xf>
    <xf numFmtId="0" fontId="30" fillId="0" borderId="0" xfId="0" applyNumberFormat="1" applyFont="1" applyFill="1" applyBorder="1" applyAlignment="1">
      <alignment horizontal="right" vertical="center"/>
    </xf>
    <xf numFmtId="0" fontId="37" fillId="0" borderId="0" xfId="0" applyNumberFormat="1" applyFont="1" applyFill="1" applyBorder="1" applyAlignment="1"/>
    <xf numFmtId="0" fontId="27" fillId="0" borderId="4" xfId="0" applyFont="1" applyBorder="1" applyAlignment="1"/>
    <xf numFmtId="0" fontId="27" fillId="0" borderId="5" xfId="0" applyFont="1" applyBorder="1" applyAlignment="1"/>
    <xf numFmtId="0" fontId="52" fillId="0" borderId="0" xfId="0" applyNumberFormat="1" applyFont="1" applyFill="1" applyBorder="1" applyAlignment="1"/>
    <xf numFmtId="0" fontId="67" fillId="0" borderId="0" xfId="0" applyNumberFormat="1" applyFont="1" applyFill="1" applyBorder="1" applyAlignment="1"/>
    <xf numFmtId="0" fontId="0" fillId="0" borderId="0" xfId="0" applyNumberFormat="1" applyAlignment="1"/>
    <xf numFmtId="0" fontId="27" fillId="29" borderId="0" xfId="0" applyFont="1" applyFill="1" applyBorder="1" applyAlignment="1">
      <alignment horizontal="center"/>
    </xf>
    <xf numFmtId="0" fontId="27" fillId="6" borderId="0" xfId="0" applyFont="1" applyFill="1" applyBorder="1" applyAlignment="1">
      <alignment horizontal="center"/>
    </xf>
    <xf numFmtId="0" fontId="27" fillId="41" borderId="0" xfId="0" applyFont="1" applyFill="1" applyBorder="1" applyAlignment="1">
      <alignment horizontal="center"/>
    </xf>
    <xf numFmtId="0" fontId="28" fillId="2" borderId="0" xfId="0" applyNumberFormat="1" applyFont="1" applyFill="1" applyBorder="1" applyAlignment="1">
      <alignment vertical="center"/>
    </xf>
    <xf numFmtId="0" fontId="28" fillId="2" borderId="0" xfId="0" applyNumberFormat="1" applyFont="1" applyFill="1" applyBorder="1" applyAlignment="1">
      <alignment horizontal="left" vertical="center"/>
    </xf>
    <xf numFmtId="0" fontId="15" fillId="0" borderId="0" xfId="0" quotePrefix="1" applyNumberFormat="1" applyFont="1" applyFill="1" applyBorder="1" applyAlignment="1"/>
    <xf numFmtId="0" fontId="15" fillId="0" borderId="0" xfId="0" applyFont="1" applyBorder="1" applyAlignment="1">
      <alignment vertical="center"/>
    </xf>
    <xf numFmtId="0" fontId="15" fillId="0" borderId="0" xfId="0" applyNumberFormat="1" applyFont="1" applyFill="1" applyBorder="1" applyAlignment="1"/>
    <xf numFmtId="0" fontId="15" fillId="32" borderId="0" xfId="0" applyFont="1" applyFill="1" applyBorder="1" applyAlignment="1">
      <alignment vertical="center"/>
    </xf>
    <xf numFmtId="0" fontId="15" fillId="11" borderId="0" xfId="0" applyFont="1" applyFill="1" applyBorder="1" applyAlignment="1">
      <alignment vertical="center"/>
    </xf>
    <xf numFmtId="0" fontId="15" fillId="11" borderId="0" xfId="0" applyFont="1" applyFill="1" applyBorder="1" applyAlignment="1"/>
    <xf numFmtId="0" fontId="15" fillId="33" borderId="0" xfId="0" applyFont="1" applyFill="1" applyBorder="1" applyAlignment="1">
      <alignment vertical="center"/>
    </xf>
    <xf numFmtId="0" fontId="15" fillId="39" borderId="0" xfId="0" applyFont="1" applyFill="1" applyBorder="1" applyAlignment="1">
      <alignment vertical="center"/>
    </xf>
    <xf numFmtId="0" fontId="15" fillId="43" borderId="0" xfId="0" applyFont="1" applyFill="1" applyBorder="1" applyAlignment="1">
      <alignment vertical="center"/>
    </xf>
    <xf numFmtId="0" fontId="15" fillId="40" borderId="0" xfId="0" applyFont="1" applyFill="1" applyBorder="1" applyAlignment="1">
      <alignment vertical="center"/>
    </xf>
    <xf numFmtId="0" fontId="15" fillId="6" borderId="0" xfId="0" applyFont="1" applyFill="1" applyBorder="1" applyAlignment="1">
      <alignment vertical="center"/>
    </xf>
    <xf numFmtId="0" fontId="15" fillId="44" borderId="0" xfId="0" applyFont="1" applyFill="1" applyBorder="1" applyAlignment="1">
      <alignment vertical="center"/>
    </xf>
    <xf numFmtId="0" fontId="28" fillId="46" borderId="0" xfId="0" applyFont="1" applyFill="1" applyBorder="1" applyAlignment="1">
      <alignment vertical="center"/>
    </xf>
    <xf numFmtId="0" fontId="15" fillId="38" borderId="0" xfId="0" applyFont="1" applyFill="1" applyBorder="1" applyAlignment="1">
      <alignment vertical="center"/>
    </xf>
    <xf numFmtId="0" fontId="15" fillId="45" borderId="0" xfId="0" applyFont="1" applyFill="1" applyBorder="1" applyAlignment="1">
      <alignment vertical="center"/>
    </xf>
    <xf numFmtId="0" fontId="15" fillId="36" borderId="0" xfId="0" applyFont="1" applyFill="1" applyBorder="1" applyAlignment="1">
      <alignment vertical="center"/>
    </xf>
    <xf numFmtId="0" fontId="15" fillId="0" borderId="0" xfId="0" applyFont="1" applyBorder="1" applyAlignment="1"/>
    <xf numFmtId="0" fontId="15" fillId="22" borderId="0" xfId="0" applyFont="1" applyFill="1" applyBorder="1" applyAlignment="1">
      <alignment vertical="center"/>
    </xf>
    <xf numFmtId="0" fontId="32" fillId="0" borderId="0" xfId="0" applyNumberFormat="1" applyFont="1" applyFill="1" applyBorder="1" applyAlignment="1">
      <alignment horizontal="right"/>
    </xf>
    <xf numFmtId="0" fontId="71" fillId="0" borderId="0" xfId="0" quotePrefix="1" applyNumberFormat="1" applyFont="1" applyFill="1" applyBorder="1" applyAlignment="1"/>
    <xf numFmtId="0" fontId="15" fillId="25" borderId="0" xfId="0" applyFont="1" applyFill="1" applyBorder="1" applyAlignment="1">
      <alignment vertical="center"/>
    </xf>
    <xf numFmtId="0" fontId="28" fillId="25" borderId="0" xfId="0" applyFont="1" applyFill="1" applyBorder="1" applyAlignment="1"/>
    <xf numFmtId="0" fontId="28" fillId="25" borderId="0" xfId="0" applyFont="1" applyFill="1" applyBorder="1" applyAlignment="1">
      <alignment vertical="center"/>
    </xf>
    <xf numFmtId="0" fontId="15" fillId="0" borderId="0" xfId="0" applyNumberFormat="1" applyFont="1" applyBorder="1" applyAlignment="1"/>
    <xf numFmtId="166" fontId="28" fillId="2" borderId="0" xfId="0" applyNumberFormat="1" applyFont="1" applyFill="1" applyBorder="1" applyAlignment="1">
      <alignment horizontal="left" vertical="top"/>
    </xf>
    <xf numFmtId="0" fontId="14" fillId="0" borderId="0" xfId="0" applyFont="1" applyBorder="1" applyAlignment="1"/>
    <xf numFmtId="0" fontId="0" fillId="0" borderId="0" xfId="0" quotePrefix="1" applyFont="1" applyBorder="1"/>
    <xf numFmtId="0" fontId="0" fillId="11" borderId="0" xfId="0" applyFill="1" applyBorder="1" applyAlignment="1">
      <alignment vertical="center"/>
    </xf>
    <xf numFmtId="0" fontId="0" fillId="0" borderId="0" xfId="0" applyBorder="1" applyAlignment="1">
      <alignment vertical="center"/>
    </xf>
    <xf numFmtId="0" fontId="0" fillId="0" borderId="0" xfId="0" applyFont="1" applyBorder="1" applyAlignment="1"/>
    <xf numFmtId="0" fontId="27" fillId="30" borderId="0" xfId="0" applyFont="1" applyFill="1" applyBorder="1" applyAlignment="1">
      <alignment horizontal="center"/>
    </xf>
    <xf numFmtId="0" fontId="90" fillId="0" borderId="0" xfId="0" applyFont="1" applyBorder="1" applyAlignment="1"/>
    <xf numFmtId="0" fontId="0" fillId="32" borderId="0" xfId="0" applyFill="1" applyBorder="1" applyAlignment="1">
      <alignment vertical="center"/>
    </xf>
    <xf numFmtId="0" fontId="0" fillId="43" borderId="0" xfId="0" applyFill="1" applyBorder="1" applyAlignment="1">
      <alignment vertical="center"/>
    </xf>
    <xf numFmtId="0" fontId="0" fillId="0" borderId="0" xfId="0" applyFill="1" applyBorder="1" applyAlignment="1">
      <alignment vertical="center"/>
    </xf>
    <xf numFmtId="0" fontId="0" fillId="39" borderId="0" xfId="0" applyFill="1" applyBorder="1" applyAlignment="1">
      <alignment vertical="center"/>
    </xf>
    <xf numFmtId="0" fontId="27" fillId="47" borderId="0" xfId="0" applyFont="1" applyFill="1" applyBorder="1" applyAlignment="1">
      <alignment horizontal="center"/>
    </xf>
    <xf numFmtId="0" fontId="0" fillId="6" borderId="0" xfId="0" applyFill="1" applyBorder="1" applyAlignment="1">
      <alignment vertical="center"/>
    </xf>
    <xf numFmtId="0" fontId="0" fillId="5" borderId="0" xfId="0" applyFill="1" applyBorder="1" applyAlignment="1">
      <alignment vertical="center"/>
    </xf>
    <xf numFmtId="0" fontId="0" fillId="0" borderId="0" xfId="0" applyBorder="1" applyAlignment="1">
      <alignment vertical="center" wrapText="1"/>
    </xf>
    <xf numFmtId="0" fontId="27" fillId="0" borderId="0" xfId="0" applyFont="1" applyBorder="1" applyAlignment="1">
      <alignment horizontal="center" wrapText="1"/>
    </xf>
    <xf numFmtId="0" fontId="0" fillId="25" borderId="0" xfId="0" applyFill="1" applyBorder="1" applyAlignment="1">
      <alignment vertical="center"/>
    </xf>
    <xf numFmtId="0" fontId="13" fillId="0" borderId="0" xfId="0" applyFont="1" applyBorder="1" applyAlignment="1">
      <alignment vertical="center"/>
    </xf>
    <xf numFmtId="0" fontId="0" fillId="36" borderId="0" xfId="0" applyFill="1" applyBorder="1" applyAlignment="1">
      <alignment vertical="center"/>
    </xf>
    <xf numFmtId="0" fontId="27" fillId="24" borderId="0" xfId="0" applyFont="1" applyFill="1" applyBorder="1" applyAlignment="1">
      <alignment horizontal="center"/>
    </xf>
    <xf numFmtId="0" fontId="54" fillId="0" borderId="0" xfId="0" applyNumberFormat="1" applyFont="1" applyFill="1" applyBorder="1" applyAlignment="1">
      <alignment horizontal="right"/>
    </xf>
    <xf numFmtId="0" fontId="0" fillId="0" borderId="0" xfId="0" applyNumberFormat="1" applyFont="1" applyFill="1" applyBorder="1" applyAlignment="1">
      <alignment horizontal="right"/>
    </xf>
    <xf numFmtId="0" fontId="0" fillId="0" borderId="0" xfId="0" applyFont="1" applyBorder="1" applyAlignment="1">
      <alignment vertical="center"/>
    </xf>
    <xf numFmtId="0" fontId="0" fillId="22" borderId="0" xfId="0" applyFill="1" applyBorder="1" applyAlignment="1">
      <alignment vertical="center"/>
    </xf>
    <xf numFmtId="0" fontId="0" fillId="35" borderId="0" xfId="0" applyFill="1" applyBorder="1" applyAlignment="1">
      <alignment vertical="center"/>
    </xf>
    <xf numFmtId="0" fontId="0" fillId="48" borderId="0" xfId="0" applyFill="1" applyBorder="1" applyAlignment="1">
      <alignment vertical="center"/>
    </xf>
    <xf numFmtId="0" fontId="27" fillId="43" borderId="0" xfId="0" applyFont="1" applyFill="1" applyBorder="1" applyAlignment="1">
      <alignment horizontal="center"/>
    </xf>
    <xf numFmtId="0" fontId="0" fillId="43" borderId="0" xfId="0" applyFill="1" applyBorder="1" applyAlignment="1"/>
    <xf numFmtId="0" fontId="0" fillId="43" borderId="0" xfId="0" applyFill="1" applyBorder="1" applyAlignment="1">
      <alignment vertical="top"/>
    </xf>
    <xf numFmtId="0" fontId="0" fillId="27" borderId="0" xfId="0" applyFont="1" applyFill="1" applyBorder="1"/>
    <xf numFmtId="0" fontId="12" fillId="0" borderId="0" xfId="0" applyFont="1" applyBorder="1" applyAlignment="1"/>
    <xf numFmtId="0" fontId="0" fillId="9" borderId="0" xfId="0" applyFill="1" applyBorder="1" applyAlignment="1">
      <alignment vertical="center"/>
    </xf>
    <xf numFmtId="0" fontId="27" fillId="49" borderId="0" xfId="0" applyFont="1" applyFill="1" applyBorder="1" applyAlignment="1">
      <alignment horizontal="center"/>
    </xf>
    <xf numFmtId="0" fontId="27" fillId="50" borderId="0" xfId="0" applyFont="1" applyFill="1" applyBorder="1" applyAlignment="1">
      <alignment horizontal="center"/>
    </xf>
    <xf numFmtId="0" fontId="0" fillId="0" borderId="0" xfId="0" applyFill="1" applyBorder="1" applyAlignment="1">
      <alignment wrapText="1"/>
    </xf>
    <xf numFmtId="0" fontId="36" fillId="0" borderId="0" xfId="0" applyFont="1" applyFill="1" applyBorder="1" applyAlignment="1"/>
    <xf numFmtId="0" fontId="11" fillId="0" borderId="0" xfId="0" applyNumberFormat="1" applyFont="1" applyFill="1" applyBorder="1" applyAlignment="1"/>
    <xf numFmtId="0" fontId="10" fillId="0" borderId="0" xfId="0" applyNumberFormat="1" applyFont="1" applyFill="1" applyBorder="1" applyAlignment="1"/>
    <xf numFmtId="0" fontId="36" fillId="0" borderId="0" xfId="0" applyNumberFormat="1" applyFont="1" applyFill="1" applyBorder="1" applyAlignment="1"/>
    <xf numFmtId="0" fontId="37" fillId="0" borderId="0" xfId="0" quotePrefix="1" applyNumberFormat="1" applyFont="1" applyFill="1" applyBorder="1" applyAlignment="1"/>
    <xf numFmtId="0" fontId="27" fillId="51" borderId="0" xfId="0" applyFont="1" applyFill="1" applyBorder="1" applyAlignment="1">
      <alignment horizontal="center"/>
    </xf>
    <xf numFmtId="0" fontId="0" fillId="52" borderId="0" xfId="0" applyFill="1" applyBorder="1" applyAlignment="1"/>
    <xf numFmtId="16" fontId="30" fillId="0" borderId="0" xfId="0" applyNumberFormat="1" applyFont="1" applyFill="1" applyBorder="1" applyAlignment="1">
      <alignment horizontal="center"/>
    </xf>
    <xf numFmtId="0" fontId="30" fillId="0" borderId="0" xfId="0" applyFont="1" applyFill="1" applyBorder="1" applyAlignment="1">
      <alignment horizontal="center"/>
    </xf>
    <xf numFmtId="0" fontId="0" fillId="6" borderId="0" xfId="0" applyFill="1" applyBorder="1" applyAlignment="1"/>
    <xf numFmtId="0" fontId="0" fillId="35" borderId="0" xfId="0" applyFill="1" applyBorder="1" applyAlignment="1"/>
    <xf numFmtId="0" fontId="0" fillId="36" borderId="0" xfId="0" applyFill="1" applyBorder="1" applyAlignment="1"/>
    <xf numFmtId="0" fontId="54" fillId="0" borderId="0" xfId="0" applyNumberFormat="1" applyFont="1" applyBorder="1"/>
    <xf numFmtId="0" fontId="54" fillId="0" borderId="0" xfId="0" applyNumberFormat="1" applyFont="1" applyFill="1" applyBorder="1"/>
    <xf numFmtId="0" fontId="0" fillId="11" borderId="0" xfId="0" applyFill="1" applyBorder="1" applyAlignment="1"/>
    <xf numFmtId="0" fontId="28" fillId="36" borderId="0" xfId="0" applyFont="1" applyFill="1" applyBorder="1" applyAlignment="1"/>
    <xf numFmtId="0" fontId="0" fillId="45" borderId="0" xfId="0" applyFill="1" applyBorder="1" applyAlignment="1"/>
    <xf numFmtId="0" fontId="0" fillId="45" borderId="0" xfId="0" applyFill="1" applyBorder="1" applyAlignment="1">
      <alignment vertical="center"/>
    </xf>
    <xf numFmtId="0" fontId="0" fillId="53" borderId="0" xfId="0" applyFill="1" applyBorder="1" applyAlignment="1"/>
    <xf numFmtId="0" fontId="54" fillId="0" borderId="0" xfId="0" applyNumberFormat="1" applyFont="1" applyFill="1" applyBorder="1" applyAlignment="1">
      <alignment vertical="center"/>
    </xf>
    <xf numFmtId="0" fontId="0" fillId="53" borderId="0" xfId="0" applyFill="1" applyBorder="1" applyAlignment="1">
      <alignment vertical="center"/>
    </xf>
    <xf numFmtId="0" fontId="50" fillId="0" borderId="0" xfId="0" applyNumberFormat="1" applyFont="1" applyFill="1" applyBorder="1" applyAlignment="1">
      <alignment vertical="center"/>
    </xf>
    <xf numFmtId="0" fontId="91" fillId="0" borderId="0" xfId="0" applyFont="1" applyFill="1" applyBorder="1" applyAlignment="1"/>
    <xf numFmtId="0" fontId="91" fillId="0" borderId="0" xfId="0" applyFont="1" applyBorder="1" applyAlignment="1"/>
    <xf numFmtId="0" fontId="59" fillId="0" borderId="0" xfId="0" applyNumberFormat="1" applyFont="1" applyFill="1" applyBorder="1" applyAlignment="1">
      <alignment vertical="center"/>
    </xf>
    <xf numFmtId="0" fontId="91" fillId="0" borderId="0" xfId="0" applyNumberFormat="1" applyFont="1" applyFill="1" applyBorder="1" applyAlignment="1"/>
    <xf numFmtId="0" fontId="91" fillId="0" borderId="0" xfId="0" applyFont="1" applyFill="1" applyBorder="1"/>
    <xf numFmtId="0" fontId="91" fillId="0" borderId="0" xfId="0" applyFont="1" applyBorder="1" applyAlignment="1">
      <alignment vertical="center"/>
    </xf>
    <xf numFmtId="0" fontId="91" fillId="39" borderId="0" xfId="0" applyFont="1" applyFill="1" applyBorder="1" applyAlignment="1">
      <alignment vertical="center"/>
    </xf>
    <xf numFmtId="0" fontId="91" fillId="0" borderId="0" xfId="0" quotePrefix="1" applyFont="1" applyFill="1" applyBorder="1"/>
    <xf numFmtId="0" fontId="91" fillId="39" borderId="0" xfId="0" applyFont="1" applyFill="1" applyBorder="1" applyAlignment="1"/>
    <xf numFmtId="0" fontId="30" fillId="51" borderId="0" xfId="0" applyFont="1" applyFill="1" applyBorder="1" applyAlignment="1">
      <alignment horizontal="center"/>
    </xf>
    <xf numFmtId="0" fontId="91" fillId="5" borderId="0" xfId="0" applyFont="1" applyFill="1" applyBorder="1" applyAlignment="1"/>
    <xf numFmtId="0" fontId="91" fillId="5" borderId="0" xfId="0" applyFont="1" applyFill="1" applyBorder="1" applyAlignment="1">
      <alignment vertical="center"/>
    </xf>
    <xf numFmtId="0" fontId="91" fillId="33" borderId="0" xfId="0" applyFont="1" applyFill="1" applyBorder="1" applyAlignment="1"/>
    <xf numFmtId="0" fontId="91" fillId="33" borderId="0" xfId="0" applyFont="1" applyFill="1" applyBorder="1" applyAlignment="1">
      <alignment vertical="center"/>
    </xf>
    <xf numFmtId="0" fontId="91" fillId="4" borderId="0" xfId="0" applyFont="1" applyFill="1" applyBorder="1" applyAlignment="1"/>
    <xf numFmtId="0" fontId="91" fillId="4" borderId="0" xfId="0" applyFont="1" applyFill="1" applyBorder="1" applyAlignment="1">
      <alignment vertical="center"/>
    </xf>
    <xf numFmtId="0" fontId="91" fillId="36" borderId="0" xfId="0" applyFont="1" applyFill="1" applyBorder="1" applyAlignment="1"/>
    <xf numFmtId="0" fontId="91" fillId="0" borderId="0" xfId="0" applyFont="1" applyFill="1" applyBorder="1" applyAlignment="1">
      <alignment vertical="center"/>
    </xf>
    <xf numFmtId="0" fontId="91" fillId="36" borderId="0" xfId="0" applyFont="1" applyFill="1" applyBorder="1" applyAlignment="1">
      <alignment vertical="center"/>
    </xf>
    <xf numFmtId="0" fontId="30" fillId="29" borderId="0" xfId="0" applyFont="1" applyFill="1" applyBorder="1" applyAlignment="1">
      <alignment horizontal="center"/>
    </xf>
    <xf numFmtId="0" fontId="91" fillId="0" borderId="0" xfId="0" applyFont="1" applyBorder="1"/>
    <xf numFmtId="0" fontId="91" fillId="0" borderId="0" xfId="0" applyNumberFormat="1" applyFont="1" applyBorder="1"/>
    <xf numFmtId="0" fontId="91" fillId="27" borderId="0" xfId="0" applyFont="1" applyFill="1" applyBorder="1"/>
    <xf numFmtId="0" fontId="30" fillId="27" borderId="0" xfId="0" applyFont="1" applyFill="1" applyBorder="1" applyAlignment="1"/>
    <xf numFmtId="0" fontId="91" fillId="0" borderId="0" xfId="0" applyNumberFormat="1" applyFont="1" applyFill="1" applyBorder="1"/>
    <xf numFmtId="0" fontId="30" fillId="36" borderId="0" xfId="0" applyFont="1" applyFill="1" applyBorder="1" applyAlignment="1"/>
    <xf numFmtId="0" fontId="30" fillId="6" borderId="0" xfId="0" applyFont="1" applyFill="1" applyBorder="1" applyAlignment="1">
      <alignment horizontal="center"/>
    </xf>
    <xf numFmtId="0" fontId="91" fillId="54" borderId="0" xfId="0" applyFont="1" applyFill="1" applyBorder="1" applyAlignment="1">
      <alignment vertical="center"/>
    </xf>
    <xf numFmtId="0" fontId="91" fillId="54" borderId="0" xfId="0" applyFont="1" applyFill="1" applyBorder="1" applyAlignment="1"/>
    <xf numFmtId="0" fontId="30" fillId="54" borderId="0" xfId="0" applyFont="1" applyFill="1" applyBorder="1" applyAlignment="1">
      <alignment vertical="center"/>
    </xf>
    <xf numFmtId="0" fontId="91" fillId="32" borderId="0" xfId="0" applyFont="1" applyFill="1" applyBorder="1" applyAlignment="1"/>
    <xf numFmtId="0" fontId="91" fillId="32" borderId="0" xfId="0" applyFont="1" applyFill="1" applyBorder="1" applyAlignment="1">
      <alignment vertical="center"/>
    </xf>
    <xf numFmtId="0" fontId="92" fillId="3" borderId="0" xfId="0" applyFont="1" applyFill="1" applyBorder="1" applyAlignment="1">
      <alignment vertical="center"/>
    </xf>
    <xf numFmtId="0" fontId="9" fillId="0" borderId="0" xfId="0" applyFont="1" applyBorder="1" applyAlignment="1"/>
    <xf numFmtId="0" fontId="30" fillId="0" borderId="0" xfId="4" applyNumberFormat="1" applyFont="1" applyFill="1" applyBorder="1" applyAlignment="1"/>
    <xf numFmtId="0" fontId="0" fillId="36" borderId="0" xfId="0" applyFont="1" applyFill="1" applyBorder="1" applyAlignment="1">
      <alignment vertical="center"/>
    </xf>
    <xf numFmtId="0" fontId="0" fillId="35" borderId="0" xfId="0" applyFont="1" applyFill="1" applyBorder="1" applyAlignment="1"/>
    <xf numFmtId="0" fontId="0" fillId="35" borderId="0" xfId="0" applyFont="1" applyFill="1" applyBorder="1" applyAlignment="1">
      <alignment vertical="center"/>
    </xf>
    <xf numFmtId="0" fontId="0" fillId="11" borderId="0" xfId="0" applyFont="1" applyFill="1" applyBorder="1" applyAlignment="1">
      <alignment vertical="center"/>
    </xf>
    <xf numFmtId="0" fontId="0" fillId="6" borderId="0" xfId="0" applyFont="1" applyFill="1" applyBorder="1" applyAlignment="1"/>
    <xf numFmtId="0" fontId="0" fillId="36" borderId="0" xfId="0" applyFont="1" applyFill="1" applyBorder="1" applyAlignment="1"/>
    <xf numFmtId="0" fontId="0" fillId="6" borderId="0" xfId="0" applyFont="1" applyFill="1" applyBorder="1" applyAlignment="1">
      <alignment vertical="center"/>
    </xf>
    <xf numFmtId="0" fontId="0" fillId="13" borderId="0" xfId="0" applyFont="1" applyFill="1" applyBorder="1" applyAlignment="1">
      <alignment vertical="center"/>
    </xf>
    <xf numFmtId="0" fontId="93" fillId="36" borderId="0" xfId="0" applyFont="1" applyFill="1" applyBorder="1" applyAlignment="1">
      <alignment vertical="center"/>
    </xf>
    <xf numFmtId="0" fontId="93" fillId="0" borderId="0" xfId="0" applyFont="1" applyFill="1" applyBorder="1" applyAlignment="1">
      <alignment horizontal="center"/>
    </xf>
    <xf numFmtId="0" fontId="41" fillId="0" borderId="0" xfId="0" quotePrefix="1" applyNumberFormat="1" applyFont="1" applyFill="1" applyBorder="1" applyAlignment="1"/>
    <xf numFmtId="0" fontId="0" fillId="22" borderId="0" xfId="0" applyFont="1" applyFill="1" applyBorder="1" applyAlignment="1"/>
    <xf numFmtId="0" fontId="0" fillId="22" borderId="0" xfId="0" applyFont="1" applyFill="1" applyBorder="1" applyAlignment="1">
      <alignment vertical="center"/>
    </xf>
    <xf numFmtId="0" fontId="93" fillId="35" borderId="0" xfId="0" applyFont="1" applyFill="1" applyBorder="1" applyAlignment="1">
      <alignment vertical="center"/>
    </xf>
    <xf numFmtId="0" fontId="0" fillId="0" borderId="0" xfId="0" applyNumberFormat="1" applyFont="1" applyBorder="1" applyAlignment="1"/>
    <xf numFmtId="0" fontId="0" fillId="25" borderId="0" xfId="0" applyFont="1" applyFill="1" applyBorder="1" applyAlignment="1">
      <alignment vertical="center"/>
    </xf>
    <xf numFmtId="0" fontId="0" fillId="32" borderId="0" xfId="0" applyFont="1" applyFill="1" applyBorder="1" applyAlignment="1">
      <alignment vertical="center"/>
    </xf>
    <xf numFmtId="0" fontId="0" fillId="0" borderId="0" xfId="0" applyNumberFormat="1" applyFont="1" applyBorder="1" applyAlignment="1">
      <alignment horizontal="right" vertical="center"/>
    </xf>
    <xf numFmtId="0" fontId="0" fillId="0" borderId="0" xfId="0" applyNumberFormat="1" applyFont="1" applyFill="1" applyBorder="1" applyAlignment="1">
      <alignment horizontal="right" vertical="center"/>
    </xf>
    <xf numFmtId="0" fontId="0" fillId="0" borderId="0" xfId="0" applyFont="1" applyBorder="1" applyAlignment="1">
      <alignment wrapText="1"/>
    </xf>
    <xf numFmtId="0" fontId="0" fillId="56" borderId="0" xfId="0" applyFont="1" applyFill="1" applyBorder="1" applyAlignment="1">
      <alignment vertical="center"/>
    </xf>
    <xf numFmtId="0" fontId="30" fillId="0" borderId="0" xfId="0" applyNumberFormat="1" applyFont="1" applyFill="1" applyBorder="1" applyAlignment="1">
      <alignment horizontal="right" vertical="top"/>
    </xf>
    <xf numFmtId="0" fontId="0" fillId="0" borderId="0" xfId="0" applyNumberFormat="1" applyFont="1" applyBorder="1" applyAlignment="1">
      <alignment horizontal="right"/>
    </xf>
    <xf numFmtId="0" fontId="0" fillId="56" borderId="0" xfId="0" applyFont="1" applyFill="1" applyBorder="1" applyAlignment="1"/>
    <xf numFmtId="0" fontId="0" fillId="56" borderId="0" xfId="0" applyFont="1" applyFill="1" applyBorder="1" applyAlignment="1">
      <alignment vertical="top"/>
    </xf>
    <xf numFmtId="0" fontId="0" fillId="33" borderId="0" xfId="0" applyFont="1" applyFill="1" applyBorder="1" applyAlignment="1"/>
    <xf numFmtId="0" fontId="0" fillId="33" borderId="0" xfId="0" applyFont="1" applyFill="1" applyBorder="1" applyAlignment="1">
      <alignment vertical="center"/>
    </xf>
    <xf numFmtId="0" fontId="0" fillId="39" borderId="0" xfId="0" applyFont="1" applyFill="1" applyBorder="1" applyAlignment="1"/>
    <xf numFmtId="0" fontId="0" fillId="39" borderId="0" xfId="0" applyFont="1" applyFill="1" applyBorder="1" applyAlignment="1">
      <alignment vertical="center"/>
    </xf>
    <xf numFmtId="0" fontId="0" fillId="25" borderId="0" xfId="0" applyFill="1" applyBorder="1" applyAlignment="1"/>
    <xf numFmtId="0" fontId="27" fillId="57" borderId="0" xfId="0" applyFont="1" applyFill="1" applyBorder="1" applyAlignment="1">
      <alignment horizontal="center"/>
    </xf>
    <xf numFmtId="0" fontId="27" fillId="5" borderId="0" xfId="0" applyFont="1" applyFill="1" applyBorder="1" applyAlignment="1">
      <alignment horizontal="center"/>
    </xf>
    <xf numFmtId="0" fontId="29" fillId="0" borderId="0" xfId="0" applyFont="1" applyFill="1" applyBorder="1" applyAlignment="1">
      <alignment vertical="center"/>
    </xf>
    <xf numFmtId="0" fontId="27" fillId="18" borderId="0" xfId="0" applyFont="1" applyFill="1" applyBorder="1" applyAlignment="1">
      <alignment horizontal="center"/>
    </xf>
    <xf numFmtId="0" fontId="41" fillId="0" borderId="0" xfId="0" applyFont="1" applyFill="1" applyBorder="1" applyAlignment="1">
      <alignment vertical="center"/>
    </xf>
    <xf numFmtId="0" fontId="0" fillId="58" borderId="0" xfId="0" applyFill="1" applyBorder="1" applyAlignment="1"/>
    <xf numFmtId="0" fontId="30" fillId="0" borderId="0" xfId="0" applyFont="1" applyFill="1" applyBorder="1" applyAlignment="1">
      <alignment horizontal="left" vertical="center" indent="4"/>
    </xf>
    <xf numFmtId="0" fontId="0" fillId="32" borderId="0" xfId="0" applyFill="1" applyBorder="1" applyAlignment="1"/>
    <xf numFmtId="0" fontId="0" fillId="56" borderId="0" xfId="0" applyFill="1" applyBorder="1" applyAlignment="1"/>
    <xf numFmtId="0" fontId="0" fillId="56" borderId="0" xfId="0" applyFill="1" applyBorder="1" applyAlignment="1">
      <alignment vertical="center"/>
    </xf>
    <xf numFmtId="0" fontId="0" fillId="26" borderId="0" xfId="0" applyFill="1" applyBorder="1" applyAlignment="1"/>
    <xf numFmtId="0" fontId="28" fillId="0" borderId="0" xfId="0" applyNumberFormat="1" applyFont="1" applyFill="1" applyBorder="1" applyAlignment="1">
      <alignment horizontal="right" vertical="top" shrinkToFit="1"/>
    </xf>
    <xf numFmtId="0" fontId="27" fillId="55" borderId="0" xfId="0" applyFont="1" applyFill="1" applyBorder="1" applyAlignment="1">
      <alignment horizontal="center"/>
    </xf>
    <xf numFmtId="0" fontId="27" fillId="59" borderId="0" xfId="0" applyFont="1" applyFill="1" applyBorder="1" applyAlignment="1">
      <alignment horizontal="center"/>
    </xf>
    <xf numFmtId="0" fontId="27" fillId="12" borderId="0" xfId="0" applyFont="1" applyFill="1" applyBorder="1" applyAlignment="1">
      <alignment horizontal="center"/>
    </xf>
    <xf numFmtId="0" fontId="27" fillId="60" borderId="0" xfId="0" applyFont="1" applyFill="1" applyBorder="1" applyAlignment="1">
      <alignment horizontal="center"/>
    </xf>
    <xf numFmtId="0" fontId="0" fillId="61" borderId="0" xfId="0" applyFill="1" applyBorder="1" applyAlignment="1"/>
    <xf numFmtId="0" fontId="0" fillId="22" borderId="0" xfId="0" applyFill="1" applyBorder="1" applyAlignment="1"/>
    <xf numFmtId="0" fontId="0" fillId="39" borderId="0" xfId="0" applyFill="1" applyBorder="1" applyAlignment="1"/>
    <xf numFmtId="0" fontId="0" fillId="42" borderId="0" xfId="0" applyFill="1" applyBorder="1" applyAlignment="1">
      <alignment vertical="center"/>
    </xf>
    <xf numFmtId="0" fontId="0" fillId="42" borderId="0" xfId="0" applyFill="1" applyBorder="1" applyAlignment="1"/>
    <xf numFmtId="0" fontId="6" fillId="0" borderId="0" xfId="0" applyFont="1" applyBorder="1" applyAlignment="1"/>
    <xf numFmtId="16" fontId="0" fillId="0" borderId="0" xfId="0" applyNumberFormat="1" applyBorder="1" applyAlignment="1">
      <alignment horizontal="center"/>
    </xf>
    <xf numFmtId="0" fontId="0" fillId="0" borderId="0" xfId="0" applyFont="1" applyFill="1" applyBorder="1" applyAlignment="1">
      <alignment wrapText="1"/>
    </xf>
    <xf numFmtId="0" fontId="27" fillId="62" borderId="0" xfId="0" applyFont="1" applyFill="1" applyBorder="1" applyAlignment="1">
      <alignment horizontal="center"/>
    </xf>
    <xf numFmtId="0" fontId="0" fillId="63" borderId="0" xfId="0" applyFill="1" applyBorder="1" applyAlignment="1"/>
    <xf numFmtId="0" fontId="0" fillId="63" borderId="0" xfId="0" applyFill="1" applyBorder="1" applyAlignment="1">
      <alignment vertical="center"/>
    </xf>
    <xf numFmtId="0" fontId="0" fillId="52" borderId="0" xfId="0" applyFill="1" applyBorder="1" applyAlignment="1">
      <alignment vertical="center"/>
    </xf>
    <xf numFmtId="0" fontId="27" fillId="8" borderId="0" xfId="0" applyFont="1" applyFill="1" applyBorder="1" applyAlignment="1">
      <alignment horizontal="center"/>
    </xf>
    <xf numFmtId="0" fontId="25" fillId="0" borderId="0" xfId="87" applyFill="1" applyBorder="1" applyAlignment="1"/>
    <xf numFmtId="0" fontId="25" fillId="0" borderId="0" xfId="87" applyFont="1" applyFill="1" applyBorder="1"/>
    <xf numFmtId="0" fontId="27" fillId="64" borderId="0" xfId="0" applyFont="1" applyFill="1" applyBorder="1" applyAlignment="1">
      <alignment horizontal="center"/>
    </xf>
    <xf numFmtId="0" fontId="27" fillId="65" borderId="0" xfId="0" applyFont="1" applyFill="1" applyBorder="1" applyAlignment="1">
      <alignment horizontal="center"/>
    </xf>
    <xf numFmtId="0" fontId="0" fillId="9" borderId="0" xfId="0" applyFill="1" applyBorder="1" applyAlignment="1"/>
    <xf numFmtId="0" fontId="0" fillId="66" borderId="0" xfId="0" applyFill="1" applyBorder="1" applyAlignment="1"/>
    <xf numFmtId="0" fontId="0" fillId="67" borderId="0" xfId="0" applyFill="1" applyBorder="1" applyAlignment="1"/>
    <xf numFmtId="0" fontId="27" fillId="39" borderId="0" xfId="0" applyFont="1" applyFill="1" applyBorder="1" applyAlignment="1">
      <alignment horizontal="center"/>
    </xf>
    <xf numFmtId="0" fontId="93" fillId="0" borderId="0" xfId="0" applyFont="1" applyBorder="1" applyAlignment="1">
      <alignment vertical="center"/>
    </xf>
    <xf numFmtId="0" fontId="93" fillId="0" borderId="0" xfId="0" applyFont="1" applyBorder="1" applyAlignment="1">
      <alignment horizontal="center"/>
    </xf>
    <xf numFmtId="0" fontId="27" fillId="68" borderId="0" xfId="0" applyFont="1" applyFill="1" applyBorder="1" applyAlignment="1">
      <alignment horizontal="center"/>
    </xf>
    <xf numFmtId="0" fontId="0" fillId="69" borderId="0" xfId="0" applyFill="1" applyBorder="1" applyAlignment="1">
      <alignment horizontal="center"/>
    </xf>
    <xf numFmtId="0" fontId="0" fillId="70" borderId="0" xfId="0" applyFill="1" applyBorder="1" applyAlignment="1">
      <alignment horizontal="center"/>
    </xf>
    <xf numFmtId="0" fontId="0" fillId="11" borderId="0" xfId="0" applyFill="1" applyBorder="1" applyAlignment="1">
      <alignment horizontal="center"/>
    </xf>
    <xf numFmtId="0" fontId="0" fillId="3" borderId="0" xfId="0" applyFill="1" applyBorder="1" applyAlignment="1"/>
    <xf numFmtId="0" fontId="0" fillId="71" borderId="0" xfId="0" applyFill="1" applyBorder="1" applyAlignment="1">
      <alignment vertical="center"/>
    </xf>
    <xf numFmtId="0" fontId="0" fillId="47" borderId="0" xfId="0" applyFill="1" applyBorder="1" applyAlignment="1"/>
    <xf numFmtId="0" fontId="54" fillId="47" borderId="0" xfId="0" applyFont="1" applyFill="1" applyBorder="1" applyAlignment="1"/>
    <xf numFmtId="0" fontId="54" fillId="47" borderId="0" xfId="0" applyFont="1" applyFill="1" applyBorder="1" applyAlignment="1">
      <alignment vertical="center"/>
    </xf>
    <xf numFmtId="0" fontId="27" fillId="72" borderId="0" xfId="0" applyFont="1" applyFill="1" applyBorder="1" applyAlignment="1">
      <alignment horizontal="center"/>
    </xf>
    <xf numFmtId="0" fontId="0" fillId="72" borderId="0" xfId="0" applyFill="1" applyBorder="1" applyAlignment="1"/>
    <xf numFmtId="0" fontId="0" fillId="72" borderId="0" xfId="0" applyFill="1" applyBorder="1" applyAlignment="1">
      <alignment vertical="center"/>
    </xf>
    <xf numFmtId="0" fontId="0" fillId="41" borderId="0" xfId="0" applyFill="1" applyBorder="1" applyAlignment="1">
      <alignment vertical="center"/>
    </xf>
    <xf numFmtId="0" fontId="30" fillId="56" borderId="0" xfId="0" applyFont="1" applyFill="1" applyBorder="1" applyAlignment="1"/>
    <xf numFmtId="0" fontId="0" fillId="54" borderId="0" xfId="0" applyFill="1" applyBorder="1" applyAlignment="1"/>
    <xf numFmtId="0" fontId="0" fillId="54" borderId="0" xfId="0" applyFill="1" applyBorder="1" applyAlignment="1">
      <alignment vertical="center"/>
    </xf>
    <xf numFmtId="0" fontId="0" fillId="4" borderId="0" xfId="0" applyFill="1" applyBorder="1" applyAlignment="1">
      <alignment vertical="center"/>
    </xf>
    <xf numFmtId="0" fontId="0" fillId="41" borderId="0" xfId="0" applyFill="1" applyBorder="1" applyAlignment="1"/>
    <xf numFmtId="0" fontId="27" fillId="0" borderId="0" xfId="0" applyFont="1" applyBorder="1"/>
    <xf numFmtId="16" fontId="25" fillId="0" borderId="0" xfId="87" applyNumberFormat="1" applyBorder="1" applyAlignment="1">
      <alignment horizontal="center"/>
    </xf>
    <xf numFmtId="0" fontId="25" fillId="0" borderId="0" xfId="87" applyBorder="1" applyAlignment="1"/>
    <xf numFmtId="0" fontId="25" fillId="0" borderId="0" xfId="87" applyFill="1" applyBorder="1" applyAlignment="1">
      <alignment wrapText="1"/>
    </xf>
    <xf numFmtId="0" fontId="25" fillId="35" borderId="0" xfId="87" applyFill="1" applyBorder="1" applyAlignment="1"/>
    <xf numFmtId="0" fontId="27" fillId="0" borderId="0" xfId="87" applyFont="1" applyBorder="1" applyAlignment="1">
      <alignment horizontal="center"/>
    </xf>
    <xf numFmtId="0" fontId="27" fillId="0" borderId="0" xfId="87" applyFont="1" applyFill="1" applyBorder="1" applyAlignment="1">
      <alignment vertical="center"/>
    </xf>
    <xf numFmtId="0" fontId="27" fillId="0" borderId="0" xfId="87" applyFont="1" applyFill="1" applyBorder="1" applyAlignment="1"/>
    <xf numFmtId="0" fontId="25" fillId="0" borderId="0" xfId="87" applyBorder="1" applyAlignment="1">
      <alignment vertical="center"/>
    </xf>
    <xf numFmtId="0" fontId="25" fillId="0" borderId="0" xfId="87" quotePrefix="1" applyFont="1" applyFill="1" applyBorder="1"/>
    <xf numFmtId="0" fontId="54" fillId="52" borderId="0" xfId="0" applyFont="1" applyFill="1" applyBorder="1" applyAlignment="1">
      <alignment horizontal="center" vertical="top"/>
    </xf>
    <xf numFmtId="0" fontId="54" fillId="52" borderId="0" xfId="0" applyFont="1" applyFill="1" applyBorder="1" applyAlignment="1">
      <alignment horizontal="center"/>
    </xf>
    <xf numFmtId="0" fontId="5" fillId="0" borderId="0" xfId="0" applyFont="1" applyBorder="1" applyAlignment="1"/>
    <xf numFmtId="0" fontId="0" fillId="38" borderId="0" xfId="0" applyFill="1" applyBorder="1" applyAlignment="1">
      <alignment vertical="center"/>
    </xf>
    <xf numFmtId="0" fontId="0" fillId="38" borderId="0" xfId="0" applyFill="1" applyBorder="1" applyAlignment="1"/>
    <xf numFmtId="0" fontId="0" fillId="0" borderId="0" xfId="0" applyBorder="1" applyAlignment="1">
      <alignment wrapText="1"/>
    </xf>
    <xf numFmtId="0" fontId="0" fillId="37" borderId="0" xfId="0" applyFill="1" applyBorder="1" applyAlignment="1">
      <alignment vertical="center"/>
    </xf>
    <xf numFmtId="0" fontId="30" fillId="8" borderId="0" xfId="0" applyFont="1" applyFill="1" applyBorder="1" applyAlignment="1">
      <alignment horizontal="center"/>
    </xf>
    <xf numFmtId="0" fontId="0" fillId="41" borderId="0" xfId="0" applyFill="1" applyBorder="1" applyAlignment="1">
      <alignment horizontal="center"/>
    </xf>
    <xf numFmtId="0" fontId="0" fillId="4" borderId="0" xfId="0" applyFill="1" applyBorder="1" applyAlignment="1"/>
    <xf numFmtId="0" fontId="94" fillId="4" borderId="0" xfId="0" applyFont="1" applyFill="1" applyBorder="1" applyAlignment="1">
      <alignment vertical="center"/>
    </xf>
    <xf numFmtId="16" fontId="0" fillId="3" borderId="0" xfId="0" applyNumberFormat="1" applyFill="1" applyBorder="1" applyAlignment="1">
      <alignment horizontal="center"/>
    </xf>
    <xf numFmtId="0" fontId="0" fillId="49" borderId="0" xfId="0" applyFill="1" applyBorder="1" applyAlignment="1">
      <alignment horizontal="center"/>
    </xf>
    <xf numFmtId="0" fontId="0" fillId="60" borderId="0" xfId="0" applyFill="1" applyBorder="1" applyAlignment="1">
      <alignment horizontal="center"/>
    </xf>
    <xf numFmtId="0" fontId="0" fillId="55" borderId="0" xfId="0" applyFill="1" applyBorder="1" applyAlignment="1">
      <alignment horizontal="center"/>
    </xf>
    <xf numFmtId="0" fontId="0" fillId="73" borderId="0" xfId="0" applyFill="1" applyBorder="1" applyAlignment="1">
      <alignment horizontal="center"/>
    </xf>
    <xf numFmtId="16" fontId="0" fillId="0" borderId="0" xfId="0" applyNumberFormat="1" applyBorder="1" applyAlignment="1">
      <alignment horizontal="center" wrapText="1"/>
    </xf>
    <xf numFmtId="0" fontId="27" fillId="36" borderId="0" xfId="0" applyFont="1" applyFill="1" applyBorder="1" applyAlignment="1">
      <alignment wrapText="1"/>
    </xf>
    <xf numFmtId="16" fontId="0" fillId="36" borderId="0" xfId="0" applyNumberFormat="1" applyFill="1" applyBorder="1" applyAlignment="1">
      <alignment horizontal="center" wrapText="1"/>
    </xf>
    <xf numFmtId="0" fontId="0" fillId="36" borderId="0" xfId="0" applyFill="1" applyBorder="1" applyAlignment="1">
      <alignment wrapText="1"/>
    </xf>
    <xf numFmtId="0" fontId="0" fillId="66" borderId="0" xfId="0" applyFill="1" applyBorder="1" applyAlignment="1">
      <alignment vertical="center"/>
    </xf>
    <xf numFmtId="0" fontId="0" fillId="25" borderId="0" xfId="0" applyFill="1" applyBorder="1" applyAlignment="1">
      <alignment horizontal="center"/>
    </xf>
    <xf numFmtId="0" fontId="0" fillId="5" borderId="0" xfId="0" applyFill="1" applyBorder="1" applyAlignment="1"/>
    <xf numFmtId="0" fontId="0" fillId="74" borderId="0" xfId="0" applyFill="1" applyBorder="1" applyAlignment="1">
      <alignment vertical="center"/>
    </xf>
    <xf numFmtId="0" fontId="0" fillId="13" borderId="0" xfId="0" applyFill="1" applyBorder="1" applyAlignment="1">
      <alignment vertical="center"/>
    </xf>
    <xf numFmtId="0" fontId="0" fillId="3" borderId="0" xfId="0" applyFill="1" applyBorder="1" applyAlignment="1">
      <alignment vertical="center"/>
    </xf>
    <xf numFmtId="0" fontId="0" fillId="75" borderId="0" xfId="0" applyFill="1" applyBorder="1" applyAlignment="1">
      <alignment horizontal="center"/>
    </xf>
    <xf numFmtId="0" fontId="0" fillId="76" borderId="0" xfId="0" applyFill="1" applyBorder="1" applyAlignment="1">
      <alignment horizontal="center"/>
    </xf>
    <xf numFmtId="0" fontId="32" fillId="0" borderId="0" xfId="0" applyNumberFormat="1" applyFont="1" applyFill="1" applyBorder="1" applyAlignment="1">
      <alignment horizontal="right" vertical="center"/>
    </xf>
    <xf numFmtId="16" fontId="0" fillId="26" borderId="0" xfId="0" applyNumberFormat="1" applyFill="1" applyBorder="1" applyAlignment="1">
      <alignment horizontal="center"/>
    </xf>
    <xf numFmtId="0" fontId="27" fillId="26" borderId="0" xfId="0" applyFont="1" applyFill="1" applyBorder="1" applyAlignment="1">
      <alignment vertical="center"/>
    </xf>
    <xf numFmtId="0" fontId="0" fillId="26" borderId="0" xfId="0" applyFont="1" applyFill="1" applyBorder="1" applyAlignment="1"/>
    <xf numFmtId="0" fontId="0" fillId="26" borderId="0" xfId="0" applyFill="1" applyBorder="1" applyAlignment="1">
      <alignment vertical="center"/>
    </xf>
    <xf numFmtId="0" fontId="0" fillId="26" borderId="0" xfId="0" applyFill="1" applyBorder="1" applyAlignment="1">
      <alignment horizontal="center"/>
    </xf>
    <xf numFmtId="0" fontId="32" fillId="26" borderId="0" xfId="0" applyNumberFormat="1" applyFont="1" applyFill="1" applyBorder="1" applyAlignment="1"/>
    <xf numFmtId="0" fontId="0" fillId="26" borderId="0" xfId="0" applyNumberFormat="1" applyFont="1" applyFill="1" applyBorder="1" applyAlignment="1"/>
    <xf numFmtId="0" fontId="0" fillId="26" borderId="0" xfId="0" applyFont="1" applyFill="1" applyBorder="1"/>
    <xf numFmtId="0" fontId="30" fillId="26" borderId="0" xfId="0" applyNumberFormat="1" applyFont="1" applyFill="1" applyBorder="1" applyAlignment="1"/>
    <xf numFmtId="0" fontId="27" fillId="26" borderId="0" xfId="0" applyFont="1" applyFill="1" applyBorder="1" applyAlignment="1"/>
    <xf numFmtId="0" fontId="0" fillId="26" borderId="0" xfId="0" applyFont="1" applyFill="1" applyBorder="1" applyAlignment="1">
      <alignment vertical="center"/>
    </xf>
    <xf numFmtId="0" fontId="0" fillId="26" borderId="0" xfId="0" quotePrefix="1" applyFont="1" applyFill="1" applyBorder="1"/>
    <xf numFmtId="0" fontId="0" fillId="33" borderId="0" xfId="0" applyFill="1" applyBorder="1" applyAlignment="1">
      <alignment vertical="center"/>
    </xf>
    <xf numFmtId="0" fontId="0" fillId="33" borderId="0" xfId="0" applyFill="1" applyBorder="1" applyAlignment="1"/>
    <xf numFmtId="0" fontId="0" fillId="24" borderId="0" xfId="0" applyFill="1" applyBorder="1" applyAlignment="1">
      <alignment vertical="center"/>
    </xf>
    <xf numFmtId="0" fontId="0" fillId="6" borderId="0" xfId="0" applyFill="1" applyBorder="1" applyAlignment="1">
      <alignment horizontal="center"/>
    </xf>
    <xf numFmtId="0" fontId="0" fillId="77" borderId="0" xfId="0" applyFill="1" applyBorder="1" applyAlignment="1">
      <alignment vertical="center"/>
    </xf>
    <xf numFmtId="16" fontId="0" fillId="52" borderId="0" xfId="0" applyNumberFormat="1" applyFill="1" applyBorder="1" applyAlignment="1">
      <alignment horizontal="center"/>
    </xf>
    <xf numFmtId="0" fontId="27" fillId="52" borderId="0" xfId="0" applyFont="1" applyFill="1" applyBorder="1" applyAlignment="1"/>
    <xf numFmtId="0" fontId="0" fillId="77" borderId="0" xfId="0" applyFill="1" applyBorder="1" applyAlignment="1"/>
    <xf numFmtId="0" fontId="0" fillId="52" borderId="0" xfId="0" applyFill="1" applyBorder="1" applyAlignment="1">
      <alignment horizontal="center"/>
    </xf>
    <xf numFmtId="16" fontId="0" fillId="0" borderId="0" xfId="0" applyNumberFormat="1" applyFont="1" applyBorder="1" applyAlignment="1">
      <alignment horizontal="center" vertical="center"/>
    </xf>
    <xf numFmtId="0" fontId="0" fillId="0" borderId="0" xfId="0" applyFont="1" applyBorder="1" applyAlignment="1">
      <alignment horizontal="center"/>
    </xf>
    <xf numFmtId="0" fontId="0" fillId="66" borderId="0" xfId="0" applyFont="1" applyFill="1" applyBorder="1" applyAlignment="1">
      <alignment vertical="center"/>
    </xf>
    <xf numFmtId="16" fontId="0" fillId="26" borderId="0" xfId="0" applyNumberFormat="1" applyFont="1" applyFill="1" applyBorder="1" applyAlignment="1">
      <alignment horizontal="center" vertical="center"/>
    </xf>
    <xf numFmtId="0" fontId="0" fillId="26" borderId="0" xfId="0" applyFont="1" applyFill="1" applyBorder="1" applyAlignment="1">
      <alignment horizontal="center"/>
    </xf>
    <xf numFmtId="0" fontId="0" fillId="38" borderId="0" xfId="0" applyFont="1" applyFill="1" applyBorder="1" applyAlignment="1">
      <alignment vertical="center"/>
    </xf>
    <xf numFmtId="0" fontId="0" fillId="36" borderId="0" xfId="0" applyFont="1" applyFill="1" applyBorder="1" applyAlignment="1">
      <alignment horizontal="center"/>
    </xf>
    <xf numFmtId="0" fontId="27" fillId="36" borderId="0" xfId="0" applyFont="1" applyFill="1" applyBorder="1" applyAlignment="1"/>
    <xf numFmtId="16" fontId="0" fillId="0" borderId="0" xfId="0" applyNumberFormat="1" applyFont="1" applyBorder="1" applyAlignment="1">
      <alignment horizontal="center" vertical="center" wrapText="1"/>
    </xf>
    <xf numFmtId="0" fontId="30" fillId="31" borderId="0" xfId="0" applyFont="1" applyFill="1" applyBorder="1" applyAlignment="1"/>
    <xf numFmtId="0" fontId="95" fillId="0" borderId="0" xfId="0" applyFont="1" applyBorder="1" applyAlignment="1">
      <alignment horizontal="center" vertical="top" wrapText="1"/>
    </xf>
    <xf numFmtId="0" fontId="93" fillId="0" borderId="0" xfId="0" applyFont="1" applyBorder="1" applyAlignment="1">
      <alignment horizontal="center" vertical="top" wrapText="1"/>
    </xf>
    <xf numFmtId="0" fontId="30" fillId="31" borderId="0" xfId="0" applyFont="1" applyFill="1" applyBorder="1" applyAlignment="1">
      <alignment vertical="center"/>
    </xf>
    <xf numFmtId="0" fontId="0" fillId="26" borderId="0" xfId="0" applyFill="1" applyBorder="1"/>
    <xf numFmtId="0" fontId="30" fillId="26" borderId="0" xfId="0" applyFont="1" applyFill="1" applyBorder="1" applyAlignment="1">
      <alignment vertical="center"/>
    </xf>
    <xf numFmtId="0" fontId="27" fillId="26" borderId="0" xfId="0" applyFont="1" applyFill="1" applyBorder="1" applyAlignment="1">
      <alignment horizontal="center"/>
    </xf>
    <xf numFmtId="16" fontId="0" fillId="0" borderId="0" xfId="0" applyNumberFormat="1" applyBorder="1" applyAlignment="1">
      <alignment horizontal="center" vertical="center"/>
    </xf>
    <xf numFmtId="0" fontId="0" fillId="78" borderId="0" xfId="0" applyFill="1" applyBorder="1" applyAlignment="1">
      <alignment vertical="center"/>
    </xf>
    <xf numFmtId="0" fontId="0" fillId="78" borderId="0" xfId="0" applyFill="1" applyBorder="1" applyAlignment="1"/>
    <xf numFmtId="0" fontId="0" fillId="18" borderId="0" xfId="0" applyFill="1" applyBorder="1" applyAlignment="1">
      <alignment horizontal="center"/>
    </xf>
    <xf numFmtId="16" fontId="0" fillId="0" borderId="0" xfId="0" applyNumberFormat="1" applyFill="1" applyBorder="1" applyAlignment="1">
      <alignment horizontal="center" vertical="center"/>
    </xf>
    <xf numFmtId="0" fontId="96" fillId="0" borderId="0" xfId="19" applyNumberFormat="1" applyFont="1" applyBorder="1" applyAlignment="1">
      <alignment horizontal="right" vertical="center"/>
    </xf>
    <xf numFmtId="0" fontId="96" fillId="0" borderId="0" xfId="9" applyNumberFormat="1" applyFont="1" applyBorder="1" applyAlignment="1">
      <alignment horizontal="right"/>
    </xf>
    <xf numFmtId="0" fontId="97" fillId="0" borderId="0" xfId="9" applyNumberFormat="1" applyFont="1" applyBorder="1" applyAlignment="1">
      <alignment horizontal="right" vertical="center"/>
    </xf>
    <xf numFmtId="0" fontId="98" fillId="0" borderId="0" xfId="19" applyNumberFormat="1" applyFont="1" applyBorder="1" applyAlignment="1">
      <alignment horizontal="right" vertical="center"/>
    </xf>
    <xf numFmtId="0" fontId="98" fillId="0" borderId="0" xfId="9" applyNumberFormat="1" applyFont="1" applyBorder="1" applyAlignment="1">
      <alignment horizontal="right"/>
    </xf>
    <xf numFmtId="0" fontId="96" fillId="0" borderId="0" xfId="9" applyNumberFormat="1" applyFont="1" applyBorder="1" applyAlignment="1">
      <alignment horizontal="right" vertical="center"/>
    </xf>
    <xf numFmtId="0" fontId="96" fillId="0" borderId="0" xfId="19" applyNumberFormat="1" applyFont="1" applyFill="1" applyBorder="1" applyAlignment="1">
      <alignment horizontal="right" vertical="center"/>
    </xf>
    <xf numFmtId="0" fontId="96" fillId="0" borderId="0" xfId="9" applyNumberFormat="1" applyFont="1" applyFill="1" applyBorder="1" applyAlignment="1">
      <alignment horizontal="right" wrapText="1"/>
    </xf>
    <xf numFmtId="0" fontId="96" fillId="0" borderId="0" xfId="9" applyNumberFormat="1" applyFont="1" applyFill="1" applyBorder="1" applyAlignment="1">
      <alignment horizontal="right"/>
    </xf>
    <xf numFmtId="0" fontId="96" fillId="0" borderId="0" xfId="9" applyNumberFormat="1" applyFont="1" applyFill="1" applyBorder="1" applyAlignment="1">
      <alignment horizontal="right" vertical="center"/>
    </xf>
    <xf numFmtId="0" fontId="96" fillId="0" borderId="0" xfId="19" applyNumberFormat="1" applyFont="1" applyFill="1" applyBorder="1" applyAlignment="1">
      <alignment horizontal="right"/>
    </xf>
    <xf numFmtId="0" fontId="96" fillId="0" borderId="0" xfId="9" applyNumberFormat="1" applyFont="1" applyBorder="1" applyAlignment="1">
      <alignment horizontal="right" wrapText="1"/>
    </xf>
    <xf numFmtId="0" fontId="96" fillId="0" borderId="0" xfId="9" applyNumberFormat="1" applyFont="1" applyBorder="1" applyAlignment="1">
      <alignment horizontal="right" vertical="center" wrapText="1"/>
    </xf>
    <xf numFmtId="0" fontId="96" fillId="3" borderId="0" xfId="19" applyNumberFormat="1" applyFont="1" applyFill="1" applyBorder="1" applyAlignment="1">
      <alignment horizontal="right" vertical="center"/>
    </xf>
    <xf numFmtId="0" fontId="96" fillId="0" borderId="0" xfId="19" applyNumberFormat="1" applyFont="1" applyBorder="1" applyAlignment="1">
      <alignment horizontal="right"/>
    </xf>
    <xf numFmtId="0" fontId="98" fillId="0" borderId="0" xfId="19" applyNumberFormat="1" applyFont="1" applyBorder="1" applyAlignment="1">
      <alignment horizontal="right"/>
    </xf>
    <xf numFmtId="0" fontId="98" fillId="0" borderId="0" xfId="9" applyNumberFormat="1" applyFont="1" applyBorder="1" applyAlignment="1">
      <alignment horizontal="right" vertical="center"/>
    </xf>
    <xf numFmtId="0" fontId="97" fillId="0" borderId="0" xfId="9" applyNumberFormat="1" applyFont="1" applyFill="1" applyBorder="1" applyAlignment="1">
      <alignment horizontal="right" vertical="center"/>
    </xf>
    <xf numFmtId="0" fontId="97" fillId="0" borderId="0" xfId="9" applyNumberFormat="1" applyFont="1" applyBorder="1" applyAlignment="1">
      <alignment horizontal="right"/>
    </xf>
    <xf numFmtId="0" fontId="99" fillId="31" borderId="0" xfId="0" applyFont="1" applyFill="1" applyBorder="1" applyAlignment="1"/>
    <xf numFmtId="0" fontId="99" fillId="31" borderId="0" xfId="0" applyFont="1" applyFill="1" applyBorder="1" applyAlignment="1">
      <alignment vertical="center"/>
    </xf>
    <xf numFmtId="0" fontId="96" fillId="3" borderId="0" xfId="9" applyNumberFormat="1" applyFont="1" applyFill="1" applyBorder="1" applyAlignment="1">
      <alignment horizontal="right" wrapText="1"/>
    </xf>
    <xf numFmtId="0" fontId="96" fillId="27" borderId="0" xfId="19" applyNumberFormat="1" applyFont="1" applyFill="1" applyBorder="1" applyAlignment="1">
      <alignment horizontal="right" vertical="center"/>
    </xf>
    <xf numFmtId="0" fontId="97" fillId="27" borderId="0" xfId="9" applyNumberFormat="1" applyFont="1" applyFill="1" applyBorder="1" applyAlignment="1">
      <alignment horizontal="right" vertical="center"/>
    </xf>
    <xf numFmtId="0" fontId="4" fillId="0" borderId="0" xfId="0" applyFont="1" applyBorder="1" applyAlignment="1"/>
    <xf numFmtId="16" fontId="0" fillId="0" borderId="0" xfId="0" applyNumberFormat="1" applyBorder="1" applyAlignment="1">
      <alignment horizontal="center" vertical="center" wrapText="1"/>
    </xf>
    <xf numFmtId="0" fontId="0" fillId="37" borderId="0" xfId="0" applyFill="1" applyBorder="1" applyAlignment="1">
      <alignment horizontal="center" wrapText="1"/>
    </xf>
    <xf numFmtId="0" fontId="0" fillId="0" borderId="0" xfId="0" applyBorder="1" applyAlignment="1">
      <alignment horizontal="center" wrapText="1"/>
    </xf>
    <xf numFmtId="0" fontId="100" fillId="0" borderId="0" xfId="0" applyFont="1" applyBorder="1" applyAlignment="1"/>
    <xf numFmtId="0" fontId="0" fillId="29" borderId="0" xfId="0" applyFill="1" applyBorder="1" applyAlignment="1">
      <alignment horizontal="center"/>
    </xf>
    <xf numFmtId="0" fontId="41" fillId="3" borderId="0" xfId="0" applyFont="1" applyFill="1" applyBorder="1" applyAlignment="1">
      <alignment vertical="center"/>
    </xf>
    <xf numFmtId="16" fontId="0" fillId="36" borderId="0" xfId="0" applyNumberFormat="1" applyFill="1" applyBorder="1" applyAlignment="1">
      <alignment horizontal="center" vertical="center"/>
    </xf>
    <xf numFmtId="0" fontId="0" fillId="36" borderId="0" xfId="0" applyFill="1" applyBorder="1" applyAlignment="1">
      <alignment horizontal="center"/>
    </xf>
    <xf numFmtId="0" fontId="0" fillId="0" borderId="0" xfId="0" applyBorder="1" applyAlignment="1">
      <alignment horizontal="center" vertical="center"/>
    </xf>
    <xf numFmtId="0" fontId="25" fillId="0" borderId="0" xfId="9" applyNumberFormat="1" applyFill="1" applyBorder="1" applyAlignment="1"/>
    <xf numFmtId="0" fontId="25" fillId="0" borderId="0" xfId="9" applyNumberFormat="1" applyFill="1" applyBorder="1" applyAlignment="1">
      <alignment vertical="center"/>
    </xf>
    <xf numFmtId="0" fontId="93" fillId="6" borderId="0" xfId="0" applyFont="1" applyFill="1" applyBorder="1" applyAlignment="1"/>
    <xf numFmtId="0" fontId="101" fillId="0" borderId="0" xfId="0" applyFont="1" applyBorder="1" applyAlignment="1">
      <alignment vertical="center"/>
    </xf>
    <xf numFmtId="0" fontId="101" fillId="0" borderId="0" xfId="0" applyFont="1" applyBorder="1" applyAlignment="1">
      <alignment horizontal="center"/>
    </xf>
    <xf numFmtId="0" fontId="0" fillId="34" borderId="0" xfId="0" applyFill="1" applyBorder="1" applyAlignment="1">
      <alignment horizontal="center"/>
    </xf>
    <xf numFmtId="0" fontId="0" fillId="9" borderId="0" xfId="0" applyFont="1" applyFill="1" applyBorder="1" applyAlignment="1"/>
    <xf numFmtId="0" fontId="0" fillId="9" borderId="0" xfId="0" applyFill="1" applyBorder="1" applyAlignment="1">
      <alignment horizontal="center"/>
    </xf>
    <xf numFmtId="0" fontId="0" fillId="9" borderId="0" xfId="0" applyFont="1" applyFill="1" applyBorder="1"/>
    <xf numFmtId="0" fontId="0" fillId="55" borderId="0" xfId="0" applyFill="1" applyBorder="1" applyAlignment="1">
      <alignment vertical="center"/>
    </xf>
    <xf numFmtId="0" fontId="0" fillId="9" borderId="0" xfId="0" applyFont="1" applyFill="1" applyBorder="1" applyAlignment="1">
      <alignment vertical="center"/>
    </xf>
    <xf numFmtId="0" fontId="0" fillId="21" borderId="0" xfId="0" applyFill="1" applyBorder="1" applyAlignment="1">
      <alignment vertical="center"/>
    </xf>
    <xf numFmtId="0" fontId="0" fillId="21" borderId="0" xfId="0" applyFill="1" applyBorder="1" applyAlignment="1"/>
    <xf numFmtId="0" fontId="0" fillId="8" borderId="0" xfId="0" applyFill="1" applyBorder="1" applyAlignment="1">
      <alignment horizontal="center"/>
    </xf>
    <xf numFmtId="0" fontId="0" fillId="0" borderId="0" xfId="88" applyNumberFormat="1" applyFont="1"/>
    <xf numFmtId="0" fontId="0" fillId="0" borderId="6" xfId="88" applyNumberFormat="1" applyFont="1" applyBorder="1"/>
    <xf numFmtId="0" fontId="0" fillId="0" borderId="0" xfId="88" applyNumberFormat="1" applyFont="1" applyFill="1" applyBorder="1"/>
    <xf numFmtId="0" fontId="0" fillId="17" borderId="0" xfId="0" applyFill="1" applyBorder="1" applyAlignment="1">
      <alignment horizontal="center"/>
    </xf>
    <xf numFmtId="0" fontId="0" fillId="3" borderId="0" xfId="0" applyFill="1" applyBorder="1" applyAlignment="1">
      <alignment horizontal="center"/>
    </xf>
    <xf numFmtId="0" fontId="0" fillId="70" borderId="0" xfId="0" applyFill="1" applyBorder="1" applyAlignment="1"/>
    <xf numFmtId="0" fontId="0" fillId="70" borderId="0" xfId="0" applyFill="1" applyBorder="1" applyAlignment="1">
      <alignment vertical="center"/>
    </xf>
    <xf numFmtId="16" fontId="25" fillId="0" borderId="0" xfId="9" applyNumberFormat="1" applyBorder="1" applyAlignment="1">
      <alignment horizontal="center" vertical="center"/>
    </xf>
    <xf numFmtId="0" fontId="25" fillId="0" borderId="0" xfId="9" applyBorder="1" applyAlignment="1"/>
    <xf numFmtId="0" fontId="27" fillId="0" borderId="0" xfId="9" applyFont="1" applyBorder="1" applyAlignment="1"/>
    <xf numFmtId="0" fontId="25" fillId="0" borderId="0" xfId="9" applyFill="1" applyBorder="1" applyAlignment="1"/>
    <xf numFmtId="0" fontId="25" fillId="0" borderId="0" xfId="9" quotePrefix="1" applyFont="1" applyFill="1" applyBorder="1" applyAlignment="1"/>
    <xf numFmtId="0" fontId="25" fillId="0" borderId="0" xfId="9" applyBorder="1" applyAlignment="1">
      <alignment vertical="center"/>
    </xf>
    <xf numFmtId="0" fontId="25" fillId="0" borderId="0" xfId="9" applyBorder="1" applyAlignment="1">
      <alignment horizontal="center"/>
    </xf>
    <xf numFmtId="0" fontId="25" fillId="0" borderId="0" xfId="9" applyFont="1" applyFill="1" applyBorder="1" applyAlignment="1"/>
    <xf numFmtId="0" fontId="27" fillId="0" borderId="0" xfId="9" applyFont="1" applyFill="1" applyBorder="1" applyAlignment="1"/>
    <xf numFmtId="16" fontId="25" fillId="3" borderId="0" xfId="9" applyNumberFormat="1" applyFill="1" applyBorder="1" applyAlignment="1">
      <alignment horizontal="center"/>
    </xf>
    <xf numFmtId="0" fontId="27" fillId="0" borderId="0" xfId="9" applyFont="1" applyBorder="1" applyAlignment="1">
      <alignment vertical="center"/>
    </xf>
    <xf numFmtId="0" fontId="27" fillId="0" borderId="0" xfId="9" applyFont="1" applyFill="1" applyBorder="1" applyAlignment="1">
      <alignment vertical="center"/>
    </xf>
    <xf numFmtId="0" fontId="25" fillId="0" borderId="0" xfId="9" applyFill="1" applyBorder="1" applyAlignment="1">
      <alignment horizontal="center"/>
    </xf>
    <xf numFmtId="0" fontId="25" fillId="64" borderId="0" xfId="9" applyFill="1" applyBorder="1" applyAlignment="1"/>
    <xf numFmtId="0" fontId="25" fillId="64" borderId="0" xfId="9" applyFill="1" applyBorder="1" applyAlignment="1">
      <alignment vertical="center"/>
    </xf>
    <xf numFmtId="0" fontId="25" fillId="0" borderId="0" xfId="9" applyNumberFormat="1" applyFill="1" applyBorder="1" applyAlignment="1">
      <alignment horizontal="center"/>
    </xf>
    <xf numFmtId="0" fontId="25" fillId="0" borderId="0" xfId="9" applyNumberFormat="1" applyFont="1" applyFill="1" applyBorder="1" applyAlignment="1"/>
    <xf numFmtId="0" fontId="29" fillId="0" borderId="0" xfId="9" quotePrefix="1" applyNumberFormat="1" applyFont="1" applyFill="1" applyBorder="1" applyAlignment="1"/>
    <xf numFmtId="0" fontId="25" fillId="0" borderId="0" xfId="9" applyBorder="1" applyAlignment="1">
      <alignment horizontal="center" vertical="center"/>
    </xf>
    <xf numFmtId="0" fontId="30" fillId="0" borderId="0" xfId="9" quotePrefix="1" applyNumberFormat="1" applyFont="1" applyFill="1" applyBorder="1" applyAlignment="1"/>
    <xf numFmtId="0" fontId="29" fillId="0" borderId="0" xfId="9" applyNumberFormat="1" applyFont="1" applyFill="1" applyBorder="1" applyAlignment="1"/>
    <xf numFmtId="0" fontId="30" fillId="0" borderId="0" xfId="9" applyNumberFormat="1" applyFont="1" applyFill="1" applyBorder="1" applyAlignment="1"/>
    <xf numFmtId="0" fontId="41" fillId="0" borderId="0" xfId="9" applyNumberFormat="1" applyFont="1" applyFill="1" applyBorder="1" applyAlignment="1"/>
    <xf numFmtId="0" fontId="41" fillId="0" borderId="0" xfId="9" quotePrefix="1" applyNumberFormat="1" applyFont="1" applyFill="1" applyBorder="1" applyAlignment="1"/>
    <xf numFmtId="0" fontId="25" fillId="6" borderId="0" xfId="9" applyFill="1" applyBorder="1" applyAlignment="1"/>
    <xf numFmtId="0" fontId="25" fillId="0" borderId="0" xfId="9" applyNumberFormat="1" applyBorder="1" applyAlignment="1">
      <alignment vertical="center"/>
    </xf>
    <xf numFmtId="0" fontId="25" fillId="6" borderId="0" xfId="9" applyFill="1" applyBorder="1" applyAlignment="1">
      <alignment vertical="center"/>
    </xf>
    <xf numFmtId="0" fontId="30" fillId="0" borderId="0" xfId="9" applyFont="1" applyFill="1" applyBorder="1" applyAlignment="1"/>
    <xf numFmtId="0" fontId="30" fillId="0" borderId="0" xfId="9" applyFont="1" applyFill="1" applyBorder="1" applyAlignment="1">
      <alignment vertical="center"/>
    </xf>
    <xf numFmtId="0" fontId="25" fillId="0" borderId="0" xfId="9" applyNumberFormat="1" applyFont="1" applyFill="1" applyBorder="1" applyAlignment="1">
      <alignment horizontal="right" vertical="center"/>
    </xf>
    <xf numFmtId="0" fontId="93" fillId="6" borderId="0" xfId="9" applyFont="1" applyFill="1" applyBorder="1" applyAlignment="1">
      <alignment vertical="center"/>
    </xf>
    <xf numFmtId="0" fontId="25" fillId="4" borderId="0" xfId="9" applyFill="1" applyBorder="1" applyAlignment="1">
      <alignment vertical="center"/>
    </xf>
    <xf numFmtId="0" fontId="25" fillId="55" borderId="0" xfId="9" applyFill="1" applyBorder="1" applyAlignment="1">
      <alignment horizontal="center"/>
    </xf>
    <xf numFmtId="0" fontId="25" fillId="29" borderId="0" xfId="9" applyFill="1" applyBorder="1" applyAlignment="1">
      <alignment vertical="center"/>
    </xf>
    <xf numFmtId="0" fontId="27" fillId="36" borderId="0" xfId="0" applyFont="1" applyFill="1" applyBorder="1" applyAlignment="1">
      <alignment vertical="center"/>
    </xf>
    <xf numFmtId="0" fontId="0" fillId="55" borderId="0" xfId="0" applyFill="1" applyBorder="1" applyAlignment="1"/>
    <xf numFmtId="14" fontId="0" fillId="0" borderId="0" xfId="0" applyNumberFormat="1" applyBorder="1" applyAlignment="1">
      <alignment horizontal="center" vertical="center"/>
    </xf>
    <xf numFmtId="14" fontId="0" fillId="0" borderId="0" xfId="0" applyNumberFormat="1" applyBorder="1" applyAlignment="1">
      <alignment vertical="center"/>
    </xf>
    <xf numFmtId="14" fontId="28" fillId="0" borderId="0" xfId="0" applyNumberFormat="1" applyFont="1" applyBorder="1" applyAlignment="1">
      <alignment horizontal="center"/>
    </xf>
    <xf numFmtId="14" fontId="30" fillId="0" borderId="0" xfId="12" applyNumberFormat="1" applyFont="1" applyBorder="1" applyAlignment="1">
      <alignment horizontal="center"/>
    </xf>
    <xf numFmtId="0" fontId="3" fillId="0" borderId="0" xfId="0" applyFont="1" applyFill="1" applyBorder="1" applyAlignment="1">
      <alignment wrapText="1"/>
    </xf>
    <xf numFmtId="0" fontId="2" fillId="0" borderId="0" xfId="0" applyFont="1" applyFill="1" applyBorder="1" applyAlignment="1">
      <alignment wrapText="1"/>
    </xf>
    <xf numFmtId="0" fontId="2" fillId="0" borderId="0" xfId="0" applyFont="1" applyFill="1" applyBorder="1"/>
    <xf numFmtId="0" fontId="2" fillId="0" borderId="0" xfId="0" applyFont="1" applyBorder="1" applyAlignment="1"/>
    <xf numFmtId="0" fontId="2" fillId="0" borderId="0" xfId="0" applyFont="1" applyBorder="1" applyAlignment="1">
      <alignment wrapText="1"/>
    </xf>
    <xf numFmtId="0" fontId="1" fillId="0" borderId="0" xfId="0" applyFont="1" applyFill="1" applyBorder="1" applyAlignment="1">
      <alignment wrapText="1"/>
    </xf>
    <xf numFmtId="0" fontId="1" fillId="0" borderId="0" xfId="12" applyNumberFormat="1" applyFont="1" applyFill="1" applyBorder="1" applyAlignment="1"/>
    <xf numFmtId="0" fontId="1" fillId="0" borderId="0" xfId="12" applyNumberFormat="1" applyFont="1" applyFill="1" applyBorder="1" applyAlignment="1">
      <alignment wrapText="1"/>
    </xf>
    <xf numFmtId="0" fontId="1" fillId="0" borderId="0" xfId="0" applyNumberFormat="1" applyFont="1" applyFill="1" applyBorder="1" applyAlignment="1">
      <alignment wrapText="1"/>
    </xf>
    <xf numFmtId="0" fontId="91" fillId="0" borderId="0" xfId="0" applyFont="1" applyFill="1" applyBorder="1" applyAlignment="1">
      <alignment wrapText="1"/>
    </xf>
  </cellXfs>
  <cellStyles count="89">
    <cellStyle name="Comma" xfId="88" builtinId="3"/>
    <cellStyle name="Comma [0] 2" xfId="58" xr:uid="{00000000-0005-0000-0000-000001000000}"/>
    <cellStyle name="Comma [0] 3" xfId="83" xr:uid="{00000000-0005-0000-0000-000002000000}"/>
    <cellStyle name="Comma 2" xfId="27" xr:uid="{00000000-0005-0000-0000-000003000000}"/>
    <cellStyle name="Comma 3" xfId="66" xr:uid="{00000000-0005-0000-0000-000004000000}"/>
    <cellStyle name="Comma 4" xfId="84" xr:uid="{00000000-0005-0000-0000-000005000000}"/>
    <cellStyle name="Currency [0] 2" xfId="2" xr:uid="{00000000-0005-0000-0000-000006000000}"/>
    <cellStyle name="Currency [0] 2 2" xfId="25" xr:uid="{00000000-0005-0000-0000-000007000000}"/>
    <cellStyle name="Currency [0] 2 2 2" xfId="51" xr:uid="{00000000-0005-0000-0000-000008000000}"/>
    <cellStyle name="Currency [0] 2 2 3" xfId="33" xr:uid="{00000000-0005-0000-0000-000009000000}"/>
    <cellStyle name="Currency [0] 2 2 3 2" xfId="71" xr:uid="{00000000-0005-0000-0000-00000A000000}"/>
    <cellStyle name="Currency [0] 2 3" xfId="19" xr:uid="{00000000-0005-0000-0000-00000B000000}"/>
    <cellStyle name="Currency [0] 2 3 2" xfId="48" xr:uid="{00000000-0005-0000-0000-00000C000000}"/>
    <cellStyle name="Currency [0] 2 3 3" xfId="36" xr:uid="{00000000-0005-0000-0000-00000D000000}"/>
    <cellStyle name="Currency [0] 2 3 3 2" xfId="74" xr:uid="{00000000-0005-0000-0000-00000E000000}"/>
    <cellStyle name="Currency [0] 2 4" xfId="15" xr:uid="{00000000-0005-0000-0000-00000F000000}"/>
    <cellStyle name="Currency [0] 2 4 2" xfId="45" xr:uid="{00000000-0005-0000-0000-000010000000}"/>
    <cellStyle name="Currency [0] 2 5" xfId="49" xr:uid="{00000000-0005-0000-0000-000011000000}"/>
    <cellStyle name="Currency [0] 2 5 2" xfId="81" xr:uid="{00000000-0005-0000-0000-000012000000}"/>
    <cellStyle name="Currency [0] 2 6" xfId="38" xr:uid="{00000000-0005-0000-0000-000013000000}"/>
    <cellStyle name="Currency [0] 2 6 2" xfId="76" xr:uid="{00000000-0005-0000-0000-000014000000}"/>
    <cellStyle name="Currency [0] 2 7" xfId="13" xr:uid="{00000000-0005-0000-0000-000015000000}"/>
    <cellStyle name="Currency [0] 2 8" xfId="59" xr:uid="{00000000-0005-0000-0000-000016000000}"/>
    <cellStyle name="Currency [0] 3" xfId="14" xr:uid="{00000000-0005-0000-0000-000017000000}"/>
    <cellStyle name="Currency [0] 3 2" xfId="57" xr:uid="{00000000-0005-0000-0000-000018000000}"/>
    <cellStyle name="Currency [0] 3 3" xfId="39" xr:uid="{00000000-0005-0000-0000-000019000000}"/>
    <cellStyle name="Currency [0] 3 3 2" xfId="77" xr:uid="{00000000-0005-0000-0000-00001A000000}"/>
    <cellStyle name="Currency [0] 4" xfId="20" xr:uid="{00000000-0005-0000-0000-00001B000000}"/>
    <cellStyle name="Currency [0] 4 2" xfId="56" xr:uid="{00000000-0005-0000-0000-00001C000000}"/>
    <cellStyle name="Currency [0] 4 2 2" xfId="82" xr:uid="{00000000-0005-0000-0000-00001D000000}"/>
    <cellStyle name="Currency [0] 4 3" xfId="34" xr:uid="{00000000-0005-0000-0000-00001E000000}"/>
    <cellStyle name="Currency [0] 4 3 2" xfId="72" xr:uid="{00000000-0005-0000-0000-00001F000000}"/>
    <cellStyle name="Currency [0] 4 4" xfId="61" xr:uid="{00000000-0005-0000-0000-000020000000}"/>
    <cellStyle name="Currency [0] 5" xfId="40" xr:uid="{00000000-0005-0000-0000-000021000000}"/>
    <cellStyle name="Currency [0] 5 2" xfId="78" xr:uid="{00000000-0005-0000-0000-000022000000}"/>
    <cellStyle name="Currency [0] 6" xfId="44" xr:uid="{00000000-0005-0000-0000-000023000000}"/>
    <cellStyle name="Currency [0] 7" xfId="30" xr:uid="{00000000-0005-0000-0000-000024000000}"/>
    <cellStyle name="Currency [0] 7 2" xfId="68" xr:uid="{00000000-0005-0000-0000-000025000000}"/>
    <cellStyle name="Hyperlink" xfId="4" builtinId="8"/>
    <cellStyle name="Hyperlink 2" xfId="17" xr:uid="{00000000-0005-0000-0000-000027000000}"/>
    <cellStyle name="Hyperlink 2 2" xfId="55" xr:uid="{00000000-0005-0000-0000-000028000000}"/>
    <cellStyle name="Hyperlink 3" xfId="46" xr:uid="{00000000-0005-0000-0000-000029000000}"/>
    <cellStyle name="Hyperlink 4" xfId="53" xr:uid="{00000000-0005-0000-0000-00002A000000}"/>
    <cellStyle name="Normal" xfId="0" builtinId="0"/>
    <cellStyle name="Normal 10" xfId="12" xr:uid="{00000000-0005-0000-0000-00002C000000}"/>
    <cellStyle name="Normal 11" xfId="85" xr:uid="{00000000-0005-0000-0000-00002D000000}"/>
    <cellStyle name="Normal 12" xfId="9" xr:uid="{00000000-0005-0000-0000-00002E000000}"/>
    <cellStyle name="Normal 13" xfId="86" xr:uid="{00000000-0005-0000-0000-00002F000000}"/>
    <cellStyle name="Normal 14" xfId="87" xr:uid="{00000000-0005-0000-0000-000030000000}"/>
    <cellStyle name="Normal 16" xfId="10" xr:uid="{00000000-0005-0000-0000-000031000000}"/>
    <cellStyle name="Normal 17" xfId="11" xr:uid="{00000000-0005-0000-0000-000032000000}"/>
    <cellStyle name="Normal 18" xfId="21" xr:uid="{00000000-0005-0000-0000-000033000000}"/>
    <cellStyle name="Normal 18 2" xfId="62" xr:uid="{00000000-0005-0000-0000-000034000000}"/>
    <cellStyle name="Normal 2" xfId="1" xr:uid="{00000000-0005-0000-0000-000035000000}"/>
    <cellStyle name="Normal 2 2" xfId="3" xr:uid="{00000000-0005-0000-0000-000036000000}"/>
    <cellStyle name="Normal 2 2 2" xfId="8" xr:uid="{00000000-0005-0000-0000-000037000000}"/>
    <cellStyle name="Normal 2 2 3" xfId="41" xr:uid="{00000000-0005-0000-0000-000038000000}"/>
    <cellStyle name="Normal 2 2 3 2" xfId="79" xr:uid="{00000000-0005-0000-0000-000039000000}"/>
    <cellStyle name="Normal 2 3" xfId="42" xr:uid="{00000000-0005-0000-0000-00003A000000}"/>
    <cellStyle name="Normal 2 3 2" xfId="80" xr:uid="{00000000-0005-0000-0000-00003B000000}"/>
    <cellStyle name="Normal 2 4" xfId="47" xr:uid="{00000000-0005-0000-0000-00003C000000}"/>
    <cellStyle name="Normal 2 5" xfId="35" xr:uid="{00000000-0005-0000-0000-00003D000000}"/>
    <cellStyle name="Normal 2 5 2" xfId="73" xr:uid="{00000000-0005-0000-0000-00003E000000}"/>
    <cellStyle name="Normal 20" xfId="22" xr:uid="{00000000-0005-0000-0000-00003F000000}"/>
    <cellStyle name="Normal 20 2" xfId="63" xr:uid="{00000000-0005-0000-0000-000040000000}"/>
    <cellStyle name="Normal 3" xfId="7" xr:uid="{00000000-0005-0000-0000-000041000000}"/>
    <cellStyle name="Normal 3 2" xfId="26" xr:uid="{00000000-0005-0000-0000-000042000000}"/>
    <cellStyle name="Normal 3 2 2" xfId="65" xr:uid="{00000000-0005-0000-0000-000043000000}"/>
    <cellStyle name="Normal 3 3" xfId="18" xr:uid="{00000000-0005-0000-0000-000044000000}"/>
    <cellStyle name="Normal 3 3 2" xfId="52" xr:uid="{00000000-0005-0000-0000-000045000000}"/>
    <cellStyle name="Normal 3 4" xfId="16" xr:uid="{00000000-0005-0000-0000-000046000000}"/>
    <cellStyle name="Normal 3 5" xfId="60" xr:uid="{00000000-0005-0000-0000-000047000000}"/>
    <cellStyle name="Normal 32" xfId="23" xr:uid="{00000000-0005-0000-0000-000048000000}"/>
    <cellStyle name="Normal 32 2" xfId="64" xr:uid="{00000000-0005-0000-0000-000049000000}"/>
    <cellStyle name="Normal 4" xfId="24" xr:uid="{00000000-0005-0000-0000-00004A000000}"/>
    <cellStyle name="Normal 4 2" xfId="54" xr:uid="{00000000-0005-0000-0000-00004B000000}"/>
    <cellStyle name="Normal 4 3" xfId="32" xr:uid="{00000000-0005-0000-0000-00004C000000}"/>
    <cellStyle name="Normal 4 3 2" xfId="70" xr:uid="{00000000-0005-0000-0000-00004D000000}"/>
    <cellStyle name="Normal 5" xfId="5" xr:uid="{00000000-0005-0000-0000-00004E000000}"/>
    <cellStyle name="Normal 5 2" xfId="50" xr:uid="{00000000-0005-0000-0000-00004F000000}"/>
    <cellStyle name="Normal 5 3" xfId="31" xr:uid="{00000000-0005-0000-0000-000050000000}"/>
    <cellStyle name="Normal 5 3 2" xfId="69" xr:uid="{00000000-0005-0000-0000-000051000000}"/>
    <cellStyle name="Normal 6" xfId="37" xr:uid="{00000000-0005-0000-0000-000052000000}"/>
    <cellStyle name="Normal 6 2" xfId="75" xr:uid="{00000000-0005-0000-0000-000053000000}"/>
    <cellStyle name="Normal 7" xfId="43" xr:uid="{00000000-0005-0000-0000-000054000000}"/>
    <cellStyle name="Normal 8" xfId="6" xr:uid="{00000000-0005-0000-0000-000055000000}"/>
    <cellStyle name="Normal 8 2" xfId="29" xr:uid="{00000000-0005-0000-0000-000056000000}"/>
    <cellStyle name="Normal 8 3" xfId="67" xr:uid="{00000000-0005-0000-0000-000057000000}"/>
    <cellStyle name="Normal 9" xfId="28" xr:uid="{00000000-0005-0000-0000-000058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penerbitbukudeepublish.com/penulis/dr-miguna-astuti-s-si-m-m-mos-cpm/" TargetMode="External"/><Relationship Id="rId1" Type="http://schemas.openxmlformats.org/officeDocument/2006/relationships/hyperlink" Target="https://penerbitbukudeepublish.com/authors/sulistyowati/"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penerbitbukudeepublish.com/penulis/demsa-jumiyati-antu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admin-dop:1097/itemprop?id=9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223"/>
  <sheetViews>
    <sheetView workbookViewId="0">
      <selection activeCell="D14" sqref="D14"/>
    </sheetView>
  </sheetViews>
  <sheetFormatPr defaultRowHeight="14.4"/>
  <cols>
    <col min="1" max="1" width="12.88671875" bestFit="1" customWidth="1"/>
    <col min="4" max="4" width="200.6640625" bestFit="1" customWidth="1"/>
    <col min="7" max="7" width="17.5546875" bestFit="1" customWidth="1"/>
    <col min="8" max="8" width="10" bestFit="1" customWidth="1"/>
  </cols>
  <sheetData>
    <row r="1" spans="1:24">
      <c r="A1" s="2" t="s">
        <v>0</v>
      </c>
      <c r="B1" s="3" t="s">
        <v>1</v>
      </c>
      <c r="C1" s="3" t="s">
        <v>2</v>
      </c>
      <c r="D1" s="3" t="s">
        <v>3</v>
      </c>
      <c r="E1" s="3" t="s">
        <v>4</v>
      </c>
      <c r="F1" s="3" t="s">
        <v>5</v>
      </c>
      <c r="G1" s="414" t="s">
        <v>4668</v>
      </c>
      <c r="H1" s="3" t="s">
        <v>7</v>
      </c>
      <c r="I1" s="8" t="s">
        <v>8</v>
      </c>
      <c r="J1" s="5" t="s">
        <v>9</v>
      </c>
      <c r="K1" s="5" t="s">
        <v>10</v>
      </c>
      <c r="L1" s="5" t="s">
        <v>11</v>
      </c>
      <c r="M1" s="5" t="s">
        <v>12</v>
      </c>
      <c r="N1" s="5" t="s">
        <v>13</v>
      </c>
      <c r="O1" s="6" t="s">
        <v>14</v>
      </c>
      <c r="P1" s="7" t="s">
        <v>15</v>
      </c>
      <c r="Q1" s="3" t="s">
        <v>16</v>
      </c>
      <c r="R1" s="3" t="s">
        <v>17</v>
      </c>
      <c r="S1" s="4" t="s">
        <v>18</v>
      </c>
      <c r="T1" s="5" t="s">
        <v>19</v>
      </c>
      <c r="U1" s="5" t="s">
        <v>20</v>
      </c>
      <c r="V1" s="5" t="s">
        <v>21</v>
      </c>
      <c r="W1" s="6" t="s">
        <v>22</v>
      </c>
      <c r="X1" s="1"/>
    </row>
    <row r="2" spans="1:24" s="20" customFormat="1" ht="15.6">
      <c r="A2" s="9">
        <v>44188</v>
      </c>
      <c r="B2" s="10" t="s">
        <v>23</v>
      </c>
      <c r="C2" s="11" t="s">
        <v>24</v>
      </c>
      <c r="D2" s="12" t="s">
        <v>25</v>
      </c>
      <c r="E2" s="14" t="s">
        <v>26</v>
      </c>
      <c r="F2" s="15" t="s">
        <v>27</v>
      </c>
      <c r="G2" s="16">
        <v>1</v>
      </c>
      <c r="H2" s="17">
        <v>61000</v>
      </c>
      <c r="I2" s="18">
        <f>G2*H2</f>
        <v>61000</v>
      </c>
      <c r="J2" s="17"/>
      <c r="K2" s="17">
        <f>I2-J2</f>
        <v>61000</v>
      </c>
      <c r="L2" s="17">
        <v>6000</v>
      </c>
      <c r="M2" s="17"/>
      <c r="N2" s="17">
        <f>K2+L2+M2</f>
        <v>67000</v>
      </c>
      <c r="O2" s="10" t="s">
        <v>23</v>
      </c>
      <c r="P2" s="19"/>
      <c r="Q2" s="10" t="s">
        <v>28</v>
      </c>
      <c r="S2" s="21"/>
      <c r="U2" s="17"/>
      <c r="V2" s="17"/>
      <c r="W2" s="17"/>
      <c r="X2" s="17"/>
    </row>
    <row r="3" spans="1:24" s="20" customFormat="1" ht="15.6" hidden="1">
      <c r="A3" s="9">
        <v>44188</v>
      </c>
      <c r="B3" s="10" t="s">
        <v>29</v>
      </c>
      <c r="C3" s="10" t="s">
        <v>30</v>
      </c>
      <c r="D3" s="21" t="s">
        <v>31</v>
      </c>
      <c r="E3" s="22" t="s">
        <v>33</v>
      </c>
      <c r="F3" s="15" t="s">
        <v>34</v>
      </c>
      <c r="G3" s="16">
        <v>1</v>
      </c>
      <c r="H3" s="17">
        <v>126000</v>
      </c>
      <c r="I3" s="18">
        <f>G3*H3</f>
        <v>126000</v>
      </c>
      <c r="J3" s="17"/>
      <c r="K3" s="17">
        <f t="shared" ref="K3:K66" si="0">I3-J3</f>
        <v>126000</v>
      </c>
      <c r="L3" s="17"/>
      <c r="M3" s="17"/>
      <c r="N3" s="17">
        <f t="shared" ref="N3:N66" si="1">K3+L3+M3</f>
        <v>126000</v>
      </c>
      <c r="O3" s="10" t="s">
        <v>29</v>
      </c>
      <c r="P3" s="19"/>
      <c r="Q3" s="10" t="s">
        <v>35</v>
      </c>
      <c r="S3" s="21"/>
      <c r="U3" s="17"/>
      <c r="V3" s="17"/>
      <c r="W3" s="17"/>
      <c r="X3" s="17"/>
    </row>
    <row r="4" spans="1:24" s="20" customFormat="1" ht="15.6">
      <c r="A4" s="9">
        <v>44188</v>
      </c>
      <c r="B4" s="10" t="s">
        <v>23</v>
      </c>
      <c r="C4" s="10" t="s">
        <v>36</v>
      </c>
      <c r="D4" s="23" t="s">
        <v>37</v>
      </c>
      <c r="E4" s="24" t="s">
        <v>38</v>
      </c>
      <c r="F4" s="25" t="s">
        <v>39</v>
      </c>
      <c r="G4" s="16">
        <v>1</v>
      </c>
      <c r="H4" s="20">
        <v>140000</v>
      </c>
      <c r="I4" s="18">
        <f>G4*H4</f>
        <v>140000</v>
      </c>
      <c r="J4" s="17"/>
      <c r="K4" s="17">
        <f t="shared" si="0"/>
        <v>140000</v>
      </c>
      <c r="L4" s="17">
        <f>16000-16000</f>
        <v>0</v>
      </c>
      <c r="M4" s="17"/>
      <c r="N4" s="17">
        <f>K4+L4+M4</f>
        <v>140000</v>
      </c>
      <c r="O4" s="10" t="s">
        <v>23</v>
      </c>
      <c r="P4" s="26"/>
      <c r="Q4" s="10" t="s">
        <v>40</v>
      </c>
      <c r="S4" s="26"/>
      <c r="U4" s="17"/>
      <c r="V4" s="17"/>
      <c r="W4" s="17"/>
      <c r="X4" s="17"/>
    </row>
    <row r="5" spans="1:24" s="20" customFormat="1" ht="15.6">
      <c r="A5" s="9">
        <v>44188</v>
      </c>
      <c r="B5" s="10" t="s">
        <v>23</v>
      </c>
      <c r="C5" s="10" t="s">
        <v>36</v>
      </c>
      <c r="D5" s="23" t="s">
        <v>37</v>
      </c>
      <c r="E5" s="24" t="s">
        <v>41</v>
      </c>
      <c r="F5" s="27" t="s">
        <v>42</v>
      </c>
      <c r="G5" s="16">
        <v>1</v>
      </c>
      <c r="H5" s="17">
        <v>91000</v>
      </c>
      <c r="I5" s="18">
        <f t="shared" ref="I5:I68" si="2">G5*H5</f>
        <v>91000</v>
      </c>
      <c r="J5" s="17"/>
      <c r="K5" s="17">
        <f t="shared" si="0"/>
        <v>91000</v>
      </c>
      <c r="L5" s="17"/>
      <c r="M5" s="17"/>
      <c r="N5" s="17">
        <f t="shared" si="1"/>
        <v>91000</v>
      </c>
      <c r="O5" s="10" t="s">
        <v>23</v>
      </c>
      <c r="P5" s="28"/>
      <c r="Q5" s="10" t="s">
        <v>40</v>
      </c>
      <c r="S5" s="26"/>
      <c r="U5" s="17"/>
      <c r="V5" s="17"/>
      <c r="W5" s="17"/>
      <c r="X5" s="17"/>
    </row>
    <row r="6" spans="1:24" s="20" customFormat="1" ht="15.6" hidden="1">
      <c r="A6" s="9">
        <v>44189</v>
      </c>
      <c r="B6" s="10" t="s">
        <v>43</v>
      </c>
      <c r="C6" s="11" t="s">
        <v>44</v>
      </c>
      <c r="D6" s="29" t="s">
        <v>45</v>
      </c>
      <c r="E6" s="22" t="s">
        <v>46</v>
      </c>
      <c r="F6" s="22" t="s">
        <v>47</v>
      </c>
      <c r="G6" s="30">
        <v>1</v>
      </c>
      <c r="H6" s="17">
        <v>92000</v>
      </c>
      <c r="I6" s="18">
        <f t="shared" si="2"/>
        <v>92000</v>
      </c>
      <c r="J6" s="17"/>
      <c r="K6" s="17">
        <f t="shared" si="0"/>
        <v>92000</v>
      </c>
      <c r="L6" s="17"/>
      <c r="M6" s="17">
        <v>-4122</v>
      </c>
      <c r="N6" s="17">
        <f t="shared" si="1"/>
        <v>87878</v>
      </c>
      <c r="O6" s="10" t="s">
        <v>43</v>
      </c>
      <c r="P6" s="31" t="s">
        <v>48</v>
      </c>
      <c r="Q6" s="10" t="s">
        <v>40</v>
      </c>
      <c r="S6" s="32">
        <v>8827722034057780</v>
      </c>
      <c r="U6" s="17"/>
      <c r="V6" s="17"/>
      <c r="W6" s="17"/>
      <c r="X6" s="17"/>
    </row>
    <row r="7" spans="1:24" s="20" customFormat="1" ht="15.6" hidden="1">
      <c r="A7" s="9">
        <v>44189</v>
      </c>
      <c r="B7" s="10" t="s">
        <v>43</v>
      </c>
      <c r="C7" s="11" t="s">
        <v>49</v>
      </c>
      <c r="D7" s="29" t="s">
        <v>50</v>
      </c>
      <c r="E7" s="15" t="s">
        <v>51</v>
      </c>
      <c r="F7" s="33" t="s">
        <v>52</v>
      </c>
      <c r="G7" s="30">
        <v>1</v>
      </c>
      <c r="H7" s="17">
        <v>94000</v>
      </c>
      <c r="I7" s="18">
        <f t="shared" si="2"/>
        <v>94000</v>
      </c>
      <c r="J7" s="17"/>
      <c r="K7" s="17">
        <f t="shared" si="0"/>
        <v>94000</v>
      </c>
      <c r="L7" s="17">
        <f>40000-40000</f>
        <v>0</v>
      </c>
      <c r="M7" s="17">
        <v>-4211</v>
      </c>
      <c r="N7" s="17">
        <f t="shared" si="1"/>
        <v>89789</v>
      </c>
      <c r="O7" s="10" t="s">
        <v>43</v>
      </c>
      <c r="P7" s="31" t="s">
        <v>53</v>
      </c>
      <c r="Q7" s="10" t="s">
        <v>54</v>
      </c>
      <c r="S7" s="32" t="s">
        <v>55</v>
      </c>
      <c r="U7" s="17"/>
      <c r="V7" s="17"/>
      <c r="W7" s="17"/>
      <c r="X7" s="17"/>
    </row>
    <row r="8" spans="1:24" s="20" customFormat="1" ht="15.6" hidden="1">
      <c r="A8" s="9">
        <v>44189</v>
      </c>
      <c r="B8" s="10" t="s">
        <v>43</v>
      </c>
      <c r="C8" s="10" t="s">
        <v>56</v>
      </c>
      <c r="D8" s="29" t="s">
        <v>57</v>
      </c>
      <c r="E8" s="34" t="s">
        <v>58</v>
      </c>
      <c r="F8" s="34" t="s">
        <v>59</v>
      </c>
      <c r="G8" s="30">
        <v>1</v>
      </c>
      <c r="H8" s="17">
        <v>88000</v>
      </c>
      <c r="I8" s="18">
        <f t="shared" si="2"/>
        <v>88000</v>
      </c>
      <c r="J8" s="17"/>
      <c r="K8" s="17">
        <f t="shared" si="0"/>
        <v>88000</v>
      </c>
      <c r="L8" s="17">
        <v>-6899</v>
      </c>
      <c r="M8" s="17"/>
      <c r="N8" s="17">
        <f t="shared" si="1"/>
        <v>81101</v>
      </c>
      <c r="O8" s="10" t="s">
        <v>43</v>
      </c>
      <c r="P8" s="31" t="s">
        <v>60</v>
      </c>
      <c r="Q8" s="10" t="s">
        <v>54</v>
      </c>
      <c r="S8" s="32" t="s">
        <v>61</v>
      </c>
      <c r="U8" s="17"/>
      <c r="V8" s="17"/>
      <c r="W8" s="17"/>
      <c r="X8" s="17"/>
    </row>
    <row r="9" spans="1:24" s="20" customFormat="1" ht="15.6" hidden="1">
      <c r="A9" s="9">
        <v>44189</v>
      </c>
      <c r="B9" s="10" t="s">
        <v>43</v>
      </c>
      <c r="C9" s="10" t="s">
        <v>56</v>
      </c>
      <c r="D9" s="29" t="s">
        <v>57</v>
      </c>
      <c r="E9" s="34" t="s">
        <v>62</v>
      </c>
      <c r="F9" s="34" t="s">
        <v>63</v>
      </c>
      <c r="G9" s="30">
        <v>1</v>
      </c>
      <c r="H9" s="17">
        <v>66000</v>
      </c>
      <c r="I9" s="18">
        <f t="shared" si="2"/>
        <v>66000</v>
      </c>
      <c r="J9" s="17"/>
      <c r="K9" s="17">
        <f t="shared" si="0"/>
        <v>66000</v>
      </c>
      <c r="L9" s="17"/>
      <c r="M9" s="17"/>
      <c r="N9" s="17">
        <f t="shared" si="1"/>
        <v>66000</v>
      </c>
      <c r="O9" s="10" t="s">
        <v>43</v>
      </c>
      <c r="P9" s="31" t="s">
        <v>64</v>
      </c>
      <c r="Q9" s="10" t="s">
        <v>54</v>
      </c>
      <c r="S9" s="32" t="s">
        <v>61</v>
      </c>
      <c r="U9" s="17"/>
      <c r="V9" s="17"/>
      <c r="W9" s="17"/>
      <c r="X9" s="17"/>
    </row>
    <row r="10" spans="1:24" s="20" customFormat="1" ht="15.6">
      <c r="A10" s="9">
        <v>44189</v>
      </c>
      <c r="B10" s="10" t="s">
        <v>23</v>
      </c>
      <c r="C10" s="11" t="s">
        <v>65</v>
      </c>
      <c r="D10" s="29" t="s">
        <v>66</v>
      </c>
      <c r="E10" s="15" t="s">
        <v>67</v>
      </c>
      <c r="F10" s="15" t="s">
        <v>68</v>
      </c>
      <c r="G10" s="35">
        <v>1</v>
      </c>
      <c r="H10" s="17">
        <v>83000</v>
      </c>
      <c r="I10" s="18">
        <f t="shared" si="2"/>
        <v>83000</v>
      </c>
      <c r="J10" s="17"/>
      <c r="K10" s="17">
        <f t="shared" si="0"/>
        <v>83000</v>
      </c>
      <c r="L10" s="17">
        <v>86000</v>
      </c>
      <c r="M10" s="17"/>
      <c r="N10" s="17">
        <f t="shared" si="1"/>
        <v>169000</v>
      </c>
      <c r="O10" s="10" t="s">
        <v>23</v>
      </c>
      <c r="P10" s="17"/>
      <c r="Q10" s="10" t="s">
        <v>54</v>
      </c>
      <c r="S10" s="17"/>
      <c r="U10" s="17"/>
      <c r="V10" s="17"/>
      <c r="W10" s="17"/>
      <c r="X10" s="17"/>
    </row>
    <row r="11" spans="1:24" s="29" customFormat="1" ht="15.6">
      <c r="A11" s="9">
        <v>44193</v>
      </c>
      <c r="B11" s="10" t="s">
        <v>43</v>
      </c>
      <c r="C11" s="10" t="s">
        <v>133</v>
      </c>
      <c r="D11" s="29" t="s">
        <v>134</v>
      </c>
      <c r="E11" s="15" t="s">
        <v>135</v>
      </c>
      <c r="F11" s="15" t="s">
        <v>136</v>
      </c>
      <c r="G11" s="30">
        <v>1</v>
      </c>
      <c r="H11" s="92">
        <v>91000</v>
      </c>
      <c r="I11" s="86">
        <f t="shared" si="2"/>
        <v>91000</v>
      </c>
      <c r="J11" s="92"/>
      <c r="K11" s="92">
        <f t="shared" si="0"/>
        <v>91000</v>
      </c>
      <c r="L11" s="92"/>
      <c r="M11" s="92">
        <v>-4077</v>
      </c>
      <c r="N11" s="92">
        <f t="shared" si="1"/>
        <v>86923</v>
      </c>
      <c r="O11" s="10" t="s">
        <v>43</v>
      </c>
      <c r="P11" s="36" t="s">
        <v>137</v>
      </c>
      <c r="Q11" s="10" t="s">
        <v>138</v>
      </c>
      <c r="S11" s="37">
        <v>8827722040969230</v>
      </c>
      <c r="U11" s="92"/>
      <c r="V11" s="92"/>
      <c r="W11" s="92"/>
      <c r="X11" s="92"/>
    </row>
    <row r="12" spans="1:24" s="29" customFormat="1" ht="15.6">
      <c r="A12" s="9">
        <v>44193</v>
      </c>
      <c r="B12" s="10" t="s">
        <v>43</v>
      </c>
      <c r="C12" s="10" t="s">
        <v>139</v>
      </c>
      <c r="D12" s="29" t="s">
        <v>140</v>
      </c>
      <c r="E12" s="15" t="s">
        <v>141</v>
      </c>
      <c r="F12" s="15" t="s">
        <v>142</v>
      </c>
      <c r="G12" s="30">
        <v>1</v>
      </c>
      <c r="H12" s="92">
        <v>68000</v>
      </c>
      <c r="I12" s="86">
        <f t="shared" si="2"/>
        <v>68000</v>
      </c>
      <c r="J12" s="92"/>
      <c r="K12" s="92">
        <f t="shared" si="0"/>
        <v>68000</v>
      </c>
      <c r="L12" s="92">
        <f>19000-19000</f>
        <v>0</v>
      </c>
      <c r="M12" s="92">
        <v>-3046</v>
      </c>
      <c r="N12" s="92">
        <f t="shared" si="1"/>
        <v>64954</v>
      </c>
      <c r="O12" s="10" t="s">
        <v>43</v>
      </c>
      <c r="P12" s="100" t="s">
        <v>143</v>
      </c>
      <c r="Q12" s="10" t="s">
        <v>54</v>
      </c>
      <c r="S12" s="37" t="s">
        <v>144</v>
      </c>
      <c r="U12" s="92"/>
      <c r="V12" s="92"/>
      <c r="W12" s="92"/>
      <c r="X12" s="92"/>
    </row>
    <row r="13" spans="1:24" s="29" customFormat="1" ht="15.6">
      <c r="A13" s="9">
        <v>44193</v>
      </c>
      <c r="B13" s="10" t="s">
        <v>43</v>
      </c>
      <c r="C13" s="11" t="s">
        <v>145</v>
      </c>
      <c r="D13" s="37" t="s">
        <v>146</v>
      </c>
      <c r="E13" s="15" t="s">
        <v>147</v>
      </c>
      <c r="F13" s="15" t="s">
        <v>148</v>
      </c>
      <c r="G13" s="30">
        <v>1</v>
      </c>
      <c r="H13" s="92">
        <v>106000</v>
      </c>
      <c r="I13" s="86">
        <f t="shared" si="2"/>
        <v>106000</v>
      </c>
      <c r="J13" s="92"/>
      <c r="K13" s="92">
        <f t="shared" si="0"/>
        <v>106000</v>
      </c>
      <c r="L13" s="92"/>
      <c r="M13" s="92">
        <v>-4749</v>
      </c>
      <c r="N13" s="92">
        <f t="shared" si="1"/>
        <v>101251</v>
      </c>
      <c r="O13" s="10" t="s">
        <v>43</v>
      </c>
      <c r="P13" s="101" t="s">
        <v>149</v>
      </c>
      <c r="Q13" s="10" t="s">
        <v>138</v>
      </c>
      <c r="S13" s="37">
        <v>8827722040976750</v>
      </c>
      <c r="U13" s="92"/>
      <c r="V13" s="92"/>
      <c r="W13" s="92"/>
      <c r="X13" s="92"/>
    </row>
    <row r="14" spans="1:24" s="29" customFormat="1" ht="15.6">
      <c r="A14" s="9">
        <v>44193</v>
      </c>
      <c r="B14" s="10" t="s">
        <v>43</v>
      </c>
      <c r="C14" s="11" t="s">
        <v>150</v>
      </c>
      <c r="D14" s="29" t="s">
        <v>151</v>
      </c>
      <c r="E14" s="15" t="s">
        <v>152</v>
      </c>
      <c r="F14" s="38" t="s">
        <v>153</v>
      </c>
      <c r="G14" s="30">
        <v>1</v>
      </c>
      <c r="H14" s="92">
        <v>62500</v>
      </c>
      <c r="I14" s="86">
        <f t="shared" si="2"/>
        <v>62500</v>
      </c>
      <c r="J14" s="92"/>
      <c r="K14" s="92">
        <f t="shared" si="0"/>
        <v>62500</v>
      </c>
      <c r="L14" s="92">
        <f>40000-40000</f>
        <v>0</v>
      </c>
      <c r="M14" s="92">
        <v>-2801</v>
      </c>
      <c r="N14" s="92">
        <f t="shared" si="1"/>
        <v>59699</v>
      </c>
      <c r="O14" s="10" t="s">
        <v>43</v>
      </c>
      <c r="P14" s="100" t="s">
        <v>154</v>
      </c>
      <c r="Q14" s="10" t="s">
        <v>54</v>
      </c>
      <c r="S14" s="37" t="s">
        <v>155</v>
      </c>
      <c r="U14" s="92"/>
      <c r="V14" s="92"/>
      <c r="W14" s="92"/>
      <c r="X14" s="92"/>
    </row>
    <row r="15" spans="1:24" s="29" customFormat="1" ht="15.6">
      <c r="A15" s="9">
        <v>44193</v>
      </c>
      <c r="B15" s="10" t="s">
        <v>43</v>
      </c>
      <c r="C15" s="11" t="s">
        <v>156</v>
      </c>
      <c r="D15" s="29" t="s">
        <v>157</v>
      </c>
      <c r="E15" s="39" t="s">
        <v>158</v>
      </c>
      <c r="F15" s="39" t="s">
        <v>159</v>
      </c>
      <c r="G15" s="30">
        <v>1</v>
      </c>
      <c r="H15" s="92">
        <v>58000</v>
      </c>
      <c r="I15" s="86">
        <f t="shared" si="2"/>
        <v>58000</v>
      </c>
      <c r="J15" s="92"/>
      <c r="K15" s="92">
        <f t="shared" si="0"/>
        <v>58000</v>
      </c>
      <c r="L15" s="92">
        <f>32000-32000</f>
        <v>0</v>
      </c>
      <c r="M15" s="92">
        <v>-6854</v>
      </c>
      <c r="N15" s="92">
        <f t="shared" si="1"/>
        <v>51146</v>
      </c>
      <c r="O15" s="10" t="s">
        <v>43</v>
      </c>
      <c r="P15" s="100" t="s">
        <v>160</v>
      </c>
      <c r="Q15" s="10" t="s">
        <v>54</v>
      </c>
      <c r="S15" s="37" t="s">
        <v>161</v>
      </c>
      <c r="U15" s="92"/>
      <c r="V15" s="92"/>
      <c r="W15" s="92"/>
      <c r="X15" s="92"/>
    </row>
    <row r="16" spans="1:24" s="29" customFormat="1" ht="15.6">
      <c r="A16" s="9">
        <v>44193</v>
      </c>
      <c r="B16" s="10" t="s">
        <v>43</v>
      </c>
      <c r="C16" s="11" t="s">
        <v>156</v>
      </c>
      <c r="D16" s="29" t="s">
        <v>157</v>
      </c>
      <c r="E16" s="39" t="s">
        <v>162</v>
      </c>
      <c r="F16" s="40" t="s">
        <v>163</v>
      </c>
      <c r="G16" s="30">
        <v>1</v>
      </c>
      <c r="H16" s="92">
        <v>95000</v>
      </c>
      <c r="I16" s="86">
        <f t="shared" si="2"/>
        <v>95000</v>
      </c>
      <c r="J16" s="92"/>
      <c r="K16" s="92">
        <f t="shared" si="0"/>
        <v>95000</v>
      </c>
      <c r="L16" s="92"/>
      <c r="M16" s="92"/>
      <c r="N16" s="92">
        <f t="shared" si="1"/>
        <v>95000</v>
      </c>
      <c r="O16" s="10" t="s">
        <v>43</v>
      </c>
      <c r="P16" s="100" t="s">
        <v>160</v>
      </c>
      <c r="Q16" s="10" t="s">
        <v>54</v>
      </c>
      <c r="S16" s="37" t="s">
        <v>161</v>
      </c>
      <c r="U16" s="92"/>
      <c r="V16" s="92"/>
      <c r="W16" s="92"/>
      <c r="X16" s="92"/>
    </row>
    <row r="17" spans="1:24" s="29" customFormat="1" ht="15.6">
      <c r="A17" s="9">
        <v>44193</v>
      </c>
      <c r="B17" s="10" t="s">
        <v>43</v>
      </c>
      <c r="C17" s="10" t="s">
        <v>164</v>
      </c>
      <c r="D17" s="29" t="s">
        <v>165</v>
      </c>
      <c r="E17" s="15" t="s">
        <v>166</v>
      </c>
      <c r="F17" s="22" t="s">
        <v>167</v>
      </c>
      <c r="G17" s="30">
        <v>1</v>
      </c>
      <c r="H17" s="92">
        <v>48500</v>
      </c>
      <c r="I17" s="86">
        <f t="shared" si="2"/>
        <v>48500</v>
      </c>
      <c r="J17" s="92"/>
      <c r="K17" s="92">
        <f t="shared" si="0"/>
        <v>48500</v>
      </c>
      <c r="L17" s="92">
        <f>10000-10000</f>
        <v>0</v>
      </c>
      <c r="M17" s="92">
        <v>-2173</v>
      </c>
      <c r="N17" s="92">
        <f t="shared" si="1"/>
        <v>46327</v>
      </c>
      <c r="O17" s="10" t="s">
        <v>43</v>
      </c>
      <c r="P17" s="100" t="s">
        <v>168</v>
      </c>
      <c r="Q17" s="10" t="s">
        <v>54</v>
      </c>
      <c r="S17" s="37" t="s">
        <v>169</v>
      </c>
      <c r="U17" s="92"/>
      <c r="V17" s="92"/>
      <c r="W17" s="92"/>
      <c r="X17" s="92"/>
    </row>
    <row r="18" spans="1:24" s="29" customFormat="1" ht="16.8">
      <c r="A18" s="9">
        <v>44193</v>
      </c>
      <c r="B18" s="10" t="s">
        <v>170</v>
      </c>
      <c r="C18" s="41" t="s">
        <v>171</v>
      </c>
      <c r="D18" s="42" t="s">
        <v>172</v>
      </c>
      <c r="E18" s="15" t="s">
        <v>173</v>
      </c>
      <c r="F18" s="22" t="s">
        <v>174</v>
      </c>
      <c r="G18" s="30">
        <v>1</v>
      </c>
      <c r="H18" s="92">
        <v>64000</v>
      </c>
      <c r="I18" s="86">
        <f t="shared" si="2"/>
        <v>64000</v>
      </c>
      <c r="J18" s="92"/>
      <c r="K18" s="92">
        <f t="shared" si="0"/>
        <v>64000</v>
      </c>
      <c r="L18" s="92">
        <f>16000-16000</f>
        <v>0</v>
      </c>
      <c r="M18" s="92">
        <v>-1600</v>
      </c>
      <c r="N18" s="92">
        <f t="shared" si="1"/>
        <v>62400</v>
      </c>
      <c r="O18" s="10" t="s">
        <v>170</v>
      </c>
      <c r="P18" s="102" t="s">
        <v>175</v>
      </c>
      <c r="Q18" s="10" t="s">
        <v>176</v>
      </c>
      <c r="S18" s="103" t="s">
        <v>175</v>
      </c>
      <c r="U18" s="92"/>
      <c r="V18" s="92"/>
      <c r="W18" s="92"/>
      <c r="X18" s="92"/>
    </row>
    <row r="19" spans="1:24" s="29" customFormat="1" ht="16.8">
      <c r="A19" s="9">
        <v>44193</v>
      </c>
      <c r="B19" s="10" t="s">
        <v>177</v>
      </c>
      <c r="C19" s="10" t="s">
        <v>178</v>
      </c>
      <c r="D19" s="29" t="s">
        <v>179</v>
      </c>
      <c r="E19" s="15" t="s">
        <v>180</v>
      </c>
      <c r="F19" s="15" t="s">
        <v>181</v>
      </c>
      <c r="G19" s="30">
        <v>1</v>
      </c>
      <c r="H19" s="92">
        <v>70000</v>
      </c>
      <c r="I19" s="86">
        <f t="shared" si="2"/>
        <v>70000</v>
      </c>
      <c r="J19" s="92"/>
      <c r="K19" s="92">
        <f t="shared" si="0"/>
        <v>70000</v>
      </c>
      <c r="L19" s="92">
        <v>21000</v>
      </c>
      <c r="M19" s="92"/>
      <c r="N19" s="92">
        <f t="shared" si="1"/>
        <v>91000</v>
      </c>
      <c r="O19" s="10" t="s">
        <v>177</v>
      </c>
      <c r="P19" s="104" t="s">
        <v>182</v>
      </c>
      <c r="Q19" s="10" t="s">
        <v>54</v>
      </c>
      <c r="S19" s="43" t="s">
        <v>183</v>
      </c>
      <c r="U19" s="92"/>
      <c r="V19" s="92"/>
      <c r="W19" s="92"/>
      <c r="X19" s="92"/>
    </row>
    <row r="20" spans="1:24" s="29" customFormat="1" ht="15.6">
      <c r="A20" s="9">
        <v>44193</v>
      </c>
      <c r="B20" s="10" t="s">
        <v>23</v>
      </c>
      <c r="C20" s="11" t="s">
        <v>184</v>
      </c>
      <c r="D20" s="29" t="s">
        <v>185</v>
      </c>
      <c r="E20" s="15" t="s">
        <v>186</v>
      </c>
      <c r="F20" s="33" t="s">
        <v>187</v>
      </c>
      <c r="G20" s="16">
        <v>1</v>
      </c>
      <c r="H20" s="92">
        <v>84000</v>
      </c>
      <c r="I20" s="86">
        <f t="shared" si="2"/>
        <v>84000</v>
      </c>
      <c r="J20" s="92"/>
      <c r="K20" s="92">
        <f t="shared" si="0"/>
        <v>84000</v>
      </c>
      <c r="L20" s="92">
        <v>20000</v>
      </c>
      <c r="M20" s="92"/>
      <c r="N20" s="92">
        <f t="shared" si="1"/>
        <v>104000</v>
      </c>
      <c r="O20" s="10" t="s">
        <v>23</v>
      </c>
      <c r="P20" s="105"/>
      <c r="Q20" s="10" t="s">
        <v>40</v>
      </c>
      <c r="S20" s="23"/>
      <c r="U20" s="92"/>
      <c r="V20" s="92"/>
      <c r="W20" s="92"/>
      <c r="X20" s="92"/>
    </row>
    <row r="21" spans="1:24" s="29" customFormat="1" ht="15.6">
      <c r="A21" s="9">
        <v>44194</v>
      </c>
      <c r="B21" s="10" t="s">
        <v>23</v>
      </c>
      <c r="C21" s="10" t="s">
        <v>188</v>
      </c>
      <c r="D21" s="29" t="s">
        <v>189</v>
      </c>
      <c r="E21" s="15" t="s">
        <v>190</v>
      </c>
      <c r="F21" s="15" t="s">
        <v>191</v>
      </c>
      <c r="G21" s="30">
        <v>1</v>
      </c>
      <c r="H21" s="92">
        <v>92000</v>
      </c>
      <c r="I21" s="86">
        <f t="shared" si="2"/>
        <v>92000</v>
      </c>
      <c r="J21" s="92"/>
      <c r="K21" s="92">
        <f t="shared" si="0"/>
        <v>92000</v>
      </c>
      <c r="L21" s="92">
        <f>19000-19000</f>
        <v>0</v>
      </c>
      <c r="M21" s="92"/>
      <c r="N21" s="92">
        <f t="shared" si="1"/>
        <v>92000</v>
      </c>
      <c r="O21" s="10" t="s">
        <v>23</v>
      </c>
      <c r="P21" s="106"/>
      <c r="Q21" s="10" t="s">
        <v>40</v>
      </c>
      <c r="S21" s="23"/>
      <c r="U21" s="92"/>
      <c r="V21" s="92"/>
      <c r="W21" s="92"/>
      <c r="X21" s="92"/>
    </row>
    <row r="22" spans="1:24" s="29" customFormat="1" ht="15.6">
      <c r="A22" s="9">
        <v>44194</v>
      </c>
      <c r="B22" s="10" t="s">
        <v>23</v>
      </c>
      <c r="C22" s="11" t="s">
        <v>192</v>
      </c>
      <c r="D22" s="29" t="s">
        <v>193</v>
      </c>
      <c r="E22" s="22" t="s">
        <v>194</v>
      </c>
      <c r="F22" s="22" t="s">
        <v>195</v>
      </c>
      <c r="G22" s="30">
        <v>1</v>
      </c>
      <c r="H22" s="92">
        <v>77000</v>
      </c>
      <c r="I22" s="86">
        <f t="shared" si="2"/>
        <v>77000</v>
      </c>
      <c r="J22" s="92"/>
      <c r="K22" s="92">
        <f t="shared" si="0"/>
        <v>77000</v>
      </c>
      <c r="L22" s="92">
        <v>6000</v>
      </c>
      <c r="M22" s="92"/>
      <c r="N22" s="92">
        <f t="shared" si="1"/>
        <v>83000</v>
      </c>
      <c r="O22" s="10" t="s">
        <v>23</v>
      </c>
      <c r="P22" s="95"/>
      <c r="Q22" s="10" t="s">
        <v>28</v>
      </c>
      <c r="S22" s="12"/>
      <c r="U22" s="92"/>
      <c r="V22" s="92"/>
      <c r="W22" s="92"/>
      <c r="X22" s="92"/>
    </row>
    <row r="23" spans="1:24" s="29" customFormat="1" ht="16.2" customHeight="1">
      <c r="A23" s="9">
        <v>44194</v>
      </c>
      <c r="B23" s="10" t="s">
        <v>23</v>
      </c>
      <c r="C23" s="10" t="s">
        <v>196</v>
      </c>
      <c r="D23" s="770" t="s">
        <v>9410</v>
      </c>
      <c r="E23" s="38" t="s">
        <v>197</v>
      </c>
      <c r="F23" s="38" t="s">
        <v>198</v>
      </c>
      <c r="G23" s="30">
        <v>1</v>
      </c>
      <c r="H23" s="92">
        <v>79000</v>
      </c>
      <c r="I23" s="86">
        <f t="shared" si="2"/>
        <v>79000</v>
      </c>
      <c r="J23" s="92"/>
      <c r="K23" s="92">
        <f t="shared" si="0"/>
        <v>79000</v>
      </c>
      <c r="L23" s="92">
        <v>95000</v>
      </c>
      <c r="M23" s="92"/>
      <c r="N23" s="92">
        <f t="shared" si="1"/>
        <v>174000</v>
      </c>
      <c r="O23" s="10" t="s">
        <v>23</v>
      </c>
      <c r="P23" s="102"/>
      <c r="Q23" s="10" t="s">
        <v>40</v>
      </c>
      <c r="S23" s="107"/>
      <c r="U23" s="92"/>
      <c r="V23" s="92"/>
      <c r="W23" s="92"/>
      <c r="X23" s="92"/>
    </row>
    <row r="24" spans="1:24" s="29" customFormat="1" ht="15.6" hidden="1">
      <c r="A24" s="9">
        <v>44194</v>
      </c>
      <c r="B24" s="10" t="s">
        <v>43</v>
      </c>
      <c r="C24" s="10" t="s">
        <v>199</v>
      </c>
      <c r="D24" s="44" t="s">
        <v>200</v>
      </c>
      <c r="E24" s="10" t="s">
        <v>201</v>
      </c>
      <c r="F24" s="15" t="s">
        <v>202</v>
      </c>
      <c r="G24" s="30">
        <v>1</v>
      </c>
      <c r="H24" s="92">
        <v>130000</v>
      </c>
      <c r="I24" s="86">
        <f t="shared" si="2"/>
        <v>130000</v>
      </c>
      <c r="J24" s="92">
        <f>I24*10%</f>
        <v>13000</v>
      </c>
      <c r="K24" s="92">
        <f t="shared" si="0"/>
        <v>117000</v>
      </c>
      <c r="L24" s="92"/>
      <c r="M24" s="92">
        <v>-5242</v>
      </c>
      <c r="N24" s="92">
        <f t="shared" si="1"/>
        <v>111758</v>
      </c>
      <c r="O24" s="10" t="s">
        <v>43</v>
      </c>
      <c r="P24" s="100" t="s">
        <v>203</v>
      </c>
      <c r="Q24" s="10" t="s">
        <v>204</v>
      </c>
      <c r="S24" s="37" t="s">
        <v>205</v>
      </c>
      <c r="U24" s="92"/>
      <c r="V24" s="92"/>
      <c r="W24" s="92"/>
      <c r="X24" s="92"/>
    </row>
    <row r="25" spans="1:24" s="29" customFormat="1" ht="15.6" hidden="1">
      <c r="A25" s="9">
        <v>44194</v>
      </c>
      <c r="B25" s="10" t="s">
        <v>206</v>
      </c>
      <c r="C25" s="45" t="s">
        <v>207</v>
      </c>
      <c r="D25" s="44" t="s">
        <v>208</v>
      </c>
      <c r="E25" s="25" t="s">
        <v>190</v>
      </c>
      <c r="F25" s="46" t="s">
        <v>209</v>
      </c>
      <c r="G25" s="30">
        <v>1</v>
      </c>
      <c r="H25" s="92">
        <v>92000</v>
      </c>
      <c r="I25" s="86">
        <f t="shared" si="2"/>
        <v>92000</v>
      </c>
      <c r="J25" s="92"/>
      <c r="K25" s="92">
        <f t="shared" si="0"/>
        <v>92000</v>
      </c>
      <c r="L25" s="92">
        <v>7800</v>
      </c>
      <c r="M25" s="92"/>
      <c r="N25" s="92">
        <f t="shared" si="1"/>
        <v>99800</v>
      </c>
      <c r="O25" s="10" t="s">
        <v>206</v>
      </c>
      <c r="P25" s="47" t="s">
        <v>210</v>
      </c>
      <c r="Q25" s="10" t="s">
        <v>28</v>
      </c>
      <c r="S25" s="108" t="s">
        <v>211</v>
      </c>
      <c r="U25" s="92"/>
      <c r="V25" s="92"/>
      <c r="W25" s="92"/>
      <c r="X25" s="92"/>
    </row>
    <row r="26" spans="1:24" s="29" customFormat="1" ht="15.6" hidden="1">
      <c r="A26" s="9">
        <v>44194</v>
      </c>
      <c r="B26" s="10" t="s">
        <v>206</v>
      </c>
      <c r="C26" s="45" t="s">
        <v>207</v>
      </c>
      <c r="D26" s="44" t="s">
        <v>212</v>
      </c>
      <c r="E26" s="25" t="s">
        <v>213</v>
      </c>
      <c r="F26" s="48" t="s">
        <v>214</v>
      </c>
      <c r="G26" s="30">
        <v>1</v>
      </c>
      <c r="H26" s="92">
        <v>92500</v>
      </c>
      <c r="I26" s="86">
        <f t="shared" si="2"/>
        <v>92500</v>
      </c>
      <c r="J26" s="92"/>
      <c r="K26" s="92">
        <f t="shared" si="0"/>
        <v>92500</v>
      </c>
      <c r="L26" s="92"/>
      <c r="M26" s="92"/>
      <c r="N26" s="92">
        <f t="shared" si="1"/>
        <v>92500</v>
      </c>
      <c r="O26" s="10" t="s">
        <v>206</v>
      </c>
      <c r="P26" s="47" t="s">
        <v>215</v>
      </c>
      <c r="Q26" s="10" t="s">
        <v>28</v>
      </c>
      <c r="S26" s="108" t="s">
        <v>216</v>
      </c>
      <c r="U26" s="92"/>
      <c r="V26" s="92"/>
      <c r="W26" s="92"/>
      <c r="X26" s="92"/>
    </row>
    <row r="27" spans="1:24" s="29" customFormat="1" ht="16.8" hidden="1">
      <c r="A27" s="9">
        <v>44194</v>
      </c>
      <c r="B27" s="10" t="s">
        <v>177</v>
      </c>
      <c r="C27" s="11" t="s">
        <v>217</v>
      </c>
      <c r="D27" s="44" t="s">
        <v>218</v>
      </c>
      <c r="E27" s="49" t="s">
        <v>219</v>
      </c>
      <c r="F27" s="49" t="s">
        <v>220</v>
      </c>
      <c r="G27" s="30">
        <v>1</v>
      </c>
      <c r="H27" s="92">
        <v>58500</v>
      </c>
      <c r="I27" s="86">
        <f t="shared" si="2"/>
        <v>58500</v>
      </c>
      <c r="J27" s="92"/>
      <c r="K27" s="92">
        <f t="shared" si="0"/>
        <v>58500</v>
      </c>
      <c r="L27" s="92">
        <v>8000</v>
      </c>
      <c r="M27" s="92"/>
      <c r="N27" s="92">
        <f t="shared" si="1"/>
        <v>66500</v>
      </c>
      <c r="O27" s="10" t="s">
        <v>177</v>
      </c>
      <c r="P27" s="104">
        <v>515759844903318</v>
      </c>
      <c r="Q27" s="10" t="s">
        <v>177</v>
      </c>
      <c r="S27" s="109">
        <v>515759844903318</v>
      </c>
      <c r="U27" s="92"/>
      <c r="V27" s="92"/>
      <c r="W27" s="92"/>
      <c r="X27" s="92"/>
    </row>
    <row r="28" spans="1:24" s="29" customFormat="1" ht="16.8" hidden="1">
      <c r="A28" s="9">
        <v>44194</v>
      </c>
      <c r="B28" s="10" t="s">
        <v>177</v>
      </c>
      <c r="C28" s="11" t="s">
        <v>217</v>
      </c>
      <c r="D28" s="44" t="s">
        <v>218</v>
      </c>
      <c r="E28" s="50" t="s">
        <v>221</v>
      </c>
      <c r="F28" s="50" t="s">
        <v>222</v>
      </c>
      <c r="G28" s="30">
        <v>1</v>
      </c>
      <c r="H28" s="92">
        <v>44000</v>
      </c>
      <c r="I28" s="86">
        <f t="shared" si="2"/>
        <v>44000</v>
      </c>
      <c r="J28" s="92"/>
      <c r="K28" s="92">
        <f t="shared" si="0"/>
        <v>44000</v>
      </c>
      <c r="L28" s="92"/>
      <c r="M28" s="92"/>
      <c r="N28" s="92">
        <f t="shared" si="1"/>
        <v>44000</v>
      </c>
      <c r="O28" s="10" t="s">
        <v>177</v>
      </c>
      <c r="P28" s="104">
        <v>515759844903318</v>
      </c>
      <c r="Q28" s="10" t="s">
        <v>177</v>
      </c>
      <c r="S28" s="109">
        <v>515759844903318</v>
      </c>
      <c r="U28" s="92"/>
      <c r="V28" s="92"/>
      <c r="W28" s="92"/>
      <c r="X28" s="92"/>
    </row>
    <row r="29" spans="1:24" s="29" customFormat="1" ht="15.6">
      <c r="A29" s="9">
        <v>44194</v>
      </c>
      <c r="B29" s="10" t="s">
        <v>23</v>
      </c>
      <c r="C29" s="11" t="s">
        <v>223</v>
      </c>
      <c r="D29" s="29" t="s">
        <v>224</v>
      </c>
      <c r="E29" s="15" t="s">
        <v>225</v>
      </c>
      <c r="F29" s="15" t="s">
        <v>226</v>
      </c>
      <c r="G29" s="30">
        <v>1</v>
      </c>
      <c r="H29" s="92">
        <v>108500</v>
      </c>
      <c r="I29" s="86">
        <f t="shared" si="2"/>
        <v>108500</v>
      </c>
      <c r="J29" s="92"/>
      <c r="K29" s="92">
        <f t="shared" si="0"/>
        <v>108500</v>
      </c>
      <c r="L29" s="92">
        <f>10000-10000</f>
        <v>0</v>
      </c>
      <c r="M29" s="92"/>
      <c r="N29" s="92">
        <f t="shared" si="1"/>
        <v>108500</v>
      </c>
      <c r="O29" s="10" t="s">
        <v>23</v>
      </c>
      <c r="P29" s="95"/>
      <c r="Q29" s="10" t="s">
        <v>40</v>
      </c>
      <c r="S29" s="12"/>
      <c r="U29" s="92"/>
      <c r="V29" s="92"/>
      <c r="W29" s="92"/>
      <c r="X29" s="92"/>
    </row>
    <row r="30" spans="1:24" s="29" customFormat="1" ht="15.6">
      <c r="A30" s="9">
        <v>44194</v>
      </c>
      <c r="B30" s="10" t="s">
        <v>23</v>
      </c>
      <c r="C30" s="11" t="s">
        <v>227</v>
      </c>
      <c r="D30" s="29" t="s">
        <v>228</v>
      </c>
      <c r="E30" s="15" t="s">
        <v>229</v>
      </c>
      <c r="F30" s="15" t="s">
        <v>230</v>
      </c>
      <c r="G30" s="30">
        <v>1</v>
      </c>
      <c r="H30" s="92">
        <v>98500</v>
      </c>
      <c r="I30" s="86">
        <f t="shared" si="2"/>
        <v>98500</v>
      </c>
      <c r="J30" s="92"/>
      <c r="K30" s="92">
        <f t="shared" si="0"/>
        <v>98500</v>
      </c>
      <c r="L30" s="92">
        <v>27000</v>
      </c>
      <c r="M30" s="92"/>
      <c r="N30" s="92">
        <f t="shared" si="1"/>
        <v>125500</v>
      </c>
      <c r="O30" s="10" t="s">
        <v>23</v>
      </c>
      <c r="P30" s="95"/>
      <c r="Q30" s="10" t="s">
        <v>40</v>
      </c>
      <c r="S30" s="12"/>
      <c r="U30" s="92"/>
      <c r="V30" s="92"/>
      <c r="W30" s="92"/>
      <c r="X30" s="92"/>
    </row>
    <row r="31" spans="1:24" s="29" customFormat="1" ht="15.6">
      <c r="A31" s="9">
        <v>44194</v>
      </c>
      <c r="B31" s="10" t="s">
        <v>23</v>
      </c>
      <c r="C31" s="11" t="s">
        <v>231</v>
      </c>
      <c r="D31" s="29" t="s">
        <v>232</v>
      </c>
      <c r="E31" s="51" t="s">
        <v>233</v>
      </c>
      <c r="F31" s="52" t="s">
        <v>234</v>
      </c>
      <c r="G31" s="16">
        <v>1</v>
      </c>
      <c r="H31" s="92">
        <v>83000</v>
      </c>
      <c r="I31" s="86">
        <f t="shared" si="2"/>
        <v>83000</v>
      </c>
      <c r="J31" s="92"/>
      <c r="K31" s="92">
        <f t="shared" si="0"/>
        <v>83000</v>
      </c>
      <c r="L31" s="92">
        <f>51000-46000</f>
        <v>5000</v>
      </c>
      <c r="M31" s="92"/>
      <c r="N31" s="92">
        <f t="shared" si="1"/>
        <v>88000</v>
      </c>
      <c r="O31" s="10" t="s">
        <v>23</v>
      </c>
      <c r="P31" s="89"/>
      <c r="Q31" s="10" t="s">
        <v>40</v>
      </c>
      <c r="S31" s="89"/>
      <c r="U31" s="92"/>
      <c r="V31" s="92"/>
      <c r="W31" s="92"/>
      <c r="X31" s="92"/>
    </row>
    <row r="32" spans="1:24" s="29" customFormat="1">
      <c r="A32" s="9">
        <v>44194</v>
      </c>
      <c r="B32" s="10" t="s">
        <v>23</v>
      </c>
      <c r="C32" s="11" t="s">
        <v>231</v>
      </c>
      <c r="D32" s="29" t="s">
        <v>232</v>
      </c>
      <c r="E32" s="51" t="s">
        <v>235</v>
      </c>
      <c r="F32" s="53" t="s">
        <v>235</v>
      </c>
      <c r="G32" s="16">
        <v>1</v>
      </c>
      <c r="H32" s="92">
        <v>97000</v>
      </c>
      <c r="I32" s="86">
        <f t="shared" si="2"/>
        <v>97000</v>
      </c>
      <c r="J32" s="92"/>
      <c r="K32" s="92">
        <f t="shared" si="0"/>
        <v>97000</v>
      </c>
      <c r="L32" s="92"/>
      <c r="M32" s="92"/>
      <c r="N32" s="92">
        <f t="shared" si="1"/>
        <v>97000</v>
      </c>
      <c r="O32" s="10" t="s">
        <v>23</v>
      </c>
      <c r="P32" s="89"/>
      <c r="Q32" s="10" t="s">
        <v>40</v>
      </c>
      <c r="S32" s="89"/>
      <c r="U32" s="92"/>
      <c r="V32" s="92"/>
      <c r="W32" s="92"/>
      <c r="X32" s="92"/>
    </row>
    <row r="33" spans="1:24" s="29" customFormat="1" ht="15.6" hidden="1">
      <c r="A33" s="9">
        <v>44194</v>
      </c>
      <c r="B33" s="10" t="s">
        <v>170</v>
      </c>
      <c r="C33" s="54" t="s">
        <v>236</v>
      </c>
      <c r="D33" s="29" t="s">
        <v>237</v>
      </c>
      <c r="E33" s="38" t="s">
        <v>238</v>
      </c>
      <c r="F33" s="38" t="s">
        <v>239</v>
      </c>
      <c r="G33" s="16">
        <v>2</v>
      </c>
      <c r="H33" s="92">
        <v>92000</v>
      </c>
      <c r="I33" s="86">
        <f t="shared" si="2"/>
        <v>184000</v>
      </c>
      <c r="J33" s="92"/>
      <c r="K33" s="92">
        <f t="shared" si="0"/>
        <v>184000</v>
      </c>
      <c r="L33" s="92">
        <f>28000-28000</f>
        <v>0</v>
      </c>
      <c r="M33" s="92"/>
      <c r="N33" s="92">
        <f t="shared" si="1"/>
        <v>184000</v>
      </c>
      <c r="O33" s="10" t="s">
        <v>170</v>
      </c>
      <c r="P33" s="89" t="s">
        <v>240</v>
      </c>
      <c r="Q33" s="10" t="s">
        <v>176</v>
      </c>
      <c r="S33" s="89" t="s">
        <v>240</v>
      </c>
      <c r="U33" s="92"/>
      <c r="V33" s="92"/>
      <c r="W33" s="92"/>
      <c r="X33" s="92"/>
    </row>
    <row r="34" spans="1:24" s="29" customFormat="1" ht="15.6">
      <c r="A34" s="9">
        <v>44194</v>
      </c>
      <c r="B34" s="10" t="s">
        <v>23</v>
      </c>
      <c r="C34" s="11" t="s">
        <v>241</v>
      </c>
      <c r="D34" s="29" t="s">
        <v>242</v>
      </c>
      <c r="E34" s="15" t="s">
        <v>243</v>
      </c>
      <c r="F34" s="15" t="s">
        <v>244</v>
      </c>
      <c r="G34" s="16">
        <v>1</v>
      </c>
      <c r="H34" s="92">
        <v>98000</v>
      </c>
      <c r="I34" s="86">
        <f t="shared" si="2"/>
        <v>98000</v>
      </c>
      <c r="J34" s="92"/>
      <c r="K34" s="92">
        <f t="shared" si="0"/>
        <v>98000</v>
      </c>
      <c r="L34" s="92">
        <f>55000-25000</f>
        <v>30000</v>
      </c>
      <c r="M34" s="92"/>
      <c r="N34" s="92">
        <f t="shared" si="1"/>
        <v>128000</v>
      </c>
      <c r="O34" s="10" t="s">
        <v>23</v>
      </c>
      <c r="P34" s="92"/>
      <c r="Q34" s="10" t="s">
        <v>40</v>
      </c>
      <c r="S34" s="92"/>
      <c r="U34" s="92"/>
      <c r="V34" s="92"/>
      <c r="W34" s="92"/>
      <c r="X34" s="92"/>
    </row>
    <row r="35" spans="1:24" s="29" customFormat="1" ht="15.6" hidden="1">
      <c r="A35" s="9">
        <v>44194</v>
      </c>
      <c r="B35" s="10" t="s">
        <v>43</v>
      </c>
      <c r="C35" s="11" t="s">
        <v>245</v>
      </c>
      <c r="D35" s="29" t="s">
        <v>246</v>
      </c>
      <c r="E35" s="55" t="s">
        <v>247</v>
      </c>
      <c r="F35" s="55" t="s">
        <v>248</v>
      </c>
      <c r="G35" s="16">
        <v>1</v>
      </c>
      <c r="H35" s="92">
        <v>68000</v>
      </c>
      <c r="I35" s="86">
        <f t="shared" si="2"/>
        <v>68000</v>
      </c>
      <c r="J35" s="92"/>
      <c r="K35" s="92">
        <f t="shared" si="0"/>
        <v>68000</v>
      </c>
      <c r="L35" s="92"/>
      <c r="M35" s="92">
        <v>-6743</v>
      </c>
      <c r="N35" s="92">
        <f t="shared" si="1"/>
        <v>61257</v>
      </c>
      <c r="O35" s="10" t="s">
        <v>43</v>
      </c>
      <c r="P35" s="100" t="s">
        <v>249</v>
      </c>
      <c r="Q35" s="10" t="s">
        <v>204</v>
      </c>
      <c r="S35" s="37" t="s">
        <v>250</v>
      </c>
      <c r="U35" s="92"/>
      <c r="V35" s="92"/>
      <c r="W35" s="92"/>
      <c r="X35" s="92"/>
    </row>
    <row r="36" spans="1:24" s="29" customFormat="1" ht="15.6" hidden="1">
      <c r="A36" s="9">
        <v>44194</v>
      </c>
      <c r="B36" s="10" t="s">
        <v>43</v>
      </c>
      <c r="C36" s="11" t="s">
        <v>245</v>
      </c>
      <c r="D36" s="29" t="s">
        <v>251</v>
      </c>
      <c r="E36" s="55" t="s">
        <v>252</v>
      </c>
      <c r="F36" s="55" t="s">
        <v>253</v>
      </c>
      <c r="G36" s="16">
        <v>1</v>
      </c>
      <c r="H36" s="92">
        <v>82500</v>
      </c>
      <c r="I36" s="86">
        <f t="shared" si="2"/>
        <v>82500</v>
      </c>
      <c r="J36" s="92"/>
      <c r="K36" s="92">
        <f t="shared" si="0"/>
        <v>82500</v>
      </c>
      <c r="L36" s="92"/>
      <c r="M36" s="92"/>
      <c r="N36" s="92">
        <f t="shared" si="1"/>
        <v>82500</v>
      </c>
      <c r="O36" s="10" t="s">
        <v>43</v>
      </c>
      <c r="P36" s="100" t="s">
        <v>249</v>
      </c>
      <c r="Q36" s="10" t="s">
        <v>204</v>
      </c>
      <c r="S36" s="37" t="s">
        <v>250</v>
      </c>
      <c r="U36" s="92"/>
      <c r="V36" s="92"/>
      <c r="W36" s="92"/>
      <c r="X36" s="92"/>
    </row>
    <row r="37" spans="1:24" s="29" customFormat="1" ht="15.6">
      <c r="A37" s="9">
        <v>44194</v>
      </c>
      <c r="B37" s="10" t="s">
        <v>23</v>
      </c>
      <c r="C37" s="11" t="s">
        <v>254</v>
      </c>
      <c r="D37" s="29" t="s">
        <v>255</v>
      </c>
      <c r="E37" s="15" t="s">
        <v>256</v>
      </c>
      <c r="F37" s="15" t="s">
        <v>257</v>
      </c>
      <c r="G37" s="16">
        <v>1</v>
      </c>
      <c r="H37" s="86">
        <v>86000</v>
      </c>
      <c r="I37" s="86">
        <f t="shared" si="2"/>
        <v>86000</v>
      </c>
      <c r="J37" s="92"/>
      <c r="K37" s="92">
        <f t="shared" si="0"/>
        <v>86000</v>
      </c>
      <c r="L37" s="92">
        <v>8000</v>
      </c>
      <c r="M37" s="92"/>
      <c r="N37" s="92">
        <f t="shared" si="1"/>
        <v>94000</v>
      </c>
      <c r="O37" s="10" t="s">
        <v>23</v>
      </c>
      <c r="P37" s="105"/>
      <c r="Q37" s="10" t="s">
        <v>28</v>
      </c>
      <c r="S37" s="12"/>
      <c r="U37" s="92"/>
      <c r="V37" s="92"/>
      <c r="W37" s="92"/>
    </row>
    <row r="38" spans="1:24" s="29" customFormat="1" ht="15.6">
      <c r="A38" s="9">
        <v>44194</v>
      </c>
      <c r="B38" s="10" t="s">
        <v>23</v>
      </c>
      <c r="C38" s="11" t="s">
        <v>258</v>
      </c>
      <c r="D38" s="29" t="s">
        <v>259</v>
      </c>
      <c r="E38" s="46" t="s">
        <v>209</v>
      </c>
      <c r="F38" s="46" t="s">
        <v>260</v>
      </c>
      <c r="G38" s="16">
        <v>1</v>
      </c>
      <c r="H38" s="86">
        <v>120000</v>
      </c>
      <c r="I38" s="86">
        <f t="shared" si="2"/>
        <v>120000</v>
      </c>
      <c r="J38" s="92"/>
      <c r="K38" s="92">
        <f t="shared" si="0"/>
        <v>120000</v>
      </c>
      <c r="L38" s="92">
        <f>17000-17000</f>
        <v>0</v>
      </c>
      <c r="M38" s="92"/>
      <c r="N38" s="92">
        <f t="shared" si="1"/>
        <v>120000</v>
      </c>
      <c r="O38" s="10" t="s">
        <v>23</v>
      </c>
      <c r="P38" s="56"/>
      <c r="Q38" s="10" t="s">
        <v>40</v>
      </c>
      <c r="S38" s="92"/>
      <c r="U38" s="92"/>
      <c r="V38" s="92"/>
      <c r="W38" s="92"/>
    </row>
    <row r="39" spans="1:24" s="29" customFormat="1">
      <c r="A39" s="9">
        <v>44194</v>
      </c>
      <c r="B39" s="10" t="s">
        <v>23</v>
      </c>
      <c r="C39" s="11" t="s">
        <v>258</v>
      </c>
      <c r="D39" s="29" t="s">
        <v>259</v>
      </c>
      <c r="E39" s="48" t="s">
        <v>214</v>
      </c>
      <c r="F39" s="48" t="s">
        <v>261</v>
      </c>
      <c r="G39" s="16">
        <v>1</v>
      </c>
      <c r="H39" s="86">
        <v>82000</v>
      </c>
      <c r="I39" s="86">
        <f t="shared" si="2"/>
        <v>82000</v>
      </c>
      <c r="J39" s="92"/>
      <c r="K39" s="92">
        <f t="shared" si="0"/>
        <v>82000</v>
      </c>
      <c r="L39" s="92"/>
      <c r="M39" s="92"/>
      <c r="N39" s="92">
        <f t="shared" si="1"/>
        <v>82000</v>
      </c>
      <c r="O39" s="10" t="s">
        <v>23</v>
      </c>
      <c r="P39" s="95"/>
      <c r="Q39" s="10" t="s">
        <v>40</v>
      </c>
      <c r="S39" s="12"/>
      <c r="U39" s="92"/>
      <c r="V39" s="92"/>
      <c r="W39" s="92"/>
    </row>
    <row r="40" spans="1:24" s="29" customFormat="1" ht="16.8" hidden="1">
      <c r="A40" s="9">
        <v>44195</v>
      </c>
      <c r="B40" s="10" t="s">
        <v>177</v>
      </c>
      <c r="C40" s="10" t="s">
        <v>262</v>
      </c>
      <c r="D40" s="29" t="s">
        <v>263</v>
      </c>
      <c r="E40" s="57" t="s">
        <v>264</v>
      </c>
      <c r="F40" s="58" t="s">
        <v>265</v>
      </c>
      <c r="G40" s="30">
        <v>1</v>
      </c>
      <c r="H40" s="86">
        <v>121000</v>
      </c>
      <c r="I40" s="86">
        <f t="shared" si="2"/>
        <v>121000</v>
      </c>
      <c r="J40" s="92"/>
      <c r="K40" s="92">
        <f t="shared" si="0"/>
        <v>121000</v>
      </c>
      <c r="L40" s="92">
        <v>9000</v>
      </c>
      <c r="M40" s="92"/>
      <c r="N40" s="92">
        <f t="shared" si="1"/>
        <v>130000</v>
      </c>
      <c r="O40" s="10" t="s">
        <v>177</v>
      </c>
      <c r="P40" s="104" t="s">
        <v>266</v>
      </c>
      <c r="Q40" s="10" t="s">
        <v>54</v>
      </c>
      <c r="S40" s="12" t="s">
        <v>267</v>
      </c>
      <c r="U40" s="92"/>
      <c r="V40" s="92"/>
      <c r="W40" s="92"/>
    </row>
    <row r="41" spans="1:24" s="29" customFormat="1" ht="15.6">
      <c r="A41" s="9">
        <v>44195</v>
      </c>
      <c r="B41" s="10" t="s">
        <v>23</v>
      </c>
      <c r="C41" s="11" t="s">
        <v>268</v>
      </c>
      <c r="D41" s="29" t="s">
        <v>269</v>
      </c>
      <c r="E41" s="57" t="s">
        <v>270</v>
      </c>
      <c r="F41" s="38" t="s">
        <v>271</v>
      </c>
      <c r="G41" s="30">
        <v>1</v>
      </c>
      <c r="H41" s="86">
        <v>59500</v>
      </c>
      <c r="I41" s="86">
        <f t="shared" si="2"/>
        <v>59500</v>
      </c>
      <c r="J41" s="92"/>
      <c r="K41" s="92">
        <f t="shared" si="0"/>
        <v>59500</v>
      </c>
      <c r="L41" s="92">
        <v>8000</v>
      </c>
      <c r="M41" s="92"/>
      <c r="N41" s="92">
        <f t="shared" si="1"/>
        <v>67500</v>
      </c>
      <c r="O41" s="10" t="s">
        <v>23</v>
      </c>
      <c r="P41" s="95"/>
      <c r="Q41" s="10" t="s">
        <v>28</v>
      </c>
      <c r="S41" s="12"/>
      <c r="U41" s="92"/>
      <c r="V41" s="92"/>
      <c r="W41" s="92"/>
    </row>
    <row r="42" spans="1:24" s="29" customFormat="1" ht="15.6" hidden="1">
      <c r="A42" s="9">
        <v>44195</v>
      </c>
      <c r="B42" s="10" t="s">
        <v>43</v>
      </c>
      <c r="C42" s="11" t="s">
        <v>272</v>
      </c>
      <c r="D42" s="29" t="s">
        <v>273</v>
      </c>
      <c r="E42" s="57" t="s">
        <v>162</v>
      </c>
      <c r="F42" s="38" t="s">
        <v>163</v>
      </c>
      <c r="G42" s="30">
        <v>1</v>
      </c>
      <c r="H42" s="86">
        <v>95000</v>
      </c>
      <c r="I42" s="86">
        <f t="shared" si="2"/>
        <v>95000</v>
      </c>
      <c r="J42" s="92"/>
      <c r="K42" s="92">
        <f t="shared" si="0"/>
        <v>95000</v>
      </c>
      <c r="L42" s="92"/>
      <c r="M42" s="92">
        <v>-4256</v>
      </c>
      <c r="N42" s="92">
        <f t="shared" si="1"/>
        <v>90744</v>
      </c>
      <c r="O42" s="10" t="s">
        <v>43</v>
      </c>
      <c r="P42" s="100" t="s">
        <v>274</v>
      </c>
      <c r="Q42" s="10" t="s">
        <v>138</v>
      </c>
      <c r="S42" s="12">
        <v>8827722045818540</v>
      </c>
      <c r="U42" s="92"/>
      <c r="V42" s="92"/>
      <c r="W42" s="92"/>
    </row>
    <row r="43" spans="1:24" s="29" customFormat="1" ht="15.6">
      <c r="A43" s="9">
        <v>44195</v>
      </c>
      <c r="B43" s="10" t="s">
        <v>23</v>
      </c>
      <c r="C43" s="11" t="s">
        <v>275</v>
      </c>
      <c r="D43" s="29" t="s">
        <v>9412</v>
      </c>
      <c r="E43" s="25" t="s">
        <v>276</v>
      </c>
      <c r="F43" s="25" t="s">
        <v>277</v>
      </c>
      <c r="G43" s="16">
        <v>1</v>
      </c>
      <c r="H43" s="86">
        <v>78500</v>
      </c>
      <c r="I43" s="86">
        <f t="shared" si="2"/>
        <v>78500</v>
      </c>
      <c r="J43" s="92">
        <f>I43*10%</f>
        <v>7850</v>
      </c>
      <c r="K43" s="92">
        <f t="shared" si="0"/>
        <v>70650</v>
      </c>
      <c r="L43" s="92">
        <v>19000</v>
      </c>
      <c r="N43" s="92">
        <f t="shared" si="1"/>
        <v>89650</v>
      </c>
      <c r="O43" s="10" t="s">
        <v>23</v>
      </c>
      <c r="P43" s="96"/>
      <c r="Q43" s="10" t="s">
        <v>40</v>
      </c>
      <c r="S43" s="110"/>
      <c r="U43" s="92"/>
      <c r="V43" s="92"/>
      <c r="W43" s="92"/>
    </row>
    <row r="44" spans="1:24" s="29" customFormat="1" ht="15.6">
      <c r="A44" s="9">
        <v>44195</v>
      </c>
      <c r="B44" s="10" t="s">
        <v>23</v>
      </c>
      <c r="C44" s="11" t="s">
        <v>275</v>
      </c>
      <c r="D44" s="29" t="s">
        <v>9412</v>
      </c>
      <c r="E44" s="25" t="s">
        <v>278</v>
      </c>
      <c r="F44" s="59" t="s">
        <v>279</v>
      </c>
      <c r="G44" s="16">
        <v>1</v>
      </c>
      <c r="H44" s="86">
        <v>88500</v>
      </c>
      <c r="I44" s="86">
        <f t="shared" si="2"/>
        <v>88500</v>
      </c>
      <c r="J44" s="92">
        <f t="shared" ref="J44:J45" si="3">I44*10%</f>
        <v>8850</v>
      </c>
      <c r="K44" s="92">
        <f t="shared" si="0"/>
        <v>79650</v>
      </c>
      <c r="L44" s="92"/>
      <c r="N44" s="92">
        <f t="shared" si="1"/>
        <v>79650</v>
      </c>
      <c r="O44" s="10" t="s">
        <v>23</v>
      </c>
      <c r="P44" s="60"/>
      <c r="Q44" s="10" t="s">
        <v>40</v>
      </c>
      <c r="S44" s="103"/>
      <c r="U44" s="92"/>
      <c r="V44" s="92"/>
      <c r="W44" s="92"/>
    </row>
    <row r="45" spans="1:24" s="29" customFormat="1" ht="15.6">
      <c r="A45" s="9">
        <v>44195</v>
      </c>
      <c r="B45" s="10" t="s">
        <v>23</v>
      </c>
      <c r="C45" s="11" t="s">
        <v>275</v>
      </c>
      <c r="D45" s="29" t="s">
        <v>9413</v>
      </c>
      <c r="E45" s="61" t="s">
        <v>103</v>
      </c>
      <c r="F45" s="25" t="s">
        <v>125</v>
      </c>
      <c r="G45" s="16">
        <v>1</v>
      </c>
      <c r="H45" s="86">
        <v>113500</v>
      </c>
      <c r="I45" s="86">
        <f t="shared" si="2"/>
        <v>113500</v>
      </c>
      <c r="J45" s="92">
        <f t="shared" si="3"/>
        <v>11350</v>
      </c>
      <c r="K45" s="92">
        <f t="shared" si="0"/>
        <v>102150</v>
      </c>
      <c r="L45" s="92"/>
      <c r="N45" s="92">
        <f t="shared" si="1"/>
        <v>102150</v>
      </c>
      <c r="O45" s="10" t="s">
        <v>23</v>
      </c>
      <c r="P45" s="56"/>
      <c r="Q45" s="10" t="s">
        <v>40</v>
      </c>
      <c r="S45" s="92"/>
      <c r="U45" s="92"/>
      <c r="V45" s="92"/>
      <c r="W45" s="92"/>
    </row>
    <row r="46" spans="1:24" s="29" customFormat="1" ht="15.6" hidden="1">
      <c r="A46" s="9">
        <v>44195</v>
      </c>
      <c r="B46" s="10" t="s">
        <v>29</v>
      </c>
      <c r="C46" s="11" t="s">
        <v>280</v>
      </c>
      <c r="D46" s="29" t="s">
        <v>31</v>
      </c>
      <c r="E46" s="15" t="s">
        <v>281</v>
      </c>
      <c r="F46" s="33" t="s">
        <v>282</v>
      </c>
      <c r="G46" s="16">
        <v>1</v>
      </c>
      <c r="H46" s="86">
        <v>75000</v>
      </c>
      <c r="I46" s="86">
        <f t="shared" si="2"/>
        <v>75000</v>
      </c>
      <c r="J46" s="92"/>
      <c r="K46" s="92">
        <f t="shared" si="0"/>
        <v>75000</v>
      </c>
      <c r="L46" s="92"/>
      <c r="N46" s="92">
        <f t="shared" si="1"/>
        <v>75000</v>
      </c>
      <c r="O46" s="10" t="s">
        <v>29</v>
      </c>
      <c r="P46" s="56"/>
      <c r="Q46" s="10" t="s">
        <v>283</v>
      </c>
      <c r="S46" s="92"/>
      <c r="U46" s="92"/>
      <c r="V46" s="92"/>
      <c r="W46" s="92"/>
    </row>
    <row r="47" spans="1:24" s="29" customFormat="1" ht="15.6">
      <c r="A47" s="9">
        <v>44195</v>
      </c>
      <c r="B47" s="10" t="s">
        <v>23</v>
      </c>
      <c r="C47" s="10" t="s">
        <v>284</v>
      </c>
      <c r="D47" s="29" t="s">
        <v>285</v>
      </c>
      <c r="E47" s="57" t="s">
        <v>162</v>
      </c>
      <c r="F47" s="38" t="s">
        <v>163</v>
      </c>
      <c r="G47" s="16">
        <v>1</v>
      </c>
      <c r="H47" s="86">
        <v>95000</v>
      </c>
      <c r="I47" s="86">
        <f t="shared" si="2"/>
        <v>95000</v>
      </c>
      <c r="J47" s="92"/>
      <c r="K47" s="92">
        <f t="shared" si="0"/>
        <v>95000</v>
      </c>
      <c r="L47" s="92">
        <v>8000</v>
      </c>
      <c r="N47" s="92">
        <f>K47+L47+M47</f>
        <v>103000</v>
      </c>
      <c r="O47" s="10" t="s">
        <v>23</v>
      </c>
      <c r="P47" s="56"/>
      <c r="Q47" s="10" t="s">
        <v>28</v>
      </c>
      <c r="S47" s="110"/>
      <c r="U47" s="92"/>
      <c r="V47" s="92"/>
      <c r="W47" s="92"/>
    </row>
    <row r="48" spans="1:24" s="29" customFormat="1" ht="15.6" hidden="1">
      <c r="A48" s="9">
        <v>44195</v>
      </c>
      <c r="B48" s="10" t="s">
        <v>43</v>
      </c>
      <c r="C48" s="10" t="s">
        <v>286</v>
      </c>
      <c r="D48" s="29" t="s">
        <v>287</v>
      </c>
      <c r="E48" s="62" t="s">
        <v>288</v>
      </c>
      <c r="F48" s="63" t="s">
        <v>289</v>
      </c>
      <c r="G48" s="16">
        <v>1</v>
      </c>
      <c r="H48" s="86">
        <v>113000</v>
      </c>
      <c r="I48" s="86">
        <f t="shared" si="2"/>
        <v>113000</v>
      </c>
      <c r="J48" s="92"/>
      <c r="K48" s="92">
        <f t="shared" si="0"/>
        <v>113000</v>
      </c>
      <c r="L48" s="92">
        <v>35000</v>
      </c>
      <c r="M48" s="29">
        <v>-11044</v>
      </c>
      <c r="N48" s="92">
        <f t="shared" si="1"/>
        <v>136956</v>
      </c>
      <c r="O48" s="10" t="s">
        <v>43</v>
      </c>
      <c r="P48" s="100" t="s">
        <v>290</v>
      </c>
      <c r="Q48" s="10" t="s">
        <v>54</v>
      </c>
      <c r="S48" s="37" t="s">
        <v>291</v>
      </c>
      <c r="U48" s="92"/>
      <c r="V48" s="92"/>
      <c r="W48" s="92"/>
    </row>
    <row r="49" spans="1:23" s="29" customFormat="1" ht="15.6" hidden="1">
      <c r="A49" s="9">
        <v>44195</v>
      </c>
      <c r="B49" s="10" t="s">
        <v>43</v>
      </c>
      <c r="C49" s="10" t="s">
        <v>286</v>
      </c>
      <c r="D49" s="29" t="s">
        <v>292</v>
      </c>
      <c r="E49" s="64" t="s">
        <v>293</v>
      </c>
      <c r="F49" s="65" t="s">
        <v>294</v>
      </c>
      <c r="G49" s="16">
        <v>1</v>
      </c>
      <c r="H49" s="86">
        <v>133500</v>
      </c>
      <c r="I49" s="86">
        <f t="shared" si="2"/>
        <v>133500</v>
      </c>
      <c r="J49" s="92"/>
      <c r="K49" s="92">
        <f t="shared" si="0"/>
        <v>133500</v>
      </c>
      <c r="L49" s="92"/>
      <c r="N49" s="92">
        <f t="shared" si="1"/>
        <v>133500</v>
      </c>
      <c r="O49" s="10" t="s">
        <v>43</v>
      </c>
      <c r="P49" s="100" t="s">
        <v>290</v>
      </c>
      <c r="Q49" s="10" t="s">
        <v>54</v>
      </c>
      <c r="S49" s="37" t="s">
        <v>295</v>
      </c>
      <c r="U49" s="92"/>
      <c r="V49" s="92"/>
      <c r="W49" s="92"/>
    </row>
    <row r="50" spans="1:23" s="29" customFormat="1" ht="15.6">
      <c r="A50" s="9">
        <v>44195</v>
      </c>
      <c r="B50" s="10" t="s">
        <v>23</v>
      </c>
      <c r="C50" s="11" t="s">
        <v>296</v>
      </c>
      <c r="D50" s="29" t="s">
        <v>297</v>
      </c>
      <c r="E50" s="57" t="s">
        <v>298</v>
      </c>
      <c r="F50" s="38" t="s">
        <v>299</v>
      </c>
      <c r="G50" s="16">
        <v>1</v>
      </c>
      <c r="H50" s="86">
        <v>83000</v>
      </c>
      <c r="I50" s="86">
        <f t="shared" si="2"/>
        <v>83000</v>
      </c>
      <c r="J50" s="92"/>
      <c r="K50" s="92">
        <f t="shared" si="0"/>
        <v>83000</v>
      </c>
      <c r="L50" s="92">
        <v>17000</v>
      </c>
      <c r="N50" s="92">
        <f t="shared" si="1"/>
        <v>100000</v>
      </c>
      <c r="O50" s="10" t="s">
        <v>23</v>
      </c>
      <c r="P50" s="56"/>
      <c r="Q50" s="10" t="s">
        <v>40</v>
      </c>
      <c r="S50" s="92"/>
      <c r="U50" s="92"/>
      <c r="V50" s="92"/>
      <c r="W50" s="92"/>
    </row>
    <row r="51" spans="1:23" s="29" customFormat="1" ht="15.6" hidden="1">
      <c r="A51" s="9">
        <v>44196</v>
      </c>
      <c r="B51" s="10" t="s">
        <v>43</v>
      </c>
      <c r="C51" s="10" t="s">
        <v>300</v>
      </c>
      <c r="D51" s="66" t="s">
        <v>301</v>
      </c>
      <c r="E51" s="15" t="s">
        <v>213</v>
      </c>
      <c r="F51" s="15" t="s">
        <v>191</v>
      </c>
      <c r="G51" s="30">
        <v>1</v>
      </c>
      <c r="H51" s="86">
        <v>92500</v>
      </c>
      <c r="I51" s="86">
        <f t="shared" si="2"/>
        <v>92500</v>
      </c>
      <c r="J51" s="92"/>
      <c r="K51" s="86">
        <f t="shared" si="0"/>
        <v>92500</v>
      </c>
      <c r="L51" s="92">
        <v>16000</v>
      </c>
      <c r="M51" s="29">
        <v>-4145</v>
      </c>
      <c r="N51" s="92">
        <f t="shared" si="1"/>
        <v>104355</v>
      </c>
      <c r="O51" s="10" t="s">
        <v>43</v>
      </c>
      <c r="P51" s="101" t="s">
        <v>302</v>
      </c>
      <c r="Q51" s="10" t="s">
        <v>54</v>
      </c>
      <c r="S51" s="37" t="s">
        <v>303</v>
      </c>
      <c r="U51" s="92"/>
      <c r="V51" s="92"/>
      <c r="W51" s="92"/>
    </row>
    <row r="52" spans="1:23" s="29" customFormat="1" ht="15.6" hidden="1">
      <c r="A52" s="9">
        <v>44196</v>
      </c>
      <c r="B52" s="10" t="s">
        <v>43</v>
      </c>
      <c r="C52" s="10" t="s">
        <v>304</v>
      </c>
      <c r="D52" s="67" t="s">
        <v>305</v>
      </c>
      <c r="E52" s="22" t="s">
        <v>306</v>
      </c>
      <c r="F52" s="22" t="s">
        <v>307</v>
      </c>
      <c r="G52" s="30">
        <v>1</v>
      </c>
      <c r="H52" s="86">
        <v>90500</v>
      </c>
      <c r="I52" s="86">
        <f t="shared" si="2"/>
        <v>90500</v>
      </c>
      <c r="J52" s="92"/>
      <c r="K52" s="86">
        <f t="shared" si="0"/>
        <v>90500</v>
      </c>
      <c r="L52" s="92">
        <v>10000</v>
      </c>
      <c r="M52" s="29">
        <v>-4055</v>
      </c>
      <c r="N52" s="92">
        <f t="shared" si="1"/>
        <v>96445</v>
      </c>
      <c r="O52" s="10" t="s">
        <v>43</v>
      </c>
      <c r="P52" s="100" t="s">
        <v>308</v>
      </c>
      <c r="Q52" s="10" t="s">
        <v>54</v>
      </c>
      <c r="S52" s="37" t="s">
        <v>309</v>
      </c>
      <c r="U52" s="92"/>
      <c r="V52" s="92"/>
      <c r="W52" s="92"/>
    </row>
    <row r="53" spans="1:23" s="29" customFormat="1" ht="15.6" hidden="1">
      <c r="A53" s="9">
        <v>44196</v>
      </c>
      <c r="B53" s="10" t="s">
        <v>206</v>
      </c>
      <c r="C53" s="68" t="s">
        <v>300</v>
      </c>
      <c r="D53" s="29" t="s">
        <v>310</v>
      </c>
      <c r="E53" s="15" t="s">
        <v>190</v>
      </c>
      <c r="F53" s="15" t="s">
        <v>191</v>
      </c>
      <c r="G53" s="30">
        <v>1</v>
      </c>
      <c r="H53" s="86">
        <v>92000</v>
      </c>
      <c r="I53" s="86">
        <f t="shared" si="2"/>
        <v>92000</v>
      </c>
      <c r="J53" s="92"/>
      <c r="K53" s="86">
        <f t="shared" si="0"/>
        <v>92000</v>
      </c>
      <c r="L53" s="92">
        <v>16500</v>
      </c>
      <c r="N53" s="92">
        <f t="shared" si="1"/>
        <v>108500</v>
      </c>
      <c r="O53" s="10" t="s">
        <v>206</v>
      </c>
      <c r="P53" s="69" t="s">
        <v>311</v>
      </c>
      <c r="Q53" s="10" t="s">
        <v>54</v>
      </c>
      <c r="S53" s="103" t="s">
        <v>312</v>
      </c>
      <c r="U53" s="92"/>
      <c r="V53" s="92"/>
      <c r="W53" s="92"/>
    </row>
    <row r="54" spans="1:23" s="29" customFormat="1" ht="16.8" hidden="1">
      <c r="A54" s="9">
        <v>44196</v>
      </c>
      <c r="B54" s="10" t="s">
        <v>313</v>
      </c>
      <c r="C54" s="70" t="s">
        <v>314</v>
      </c>
      <c r="D54" s="29" t="s">
        <v>315</v>
      </c>
      <c r="E54" s="71" t="s">
        <v>316</v>
      </c>
      <c r="F54" s="71" t="s">
        <v>128</v>
      </c>
      <c r="G54" s="30">
        <v>3</v>
      </c>
      <c r="H54" s="86">
        <v>75500</v>
      </c>
      <c r="I54" s="86">
        <f t="shared" si="2"/>
        <v>226500</v>
      </c>
      <c r="J54" s="92"/>
      <c r="K54" s="86">
        <f t="shared" si="0"/>
        <v>226500</v>
      </c>
      <c r="L54" s="92">
        <v>7039</v>
      </c>
      <c r="N54" s="92">
        <f t="shared" si="1"/>
        <v>233539</v>
      </c>
      <c r="O54" s="10" t="s">
        <v>313</v>
      </c>
      <c r="P54" s="72">
        <v>46123</v>
      </c>
      <c r="Q54" s="10" t="s">
        <v>28</v>
      </c>
      <c r="S54" s="92"/>
      <c r="U54" s="92"/>
      <c r="V54" s="92"/>
      <c r="W54" s="92"/>
    </row>
    <row r="55" spans="1:23" s="29" customFormat="1" ht="16.8" hidden="1">
      <c r="A55" s="9">
        <v>44196</v>
      </c>
      <c r="B55" s="10" t="s">
        <v>317</v>
      </c>
      <c r="C55" s="73" t="s">
        <v>318</v>
      </c>
      <c r="D55" s="29" t="s">
        <v>319</v>
      </c>
      <c r="E55" s="15" t="s">
        <v>320</v>
      </c>
      <c r="F55" s="15" t="s">
        <v>321</v>
      </c>
      <c r="G55" s="16">
        <v>1</v>
      </c>
      <c r="H55" s="86">
        <v>154000</v>
      </c>
      <c r="I55" s="86">
        <f t="shared" si="2"/>
        <v>154000</v>
      </c>
      <c r="J55" s="92"/>
      <c r="K55" s="86">
        <f t="shared" si="0"/>
        <v>154000</v>
      </c>
      <c r="L55" s="92">
        <f>30000-30000</f>
        <v>0</v>
      </c>
      <c r="N55" s="92">
        <f t="shared" si="1"/>
        <v>154000</v>
      </c>
      <c r="O55" s="10" t="s">
        <v>317</v>
      </c>
      <c r="P55" s="69" t="s">
        <v>322</v>
      </c>
      <c r="Q55" s="10" t="s">
        <v>176</v>
      </c>
      <c r="S55" s="89" t="s">
        <v>322</v>
      </c>
      <c r="U55" s="92"/>
      <c r="V55" s="92"/>
      <c r="W55" s="92"/>
    </row>
    <row r="56" spans="1:23" s="29" customFormat="1" ht="15.6" hidden="1">
      <c r="A56" s="9">
        <v>44196</v>
      </c>
      <c r="B56" s="10" t="s">
        <v>206</v>
      </c>
      <c r="C56" s="45" t="s">
        <v>323</v>
      </c>
      <c r="D56" s="29" t="s">
        <v>324</v>
      </c>
      <c r="E56" s="22" t="s">
        <v>325</v>
      </c>
      <c r="F56" s="22" t="s">
        <v>326</v>
      </c>
      <c r="G56" s="16">
        <v>1</v>
      </c>
      <c r="H56" s="86">
        <v>129000</v>
      </c>
      <c r="I56" s="86">
        <f t="shared" si="2"/>
        <v>129000</v>
      </c>
      <c r="J56" s="92"/>
      <c r="K56" s="86">
        <f t="shared" si="0"/>
        <v>129000</v>
      </c>
      <c r="L56" s="92">
        <v>55800</v>
      </c>
      <c r="N56" s="92">
        <f t="shared" si="1"/>
        <v>184800</v>
      </c>
      <c r="O56" s="10" t="s">
        <v>206</v>
      </c>
      <c r="P56" s="72" t="s">
        <v>327</v>
      </c>
      <c r="Q56" s="10" t="s">
        <v>328</v>
      </c>
      <c r="S56" s="108"/>
      <c r="U56" s="92"/>
      <c r="V56" s="92"/>
      <c r="W56" s="92"/>
    </row>
    <row r="57" spans="1:23" s="29" customFormat="1" ht="15.6">
      <c r="A57" s="9">
        <v>44196</v>
      </c>
      <c r="B57" s="10" t="s">
        <v>23</v>
      </c>
      <c r="C57" s="11" t="s">
        <v>329</v>
      </c>
      <c r="D57" s="29" t="s">
        <v>330</v>
      </c>
      <c r="E57" s="22" t="s">
        <v>331</v>
      </c>
      <c r="F57" s="22" t="s">
        <v>332</v>
      </c>
      <c r="G57" s="16">
        <v>1</v>
      </c>
      <c r="H57" s="86">
        <v>105000</v>
      </c>
      <c r="I57" s="86">
        <f t="shared" si="2"/>
        <v>105000</v>
      </c>
      <c r="J57" s="92"/>
      <c r="K57" s="86">
        <f t="shared" si="0"/>
        <v>105000</v>
      </c>
      <c r="L57" s="92">
        <f>20000-20000</f>
        <v>0</v>
      </c>
      <c r="N57" s="92">
        <f t="shared" si="1"/>
        <v>105000</v>
      </c>
      <c r="O57" s="10" t="s">
        <v>23</v>
      </c>
      <c r="P57" s="72"/>
      <c r="Q57" s="10" t="s">
        <v>40</v>
      </c>
      <c r="S57" s="92"/>
      <c r="U57" s="92"/>
      <c r="V57" s="92"/>
      <c r="W57" s="92"/>
    </row>
    <row r="58" spans="1:23" s="29" customFormat="1" ht="15.6">
      <c r="A58" s="9">
        <v>44196</v>
      </c>
      <c r="B58" s="72" t="s">
        <v>23</v>
      </c>
      <c r="C58" s="76" t="s">
        <v>333</v>
      </c>
      <c r="D58" s="29" t="s">
        <v>334</v>
      </c>
      <c r="E58" s="111" t="s">
        <v>335</v>
      </c>
      <c r="F58" s="71" t="s">
        <v>336</v>
      </c>
      <c r="G58" s="16">
        <v>1</v>
      </c>
      <c r="H58" s="86">
        <v>105500</v>
      </c>
      <c r="I58" s="86">
        <f t="shared" si="2"/>
        <v>105500</v>
      </c>
      <c r="J58" s="92"/>
      <c r="K58" s="86">
        <f t="shared" si="0"/>
        <v>105500</v>
      </c>
      <c r="L58" s="92">
        <f>51000-25000</f>
        <v>26000</v>
      </c>
      <c r="N58" s="92">
        <f t="shared" si="1"/>
        <v>131500</v>
      </c>
      <c r="O58" s="72" t="s">
        <v>23</v>
      </c>
      <c r="P58" s="72"/>
      <c r="Q58" s="72" t="s">
        <v>40</v>
      </c>
      <c r="S58" s="92"/>
      <c r="U58" s="92"/>
      <c r="V58" s="92"/>
      <c r="W58" s="92"/>
    </row>
    <row r="59" spans="1:23" s="29" customFormat="1" ht="15.6" hidden="1">
      <c r="A59" s="9">
        <v>44200</v>
      </c>
      <c r="B59" s="10" t="s">
        <v>43</v>
      </c>
      <c r="C59" s="11" t="s">
        <v>337</v>
      </c>
      <c r="D59" s="29" t="s">
        <v>338</v>
      </c>
      <c r="E59" s="74" t="s">
        <v>339</v>
      </c>
      <c r="F59" s="15" t="s">
        <v>340</v>
      </c>
      <c r="G59" s="30">
        <v>1</v>
      </c>
      <c r="H59" s="86">
        <v>58500</v>
      </c>
      <c r="I59" s="86">
        <f t="shared" si="2"/>
        <v>58500</v>
      </c>
      <c r="J59" s="92">
        <f t="shared" ref="J59:J65" si="4">I59*20%</f>
        <v>11700</v>
      </c>
      <c r="K59" s="86">
        <f t="shared" si="0"/>
        <v>46800</v>
      </c>
      <c r="L59" s="92">
        <v>17000</v>
      </c>
      <c r="M59" s="29">
        <v>-2097</v>
      </c>
      <c r="N59" s="92">
        <f t="shared" si="1"/>
        <v>61703</v>
      </c>
      <c r="O59" s="10" t="s">
        <v>43</v>
      </c>
      <c r="P59" s="100" t="s">
        <v>341</v>
      </c>
      <c r="Q59" s="10" t="s">
        <v>54</v>
      </c>
      <c r="S59" s="37" t="s">
        <v>342</v>
      </c>
      <c r="U59" s="92"/>
      <c r="V59" s="92"/>
      <c r="W59" s="92"/>
    </row>
    <row r="60" spans="1:23" s="29" customFormat="1" ht="15.6" hidden="1">
      <c r="A60" s="9">
        <v>44200</v>
      </c>
      <c r="B60" s="10" t="s">
        <v>43</v>
      </c>
      <c r="C60" s="11" t="s">
        <v>343</v>
      </c>
      <c r="D60" s="37" t="s">
        <v>344</v>
      </c>
      <c r="E60" s="14" t="s">
        <v>345</v>
      </c>
      <c r="F60" s="22" t="s">
        <v>346</v>
      </c>
      <c r="G60" s="30">
        <v>1</v>
      </c>
      <c r="H60" s="86">
        <v>66000</v>
      </c>
      <c r="I60" s="86">
        <f t="shared" si="2"/>
        <v>66000</v>
      </c>
      <c r="J60" s="92">
        <f t="shared" si="4"/>
        <v>13200</v>
      </c>
      <c r="K60" s="86">
        <f t="shared" si="0"/>
        <v>52800</v>
      </c>
      <c r="L60" s="92">
        <v>30000</v>
      </c>
      <c r="M60" s="29">
        <v>-2365</v>
      </c>
      <c r="N60" s="92">
        <f t="shared" si="1"/>
        <v>80435</v>
      </c>
      <c r="O60" s="10" t="s">
        <v>43</v>
      </c>
      <c r="P60" s="112" t="s">
        <v>347</v>
      </c>
      <c r="Q60" s="10" t="s">
        <v>54</v>
      </c>
      <c r="S60" s="37" t="s">
        <v>348</v>
      </c>
      <c r="U60" s="92"/>
      <c r="V60" s="92"/>
      <c r="W60" s="92"/>
    </row>
    <row r="61" spans="1:23" s="29" customFormat="1" ht="15.6" hidden="1">
      <c r="A61" s="9">
        <v>44200</v>
      </c>
      <c r="B61" s="10" t="s">
        <v>43</v>
      </c>
      <c r="C61" s="10" t="s">
        <v>349</v>
      </c>
      <c r="D61" s="29" t="s">
        <v>350</v>
      </c>
      <c r="E61" s="57" t="s">
        <v>152</v>
      </c>
      <c r="F61" s="38" t="s">
        <v>153</v>
      </c>
      <c r="G61" s="30">
        <v>1</v>
      </c>
      <c r="H61" s="86">
        <v>62500</v>
      </c>
      <c r="I61" s="86">
        <f t="shared" si="2"/>
        <v>62500</v>
      </c>
      <c r="J61" s="92">
        <f t="shared" si="4"/>
        <v>12500</v>
      </c>
      <c r="K61" s="86">
        <f t="shared" si="0"/>
        <v>50000</v>
      </c>
      <c r="L61" s="92">
        <v>24000</v>
      </c>
      <c r="M61" s="92">
        <v>-2240</v>
      </c>
      <c r="N61" s="92">
        <f t="shared" si="1"/>
        <v>71760</v>
      </c>
      <c r="O61" s="10" t="s">
        <v>43</v>
      </c>
      <c r="P61" s="100" t="s">
        <v>351</v>
      </c>
      <c r="Q61" s="10" t="s">
        <v>138</v>
      </c>
      <c r="S61" s="37" t="s">
        <v>352</v>
      </c>
      <c r="U61" s="92"/>
      <c r="V61" s="92"/>
      <c r="W61" s="92"/>
    </row>
    <row r="62" spans="1:23" s="29" customFormat="1" ht="15.6" hidden="1">
      <c r="A62" s="9">
        <v>44200</v>
      </c>
      <c r="B62" s="10" t="s">
        <v>43</v>
      </c>
      <c r="C62" s="11" t="s">
        <v>353</v>
      </c>
      <c r="D62" s="29" t="s">
        <v>354</v>
      </c>
      <c r="E62" s="15" t="s">
        <v>355</v>
      </c>
      <c r="F62" s="15" t="s">
        <v>356</v>
      </c>
      <c r="G62" s="30">
        <v>1</v>
      </c>
      <c r="H62" s="86">
        <v>186000</v>
      </c>
      <c r="I62" s="86">
        <f t="shared" si="2"/>
        <v>186000</v>
      </c>
      <c r="J62" s="92">
        <f t="shared" si="4"/>
        <v>37200</v>
      </c>
      <c r="K62" s="86">
        <f t="shared" si="0"/>
        <v>148800</v>
      </c>
      <c r="L62" s="92">
        <v>16000</v>
      </c>
      <c r="M62" s="92">
        <v>-6666</v>
      </c>
      <c r="N62" s="92">
        <f t="shared" si="1"/>
        <v>158134</v>
      </c>
      <c r="O62" s="10" t="s">
        <v>43</v>
      </c>
      <c r="P62" s="100" t="s">
        <v>357</v>
      </c>
      <c r="Q62" s="10" t="s">
        <v>138</v>
      </c>
      <c r="S62" s="37">
        <v>8827722054501760</v>
      </c>
      <c r="U62" s="92"/>
      <c r="V62" s="92"/>
      <c r="W62" s="92"/>
    </row>
    <row r="63" spans="1:23" s="29" customFormat="1" ht="15.6" hidden="1">
      <c r="A63" s="9">
        <v>44200</v>
      </c>
      <c r="B63" s="10" t="s">
        <v>43</v>
      </c>
      <c r="C63" s="11" t="s">
        <v>358</v>
      </c>
      <c r="D63" s="29" t="s">
        <v>359</v>
      </c>
      <c r="E63" s="46" t="s">
        <v>360</v>
      </c>
      <c r="F63" s="46" t="s">
        <v>361</v>
      </c>
      <c r="G63" s="30">
        <v>1</v>
      </c>
      <c r="H63" s="86">
        <v>119000</v>
      </c>
      <c r="I63" s="86">
        <f t="shared" si="2"/>
        <v>119000</v>
      </c>
      <c r="J63" s="92">
        <f t="shared" si="4"/>
        <v>23800</v>
      </c>
      <c r="K63" s="86">
        <f t="shared" si="0"/>
        <v>95200</v>
      </c>
      <c r="L63" s="92"/>
      <c r="M63" s="92">
        <v>-6953</v>
      </c>
      <c r="N63" s="92">
        <f t="shared" si="1"/>
        <v>88247</v>
      </c>
      <c r="O63" s="10" t="s">
        <v>43</v>
      </c>
      <c r="P63" s="100" t="s">
        <v>362</v>
      </c>
      <c r="Q63" s="10" t="s">
        <v>138</v>
      </c>
      <c r="S63" s="37" t="s">
        <v>363</v>
      </c>
      <c r="U63" s="92"/>
      <c r="V63" s="92"/>
      <c r="W63" s="92"/>
    </row>
    <row r="64" spans="1:23" s="29" customFormat="1" ht="15.6" hidden="1">
      <c r="A64" s="9">
        <v>44200</v>
      </c>
      <c r="B64" s="10" t="s">
        <v>43</v>
      </c>
      <c r="C64" s="11" t="s">
        <v>358</v>
      </c>
      <c r="D64" s="29" t="s">
        <v>364</v>
      </c>
      <c r="E64" s="34" t="s">
        <v>365</v>
      </c>
      <c r="F64" s="34" t="s">
        <v>366</v>
      </c>
      <c r="G64" s="30">
        <v>1</v>
      </c>
      <c r="H64" s="86">
        <v>75000</v>
      </c>
      <c r="I64" s="86">
        <f t="shared" si="2"/>
        <v>75000</v>
      </c>
      <c r="J64" s="92">
        <f t="shared" si="4"/>
        <v>15000</v>
      </c>
      <c r="K64" s="86">
        <f t="shared" si="0"/>
        <v>60000</v>
      </c>
      <c r="L64" s="92"/>
      <c r="M64" s="92"/>
      <c r="N64" s="92">
        <f t="shared" si="1"/>
        <v>60000</v>
      </c>
      <c r="O64" s="10" t="s">
        <v>43</v>
      </c>
      <c r="P64" s="100" t="s">
        <v>367</v>
      </c>
      <c r="Q64" s="10" t="s">
        <v>54</v>
      </c>
      <c r="S64" s="37" t="s">
        <v>368</v>
      </c>
      <c r="U64" s="92"/>
      <c r="V64" s="92"/>
      <c r="W64" s="92"/>
    </row>
    <row r="65" spans="1:23" s="29" customFormat="1" ht="15.6" hidden="1">
      <c r="A65" s="9">
        <v>44200</v>
      </c>
      <c r="B65" s="10" t="s">
        <v>206</v>
      </c>
      <c r="C65" s="68" t="s">
        <v>369</v>
      </c>
      <c r="D65" s="29" t="s">
        <v>370</v>
      </c>
      <c r="E65" s="14" t="s">
        <v>371</v>
      </c>
      <c r="F65" s="22" t="s">
        <v>372</v>
      </c>
      <c r="G65" s="30">
        <v>1</v>
      </c>
      <c r="H65" s="86">
        <v>147000</v>
      </c>
      <c r="I65" s="86">
        <f t="shared" si="2"/>
        <v>147000</v>
      </c>
      <c r="J65" s="92">
        <f t="shared" si="4"/>
        <v>29400</v>
      </c>
      <c r="K65" s="86">
        <f t="shared" si="0"/>
        <v>117600</v>
      </c>
      <c r="L65" s="92">
        <v>40200</v>
      </c>
      <c r="M65" s="113"/>
      <c r="N65" s="92">
        <f>K65+L65+M65</f>
        <v>157800</v>
      </c>
      <c r="O65" s="10" t="s">
        <v>206</v>
      </c>
      <c r="P65" s="75" t="s">
        <v>373</v>
      </c>
      <c r="Q65" s="10" t="s">
        <v>176</v>
      </c>
      <c r="S65" s="103" t="s">
        <v>374</v>
      </c>
      <c r="U65" s="92"/>
      <c r="V65" s="92"/>
      <c r="W65" s="92"/>
    </row>
    <row r="66" spans="1:23" s="29" customFormat="1" ht="15.6" hidden="1">
      <c r="A66" s="9">
        <v>44200</v>
      </c>
      <c r="B66" s="10" t="s">
        <v>170</v>
      </c>
      <c r="C66" s="41" t="s">
        <v>375</v>
      </c>
      <c r="D66" s="29" t="s">
        <v>376</v>
      </c>
      <c r="E66" s="74" t="s">
        <v>377</v>
      </c>
      <c r="F66" s="15" t="s">
        <v>378</v>
      </c>
      <c r="G66" s="30">
        <v>1</v>
      </c>
      <c r="H66" s="86">
        <v>155000</v>
      </c>
      <c r="I66" s="86">
        <f t="shared" si="2"/>
        <v>155000</v>
      </c>
      <c r="J66" s="92"/>
      <c r="K66" s="86">
        <f t="shared" si="0"/>
        <v>155000</v>
      </c>
      <c r="L66" s="92">
        <f>33000-33000</f>
        <v>0</v>
      </c>
      <c r="M66" s="92"/>
      <c r="N66" s="92">
        <f t="shared" si="1"/>
        <v>155000</v>
      </c>
      <c r="O66" s="10" t="s">
        <v>170</v>
      </c>
      <c r="P66" s="114" t="s">
        <v>379</v>
      </c>
      <c r="Q66" s="10" t="s">
        <v>380</v>
      </c>
      <c r="S66" s="103" t="s">
        <v>379</v>
      </c>
      <c r="U66" s="92"/>
      <c r="V66" s="92"/>
      <c r="W66" s="92"/>
    </row>
    <row r="67" spans="1:23" s="29" customFormat="1" ht="16.8" hidden="1">
      <c r="A67" s="9">
        <v>44200</v>
      </c>
      <c r="B67" s="10" t="s">
        <v>177</v>
      </c>
      <c r="C67" s="11" t="s">
        <v>381</v>
      </c>
      <c r="D67" s="29" t="s">
        <v>382</v>
      </c>
      <c r="E67" s="57" t="s">
        <v>383</v>
      </c>
      <c r="F67" s="38" t="s">
        <v>384</v>
      </c>
      <c r="G67" s="30">
        <v>1</v>
      </c>
      <c r="H67" s="86">
        <v>111000</v>
      </c>
      <c r="I67" s="86">
        <f t="shared" si="2"/>
        <v>111000</v>
      </c>
      <c r="K67" s="86">
        <f t="shared" ref="K67:K130" si="5">I67-J67</f>
        <v>111000</v>
      </c>
      <c r="L67" s="92">
        <v>7000</v>
      </c>
      <c r="M67" s="92"/>
      <c r="N67" s="92">
        <f t="shared" ref="N67:N130" si="6">K67+L67+M67</f>
        <v>118000</v>
      </c>
      <c r="O67" s="10" t="s">
        <v>177</v>
      </c>
      <c r="P67" s="104" t="s">
        <v>385</v>
      </c>
      <c r="Q67" s="10" t="s">
        <v>54</v>
      </c>
      <c r="S67" s="115" t="s">
        <v>386</v>
      </c>
      <c r="U67" s="92"/>
      <c r="V67" s="92"/>
      <c r="W67" s="92"/>
    </row>
    <row r="68" spans="1:23" s="29" customFormat="1" ht="15.6">
      <c r="A68" s="9">
        <v>44200</v>
      </c>
      <c r="B68" s="10" t="s">
        <v>23</v>
      </c>
      <c r="C68" s="10" t="s">
        <v>387</v>
      </c>
      <c r="D68" s="29" t="s">
        <v>388</v>
      </c>
      <c r="E68" s="57" t="s">
        <v>152</v>
      </c>
      <c r="F68" s="38" t="s">
        <v>153</v>
      </c>
      <c r="G68" s="30">
        <v>1</v>
      </c>
      <c r="H68" s="86">
        <v>62500</v>
      </c>
      <c r="I68" s="86">
        <f t="shared" si="2"/>
        <v>62500</v>
      </c>
      <c r="J68" s="76"/>
      <c r="K68" s="86">
        <f t="shared" si="5"/>
        <v>62500</v>
      </c>
      <c r="L68" s="92">
        <v>15000</v>
      </c>
      <c r="M68" s="92"/>
      <c r="N68" s="92">
        <f t="shared" si="6"/>
        <v>77500</v>
      </c>
      <c r="O68" s="10" t="s">
        <v>23</v>
      </c>
      <c r="P68" s="75"/>
      <c r="Q68" s="10" t="s">
        <v>28</v>
      </c>
      <c r="S68" s="92"/>
      <c r="U68" s="92"/>
      <c r="V68" s="92"/>
      <c r="W68" s="92"/>
    </row>
    <row r="69" spans="1:23" s="29" customFormat="1" ht="15.6" hidden="1">
      <c r="A69" s="9">
        <v>44200</v>
      </c>
      <c r="B69" s="10" t="s">
        <v>313</v>
      </c>
      <c r="C69" s="77" t="s">
        <v>389</v>
      </c>
      <c r="D69" s="29" t="s">
        <v>390</v>
      </c>
      <c r="E69" s="57" t="s">
        <v>391</v>
      </c>
      <c r="F69" s="38" t="s">
        <v>392</v>
      </c>
      <c r="G69" s="30">
        <v>1</v>
      </c>
      <c r="H69" s="86">
        <v>59000</v>
      </c>
      <c r="I69" s="86">
        <f t="shared" ref="I69:I132" si="7">G69*H69</f>
        <v>59000</v>
      </c>
      <c r="J69" s="76"/>
      <c r="K69" s="86">
        <f t="shared" si="5"/>
        <v>59000</v>
      </c>
      <c r="L69" s="92">
        <v>17077</v>
      </c>
      <c r="M69" s="92"/>
      <c r="N69" s="92">
        <f t="shared" si="6"/>
        <v>76077</v>
      </c>
      <c r="O69" s="10" t="s">
        <v>313</v>
      </c>
      <c r="P69" s="75"/>
      <c r="Q69" s="10" t="s">
        <v>40</v>
      </c>
      <c r="S69" s="92"/>
      <c r="U69" s="92"/>
      <c r="V69" s="92"/>
      <c r="W69" s="92"/>
    </row>
    <row r="70" spans="1:23" s="29" customFormat="1" ht="15.6">
      <c r="A70" s="9">
        <v>44200</v>
      </c>
      <c r="B70" s="10" t="s">
        <v>23</v>
      </c>
      <c r="C70" s="11" t="s">
        <v>393</v>
      </c>
      <c r="D70" s="29" t="s">
        <v>394</v>
      </c>
      <c r="E70" s="74" t="s">
        <v>395</v>
      </c>
      <c r="F70" s="15" t="s">
        <v>396</v>
      </c>
      <c r="G70" s="30">
        <v>1</v>
      </c>
      <c r="H70" s="86">
        <v>81000</v>
      </c>
      <c r="I70" s="86">
        <f t="shared" si="7"/>
        <v>81000</v>
      </c>
      <c r="J70" s="76">
        <f>I70*20%</f>
        <v>16200</v>
      </c>
      <c r="K70" s="86">
        <f t="shared" si="5"/>
        <v>64800</v>
      </c>
      <c r="L70" s="92">
        <v>11000</v>
      </c>
      <c r="M70" s="92"/>
      <c r="N70" s="92">
        <f t="shared" si="6"/>
        <v>75800</v>
      </c>
      <c r="O70" s="10" t="s">
        <v>23</v>
      </c>
      <c r="P70" s="72"/>
      <c r="Q70" s="10" t="s">
        <v>40</v>
      </c>
      <c r="S70" s="92"/>
      <c r="U70" s="92"/>
      <c r="V70" s="92"/>
      <c r="W70" s="92"/>
    </row>
    <row r="71" spans="1:23" s="29" customFormat="1">
      <c r="A71" s="9">
        <v>44200</v>
      </c>
      <c r="B71" s="10" t="s">
        <v>23</v>
      </c>
      <c r="C71" s="10" t="s">
        <v>397</v>
      </c>
      <c r="D71" s="29" t="s">
        <v>398</v>
      </c>
      <c r="E71" s="78" t="s">
        <v>399</v>
      </c>
      <c r="F71" s="11" t="s">
        <v>400</v>
      </c>
      <c r="G71" s="30">
        <v>1</v>
      </c>
      <c r="H71" s="86">
        <v>185000</v>
      </c>
      <c r="I71" s="86">
        <f t="shared" si="7"/>
        <v>185000</v>
      </c>
      <c r="J71" s="76">
        <f>I71*20%</f>
        <v>37000</v>
      </c>
      <c r="K71" s="86">
        <f t="shared" si="5"/>
        <v>148000</v>
      </c>
      <c r="L71" s="92">
        <v>17000</v>
      </c>
      <c r="M71" s="92"/>
      <c r="N71" s="92">
        <f t="shared" si="6"/>
        <v>165000</v>
      </c>
      <c r="O71" s="10" t="s">
        <v>23</v>
      </c>
      <c r="P71" s="72"/>
      <c r="Q71" s="10" t="s">
        <v>40</v>
      </c>
      <c r="S71" s="92"/>
      <c r="U71" s="92"/>
      <c r="V71" s="92"/>
      <c r="W71" s="92"/>
    </row>
    <row r="72" spans="1:23" s="29" customFormat="1" ht="16.8" hidden="1">
      <c r="A72" s="9">
        <v>44200</v>
      </c>
      <c r="B72" s="10" t="s">
        <v>317</v>
      </c>
      <c r="C72" s="73" t="s">
        <v>401</v>
      </c>
      <c r="D72" s="29" t="s">
        <v>402</v>
      </c>
      <c r="E72" s="74" t="s">
        <v>403</v>
      </c>
      <c r="F72" s="15" t="s">
        <v>404</v>
      </c>
      <c r="G72" s="16">
        <v>1</v>
      </c>
      <c r="H72" s="86">
        <v>101000</v>
      </c>
      <c r="I72" s="86">
        <f t="shared" si="7"/>
        <v>101000</v>
      </c>
      <c r="J72" s="76"/>
      <c r="K72" s="86">
        <f t="shared" si="5"/>
        <v>101000</v>
      </c>
      <c r="L72" s="92">
        <v>7000</v>
      </c>
      <c r="M72" s="92"/>
      <c r="N72" s="92">
        <f t="shared" si="6"/>
        <v>108000</v>
      </c>
      <c r="O72" s="10" t="s">
        <v>317</v>
      </c>
      <c r="P72" s="72"/>
      <c r="Q72" s="10" t="s">
        <v>28</v>
      </c>
      <c r="S72" s="92"/>
      <c r="U72" s="92"/>
      <c r="V72" s="92"/>
      <c r="W72" s="92"/>
    </row>
    <row r="73" spans="1:23" s="29" customFormat="1" ht="16.8" hidden="1">
      <c r="A73" s="9">
        <v>44200</v>
      </c>
      <c r="B73" s="10" t="s">
        <v>313</v>
      </c>
      <c r="C73" s="70" t="s">
        <v>405</v>
      </c>
      <c r="D73" s="29" t="s">
        <v>406</v>
      </c>
      <c r="E73" s="15" t="s">
        <v>407</v>
      </c>
      <c r="F73" s="15" t="s">
        <v>408</v>
      </c>
      <c r="G73" s="16">
        <v>1</v>
      </c>
      <c r="H73" s="86">
        <v>68500</v>
      </c>
      <c r="I73" s="86">
        <f t="shared" si="7"/>
        <v>68500</v>
      </c>
      <c r="J73" s="76"/>
      <c r="K73" s="86">
        <f t="shared" si="5"/>
        <v>68500</v>
      </c>
      <c r="L73" s="92">
        <v>45044</v>
      </c>
      <c r="M73" s="92"/>
      <c r="N73" s="92">
        <f t="shared" si="6"/>
        <v>113544</v>
      </c>
      <c r="O73" s="10" t="s">
        <v>313</v>
      </c>
      <c r="Q73" s="10" t="s">
        <v>40</v>
      </c>
      <c r="S73" s="92"/>
      <c r="U73" s="92"/>
      <c r="V73" s="92"/>
      <c r="W73" s="92"/>
    </row>
    <row r="74" spans="1:23" s="29" customFormat="1" ht="15.6" hidden="1">
      <c r="A74" s="9">
        <v>44201</v>
      </c>
      <c r="B74" s="10" t="s">
        <v>43</v>
      </c>
      <c r="C74" s="10" t="s">
        <v>409</v>
      </c>
      <c r="D74" s="29" t="s">
        <v>410</v>
      </c>
      <c r="E74" s="38" t="s">
        <v>62</v>
      </c>
      <c r="F74" s="38" t="s">
        <v>63</v>
      </c>
      <c r="G74" s="30">
        <v>1</v>
      </c>
      <c r="H74" s="86">
        <v>66000</v>
      </c>
      <c r="I74" s="86">
        <f t="shared" si="7"/>
        <v>66000</v>
      </c>
      <c r="J74" s="76">
        <f>I74*20%</f>
        <v>13200</v>
      </c>
      <c r="K74" s="86">
        <f t="shared" si="5"/>
        <v>52800</v>
      </c>
      <c r="L74" s="92"/>
      <c r="M74" s="92">
        <v>-2365</v>
      </c>
      <c r="N74" s="92">
        <f t="shared" si="6"/>
        <v>50435</v>
      </c>
      <c r="O74" s="10" t="s">
        <v>43</v>
      </c>
      <c r="P74" s="100" t="s">
        <v>411</v>
      </c>
      <c r="Q74" s="10" t="s">
        <v>54</v>
      </c>
      <c r="S74" s="37" t="s">
        <v>412</v>
      </c>
      <c r="U74" s="92"/>
      <c r="V74" s="92"/>
      <c r="W74" s="92"/>
    </row>
    <row r="75" spans="1:23" s="29" customFormat="1" ht="15.6" hidden="1">
      <c r="A75" s="9">
        <v>44201</v>
      </c>
      <c r="B75" s="10" t="s">
        <v>43</v>
      </c>
      <c r="C75" s="10" t="s">
        <v>413</v>
      </c>
      <c r="D75" s="29" t="s">
        <v>414</v>
      </c>
      <c r="E75" s="22" t="s">
        <v>345</v>
      </c>
      <c r="F75" s="22" t="s">
        <v>346</v>
      </c>
      <c r="G75" s="30">
        <v>1</v>
      </c>
      <c r="H75" s="86">
        <v>66000</v>
      </c>
      <c r="I75" s="86">
        <f t="shared" si="7"/>
        <v>66000</v>
      </c>
      <c r="K75" s="86">
        <f t="shared" si="5"/>
        <v>66000</v>
      </c>
      <c r="L75" s="92">
        <v>17000</v>
      </c>
      <c r="M75" s="92">
        <v>-2957</v>
      </c>
      <c r="N75" s="92">
        <f t="shared" si="6"/>
        <v>80043</v>
      </c>
      <c r="O75" s="10" t="s">
        <v>43</v>
      </c>
      <c r="P75" s="100" t="s">
        <v>415</v>
      </c>
      <c r="Q75" s="10" t="s">
        <v>138</v>
      </c>
      <c r="S75" s="116">
        <v>8827722057232560</v>
      </c>
      <c r="U75" s="92"/>
      <c r="V75" s="92"/>
      <c r="W75" s="92"/>
    </row>
    <row r="76" spans="1:23" s="29" customFormat="1" ht="17.25" hidden="1" customHeight="1">
      <c r="A76" s="9">
        <v>44201</v>
      </c>
      <c r="B76" s="10" t="s">
        <v>206</v>
      </c>
      <c r="C76" s="45" t="s">
        <v>416</v>
      </c>
      <c r="D76" s="29" t="s">
        <v>417</v>
      </c>
      <c r="E76" s="10" t="s">
        <v>418</v>
      </c>
      <c r="F76" s="11" t="s">
        <v>419</v>
      </c>
      <c r="G76" s="30">
        <v>1</v>
      </c>
      <c r="H76" s="86">
        <v>55000</v>
      </c>
      <c r="I76" s="86">
        <f t="shared" si="7"/>
        <v>55000</v>
      </c>
      <c r="K76" s="86">
        <f t="shared" si="5"/>
        <v>55000</v>
      </c>
      <c r="L76" s="92">
        <v>14300</v>
      </c>
      <c r="M76" s="92"/>
      <c r="N76" s="92">
        <f t="shared" si="6"/>
        <v>69300</v>
      </c>
      <c r="O76" s="10" t="s">
        <v>206</v>
      </c>
      <c r="P76" s="29" t="s">
        <v>420</v>
      </c>
      <c r="Q76" s="10" t="s">
        <v>40</v>
      </c>
      <c r="S76" s="108" t="s">
        <v>421</v>
      </c>
      <c r="T76" s="92"/>
      <c r="U76" s="92"/>
      <c r="V76" s="92"/>
      <c r="W76" s="92"/>
    </row>
    <row r="77" spans="1:23" s="29" customFormat="1" ht="15.6" hidden="1">
      <c r="A77" s="9">
        <v>44201</v>
      </c>
      <c r="B77" s="10" t="s">
        <v>170</v>
      </c>
      <c r="C77" s="54" t="s">
        <v>422</v>
      </c>
      <c r="D77" s="29" t="s">
        <v>423</v>
      </c>
      <c r="E77" s="79" t="s">
        <v>424</v>
      </c>
      <c r="F77" s="80" t="s">
        <v>425</v>
      </c>
      <c r="G77" s="30">
        <v>1</v>
      </c>
      <c r="H77" s="86">
        <v>92000</v>
      </c>
      <c r="I77" s="86">
        <f t="shared" si="7"/>
        <v>92000</v>
      </c>
      <c r="K77" s="86">
        <f t="shared" si="5"/>
        <v>92000</v>
      </c>
      <c r="L77" s="92">
        <f>33000-33000</f>
        <v>0</v>
      </c>
      <c r="M77" s="92"/>
      <c r="N77" s="92">
        <f t="shared" si="6"/>
        <v>92000</v>
      </c>
      <c r="O77" s="10" t="s">
        <v>170</v>
      </c>
      <c r="P77" s="114" t="s">
        <v>426</v>
      </c>
      <c r="Q77" s="10" t="s">
        <v>176</v>
      </c>
      <c r="S77" s="89" t="s">
        <v>426</v>
      </c>
      <c r="T77" s="92"/>
      <c r="U77" s="92"/>
      <c r="V77" s="92"/>
      <c r="W77" s="92"/>
    </row>
    <row r="78" spans="1:23" s="29" customFormat="1" ht="15.6" hidden="1">
      <c r="A78" s="9">
        <v>44201</v>
      </c>
      <c r="B78" s="10" t="s">
        <v>170</v>
      </c>
      <c r="C78" s="54" t="s">
        <v>422</v>
      </c>
      <c r="D78" s="29" t="s">
        <v>427</v>
      </c>
      <c r="E78" s="81" t="s">
        <v>190</v>
      </c>
      <c r="F78" s="81" t="s">
        <v>191</v>
      </c>
      <c r="G78" s="30">
        <v>1</v>
      </c>
      <c r="H78" s="86">
        <v>92000</v>
      </c>
      <c r="I78" s="86">
        <f t="shared" si="7"/>
        <v>92000</v>
      </c>
      <c r="K78" s="86">
        <f t="shared" si="5"/>
        <v>92000</v>
      </c>
      <c r="L78" s="92"/>
      <c r="M78" s="92"/>
      <c r="N78" s="92">
        <f t="shared" si="6"/>
        <v>92000</v>
      </c>
      <c r="O78" s="10" t="s">
        <v>170</v>
      </c>
      <c r="P78" s="117" t="s">
        <v>426</v>
      </c>
      <c r="Q78" s="10" t="s">
        <v>176</v>
      </c>
      <c r="S78" s="89" t="s">
        <v>426</v>
      </c>
      <c r="T78" s="92"/>
      <c r="U78" s="92"/>
      <c r="V78" s="92"/>
      <c r="W78" s="92"/>
    </row>
    <row r="79" spans="1:23" s="29" customFormat="1" ht="15.6" hidden="1">
      <c r="A79" s="9">
        <v>44201</v>
      </c>
      <c r="B79" s="10" t="s">
        <v>170</v>
      </c>
      <c r="C79" s="54" t="s">
        <v>422</v>
      </c>
      <c r="D79" s="29" t="s">
        <v>428</v>
      </c>
      <c r="E79" s="81" t="s">
        <v>429</v>
      </c>
      <c r="F79" s="82" t="s">
        <v>430</v>
      </c>
      <c r="G79" s="30">
        <v>1</v>
      </c>
      <c r="H79" s="86">
        <v>60000</v>
      </c>
      <c r="I79" s="86">
        <f t="shared" si="7"/>
        <v>60000</v>
      </c>
      <c r="K79" s="86">
        <f t="shared" si="5"/>
        <v>60000</v>
      </c>
      <c r="L79" s="92"/>
      <c r="M79" s="92"/>
      <c r="N79" s="92">
        <f t="shared" si="6"/>
        <v>60000</v>
      </c>
      <c r="O79" s="10" t="s">
        <v>170</v>
      </c>
      <c r="P79" s="117" t="s">
        <v>426</v>
      </c>
      <c r="Q79" s="10" t="s">
        <v>176</v>
      </c>
      <c r="S79" s="89" t="s">
        <v>426</v>
      </c>
      <c r="T79" s="92"/>
      <c r="U79" s="92"/>
      <c r="V79" s="92"/>
      <c r="W79" s="92"/>
    </row>
    <row r="80" spans="1:23" s="29" customFormat="1" ht="15.6">
      <c r="A80" s="9">
        <v>44201</v>
      </c>
      <c r="B80" s="10" t="s">
        <v>23</v>
      </c>
      <c r="C80" s="41" t="s">
        <v>431</v>
      </c>
      <c r="D80" s="29" t="s">
        <v>31</v>
      </c>
      <c r="E80" s="83" t="s">
        <v>432</v>
      </c>
      <c r="F80" s="83" t="s">
        <v>433</v>
      </c>
      <c r="G80" s="30">
        <v>2</v>
      </c>
      <c r="H80" s="84">
        <v>54000</v>
      </c>
      <c r="I80" s="86">
        <f t="shared" si="7"/>
        <v>108000</v>
      </c>
      <c r="J80" s="29">
        <f>I80*25%</f>
        <v>27000</v>
      </c>
      <c r="K80" s="86">
        <f t="shared" si="5"/>
        <v>81000</v>
      </c>
      <c r="L80" s="92">
        <v>-45000</v>
      </c>
      <c r="M80" s="92"/>
      <c r="N80" s="92">
        <f t="shared" si="6"/>
        <v>36000</v>
      </c>
      <c r="O80" s="10" t="s">
        <v>23</v>
      </c>
      <c r="Q80" s="10" t="s">
        <v>434</v>
      </c>
      <c r="S80" s="92"/>
      <c r="T80" s="92"/>
      <c r="U80" s="92"/>
      <c r="V80" s="92"/>
      <c r="W80" s="92"/>
    </row>
    <row r="81" spans="1:23" s="29" customFormat="1" ht="15.6">
      <c r="A81" s="9">
        <v>44201</v>
      </c>
      <c r="B81" s="10" t="s">
        <v>23</v>
      </c>
      <c r="C81" s="41" t="s">
        <v>431</v>
      </c>
      <c r="D81" s="29" t="s">
        <v>31</v>
      </c>
      <c r="E81" s="83" t="s">
        <v>435</v>
      </c>
      <c r="F81" s="83" t="s">
        <v>436</v>
      </c>
      <c r="G81" s="30">
        <v>1</v>
      </c>
      <c r="H81" s="84">
        <v>81000</v>
      </c>
      <c r="I81" s="86">
        <f t="shared" si="7"/>
        <v>81000</v>
      </c>
      <c r="J81" s="29">
        <f t="shared" ref="J81:J82" si="8">I81*25%</f>
        <v>20250</v>
      </c>
      <c r="K81" s="86">
        <f t="shared" si="5"/>
        <v>60750</v>
      </c>
      <c r="L81" s="92"/>
      <c r="M81" s="92"/>
      <c r="N81" s="92">
        <f t="shared" si="6"/>
        <v>60750</v>
      </c>
      <c r="O81" s="10" t="s">
        <v>23</v>
      </c>
      <c r="Q81" s="10" t="s">
        <v>434</v>
      </c>
      <c r="S81" s="23"/>
      <c r="T81" s="92"/>
      <c r="U81" s="92"/>
      <c r="V81" s="92"/>
      <c r="W81" s="92"/>
    </row>
    <row r="82" spans="1:23" s="29" customFormat="1" ht="15.6">
      <c r="A82" s="9">
        <v>44201</v>
      </c>
      <c r="B82" s="10" t="s">
        <v>23</v>
      </c>
      <c r="C82" s="41" t="s">
        <v>431</v>
      </c>
      <c r="D82" s="29" t="s">
        <v>31</v>
      </c>
      <c r="E82" s="83" t="s">
        <v>437</v>
      </c>
      <c r="F82" s="83" t="s">
        <v>438</v>
      </c>
      <c r="G82" s="35">
        <v>1</v>
      </c>
      <c r="H82" s="84">
        <v>43000</v>
      </c>
      <c r="I82" s="86">
        <f t="shared" si="7"/>
        <v>43000</v>
      </c>
      <c r="J82" s="29">
        <f t="shared" si="8"/>
        <v>10750</v>
      </c>
      <c r="K82" s="86">
        <f t="shared" si="5"/>
        <v>32250</v>
      </c>
      <c r="L82" s="92"/>
      <c r="M82" s="92"/>
      <c r="N82" s="92">
        <f t="shared" si="6"/>
        <v>32250</v>
      </c>
      <c r="O82" s="10" t="s">
        <v>23</v>
      </c>
      <c r="P82" s="92"/>
      <c r="Q82" s="10" t="s">
        <v>434</v>
      </c>
      <c r="R82" s="92"/>
      <c r="S82" s="92"/>
      <c r="T82" s="92"/>
      <c r="U82" s="92"/>
      <c r="V82" s="92"/>
      <c r="W82" s="92"/>
    </row>
    <row r="83" spans="1:23" s="29" customFormat="1" ht="15.6" hidden="1">
      <c r="A83" s="9">
        <v>44201</v>
      </c>
      <c r="B83" s="10" t="s">
        <v>313</v>
      </c>
      <c r="C83" s="85" t="s">
        <v>439</v>
      </c>
      <c r="D83" s="29" t="s">
        <v>440</v>
      </c>
      <c r="E83" s="15" t="s">
        <v>441</v>
      </c>
      <c r="F83" s="33" t="s">
        <v>442</v>
      </c>
      <c r="G83" s="16">
        <v>1</v>
      </c>
      <c r="H83" s="86">
        <v>198000</v>
      </c>
      <c r="I83" s="86">
        <f t="shared" si="7"/>
        <v>198000</v>
      </c>
      <c r="K83" s="86">
        <f t="shared" si="5"/>
        <v>198000</v>
      </c>
      <c r="L83" s="92">
        <v>36071</v>
      </c>
      <c r="M83" s="92"/>
      <c r="N83" s="92">
        <f t="shared" si="6"/>
        <v>234071</v>
      </c>
      <c r="O83" s="10" t="s">
        <v>313</v>
      </c>
      <c r="P83" s="92"/>
      <c r="Q83" s="10" t="s">
        <v>40</v>
      </c>
      <c r="R83" s="92"/>
      <c r="S83" s="92"/>
      <c r="T83" s="92"/>
      <c r="U83" s="92"/>
      <c r="V83" s="92"/>
      <c r="W83" s="92"/>
    </row>
    <row r="84" spans="1:23" s="29" customFormat="1" ht="15.6" hidden="1">
      <c r="A84" s="9">
        <v>44201</v>
      </c>
      <c r="B84" s="10" t="s">
        <v>29</v>
      </c>
      <c r="C84" s="10" t="s">
        <v>443</v>
      </c>
      <c r="D84" s="29" t="s">
        <v>31</v>
      </c>
      <c r="E84" s="15" t="s">
        <v>444</v>
      </c>
      <c r="F84" s="33" t="s">
        <v>445</v>
      </c>
      <c r="G84" s="16">
        <v>1</v>
      </c>
      <c r="H84" s="86">
        <v>77500</v>
      </c>
      <c r="I84" s="86">
        <f t="shared" si="7"/>
        <v>77500</v>
      </c>
      <c r="J84" s="29">
        <f>I84*20%</f>
        <v>15500</v>
      </c>
      <c r="K84" s="86">
        <f t="shared" si="5"/>
        <v>62000</v>
      </c>
      <c r="L84" s="92"/>
      <c r="M84" s="92"/>
      <c r="N84" s="92">
        <f t="shared" si="6"/>
        <v>62000</v>
      </c>
      <c r="O84" s="10" t="s">
        <v>29</v>
      </c>
      <c r="P84" s="92"/>
      <c r="Q84" s="10" t="s">
        <v>35</v>
      </c>
      <c r="R84" s="92"/>
      <c r="S84" s="92"/>
      <c r="T84" s="92"/>
      <c r="U84" s="92"/>
      <c r="V84" s="92"/>
      <c r="W84" s="92"/>
    </row>
    <row r="85" spans="1:23" s="29" customFormat="1" ht="15.6">
      <c r="A85" s="9">
        <v>44201</v>
      </c>
      <c r="B85" s="10" t="s">
        <v>23</v>
      </c>
      <c r="C85" s="11" t="s">
        <v>446</v>
      </c>
      <c r="D85" s="23" t="s">
        <v>447</v>
      </c>
      <c r="E85" s="87" t="s">
        <v>448</v>
      </c>
      <c r="F85" s="88" t="s">
        <v>449</v>
      </c>
      <c r="G85" s="16">
        <v>1</v>
      </c>
      <c r="H85" s="86">
        <v>75000</v>
      </c>
      <c r="I85" s="86">
        <f t="shared" si="7"/>
        <v>75000</v>
      </c>
      <c r="J85" s="29">
        <f t="shared" ref="J85:J86" si="9">I85*20%</f>
        <v>15000</v>
      </c>
      <c r="K85" s="86">
        <f t="shared" si="5"/>
        <v>60000</v>
      </c>
      <c r="L85" s="92">
        <v>63000</v>
      </c>
      <c r="M85" s="92"/>
      <c r="N85" s="92">
        <f t="shared" si="6"/>
        <v>123000</v>
      </c>
      <c r="O85" s="10" t="s">
        <v>23</v>
      </c>
      <c r="P85" s="105"/>
      <c r="Q85" s="10" t="s">
        <v>40</v>
      </c>
      <c r="S85" s="12"/>
      <c r="T85" s="92"/>
      <c r="U85" s="92"/>
      <c r="V85" s="92"/>
      <c r="W85" s="92"/>
    </row>
    <row r="86" spans="1:23" s="29" customFormat="1">
      <c r="A86" s="9">
        <v>44201</v>
      </c>
      <c r="B86" s="10" t="s">
        <v>23</v>
      </c>
      <c r="C86" s="11" t="s">
        <v>446</v>
      </c>
      <c r="D86" s="23" t="s">
        <v>447</v>
      </c>
      <c r="E86" s="87" t="s">
        <v>450</v>
      </c>
      <c r="F86" s="87" t="s">
        <v>451</v>
      </c>
      <c r="G86" s="16">
        <v>1</v>
      </c>
      <c r="H86" s="86">
        <v>68000</v>
      </c>
      <c r="I86" s="86">
        <f t="shared" si="7"/>
        <v>68000</v>
      </c>
      <c r="J86" s="29">
        <f t="shared" si="9"/>
        <v>13600</v>
      </c>
      <c r="K86" s="86">
        <f t="shared" si="5"/>
        <v>54400</v>
      </c>
      <c r="L86" s="92"/>
      <c r="M86" s="92"/>
      <c r="N86" s="92">
        <f t="shared" si="6"/>
        <v>54400</v>
      </c>
      <c r="O86" s="10" t="s">
        <v>23</v>
      </c>
      <c r="P86" s="105"/>
      <c r="Q86" s="10" t="s">
        <v>40</v>
      </c>
      <c r="R86" s="92"/>
      <c r="S86" s="12"/>
      <c r="T86" s="92"/>
      <c r="U86" s="92"/>
      <c r="V86" s="92"/>
      <c r="W86" s="92"/>
    </row>
    <row r="87" spans="1:23" s="29" customFormat="1" hidden="1">
      <c r="A87" s="9">
        <v>44202</v>
      </c>
      <c r="B87" s="10" t="s">
        <v>43</v>
      </c>
      <c r="C87" s="10" t="s">
        <v>452</v>
      </c>
      <c r="D87" s="23" t="s">
        <v>453</v>
      </c>
      <c r="E87" s="90" t="s">
        <v>365</v>
      </c>
      <c r="F87" s="91" t="s">
        <v>454</v>
      </c>
      <c r="G87" s="56">
        <v>5</v>
      </c>
      <c r="H87" s="86">
        <v>75000</v>
      </c>
      <c r="I87" s="86">
        <f t="shared" si="7"/>
        <v>375000</v>
      </c>
      <c r="J87" s="29">
        <v>75000</v>
      </c>
      <c r="K87" s="86">
        <f t="shared" si="5"/>
        <v>300000</v>
      </c>
      <c r="L87" s="86">
        <v>74000</v>
      </c>
      <c r="M87" s="86">
        <v>-12990</v>
      </c>
      <c r="N87" s="92">
        <f t="shared" si="6"/>
        <v>361010</v>
      </c>
      <c r="O87" s="10" t="s">
        <v>43</v>
      </c>
      <c r="P87" s="100" t="s">
        <v>455</v>
      </c>
      <c r="Q87" s="10" t="s">
        <v>54</v>
      </c>
      <c r="R87" s="92"/>
      <c r="S87" s="37" t="s">
        <v>456</v>
      </c>
      <c r="T87" s="92"/>
      <c r="U87" s="92"/>
      <c r="V87" s="92"/>
      <c r="W87" s="92"/>
    </row>
    <row r="88" spans="1:23" s="29" customFormat="1" hidden="1">
      <c r="A88" s="9">
        <v>44202</v>
      </c>
      <c r="B88" s="10" t="s">
        <v>43</v>
      </c>
      <c r="C88" s="11" t="s">
        <v>457</v>
      </c>
      <c r="D88" s="37" t="s">
        <v>458</v>
      </c>
      <c r="E88" s="90" t="s">
        <v>365</v>
      </c>
      <c r="F88" s="91" t="s">
        <v>454</v>
      </c>
      <c r="G88" s="56">
        <v>1</v>
      </c>
      <c r="H88" s="86">
        <v>75000</v>
      </c>
      <c r="I88" s="86">
        <f t="shared" si="7"/>
        <v>75000</v>
      </c>
      <c r="J88" s="29">
        <v>17000</v>
      </c>
      <c r="K88" s="86">
        <f t="shared" si="5"/>
        <v>58000</v>
      </c>
      <c r="L88" s="86">
        <v>17000</v>
      </c>
      <c r="M88" s="86">
        <v>-2598</v>
      </c>
      <c r="N88" s="92">
        <f>K88+L88+M88</f>
        <v>72402</v>
      </c>
      <c r="O88" s="10" t="s">
        <v>43</v>
      </c>
      <c r="P88" s="100" t="s">
        <v>459</v>
      </c>
      <c r="Q88" s="10" t="s">
        <v>54</v>
      </c>
      <c r="R88" s="92"/>
      <c r="S88" s="37" t="s">
        <v>460</v>
      </c>
      <c r="T88" s="92"/>
      <c r="U88" s="92"/>
      <c r="V88" s="92"/>
      <c r="W88" s="92"/>
    </row>
    <row r="89" spans="1:23" s="29" customFormat="1" ht="15.6" hidden="1">
      <c r="A89" s="9">
        <v>44202</v>
      </c>
      <c r="B89" s="10" t="s">
        <v>43</v>
      </c>
      <c r="C89" s="11" t="s">
        <v>461</v>
      </c>
      <c r="D89" s="44" t="s">
        <v>462</v>
      </c>
      <c r="E89" s="14" t="s">
        <v>339</v>
      </c>
      <c r="F89" s="22" t="s">
        <v>340</v>
      </c>
      <c r="G89" s="56">
        <v>1</v>
      </c>
      <c r="H89" s="86">
        <v>58500</v>
      </c>
      <c r="I89" s="86">
        <f t="shared" si="7"/>
        <v>58500</v>
      </c>
      <c r="J89" s="29">
        <v>11700</v>
      </c>
      <c r="K89" s="86">
        <f t="shared" si="5"/>
        <v>46800</v>
      </c>
      <c r="L89" s="92"/>
      <c r="M89" s="92">
        <v>-2026</v>
      </c>
      <c r="N89" s="92">
        <f t="shared" si="6"/>
        <v>44774</v>
      </c>
      <c r="O89" s="10" t="s">
        <v>43</v>
      </c>
      <c r="P89" s="100" t="s">
        <v>463</v>
      </c>
      <c r="Q89" s="10" t="s">
        <v>54</v>
      </c>
      <c r="R89" s="92"/>
      <c r="S89" s="37" t="s">
        <v>464</v>
      </c>
      <c r="T89" s="92"/>
      <c r="U89" s="92"/>
      <c r="V89" s="92"/>
      <c r="W89" s="92"/>
    </row>
    <row r="90" spans="1:23" s="29" customFormat="1" hidden="1">
      <c r="A90" s="9">
        <v>44202</v>
      </c>
      <c r="B90" s="10" t="s">
        <v>43</v>
      </c>
      <c r="C90" s="11" t="s">
        <v>465</v>
      </c>
      <c r="D90" s="23" t="s">
        <v>466</v>
      </c>
      <c r="E90" s="90" t="s">
        <v>365</v>
      </c>
      <c r="F90" s="91" t="s">
        <v>454</v>
      </c>
      <c r="G90" s="56">
        <v>5</v>
      </c>
      <c r="H90" s="86">
        <v>75000</v>
      </c>
      <c r="I90" s="86">
        <f t="shared" si="7"/>
        <v>375000</v>
      </c>
      <c r="K90" s="86">
        <f t="shared" si="5"/>
        <v>375000</v>
      </c>
      <c r="L90" s="92">
        <v>74000</v>
      </c>
      <c r="M90" s="92">
        <v>-16238</v>
      </c>
      <c r="N90" s="92">
        <f t="shared" si="6"/>
        <v>432762</v>
      </c>
      <c r="O90" s="10" t="s">
        <v>43</v>
      </c>
      <c r="P90" s="100" t="s">
        <v>467</v>
      </c>
      <c r="Q90" s="10" t="s">
        <v>54</v>
      </c>
      <c r="R90" s="92"/>
      <c r="S90" s="37" t="s">
        <v>468</v>
      </c>
      <c r="T90" s="92"/>
      <c r="U90" s="92"/>
      <c r="V90" s="92"/>
      <c r="W90" s="92"/>
    </row>
    <row r="91" spans="1:23" s="29" customFormat="1" ht="16.8" hidden="1">
      <c r="A91" s="9">
        <v>44202</v>
      </c>
      <c r="B91" s="10" t="s">
        <v>177</v>
      </c>
      <c r="C91" s="11" t="s">
        <v>469</v>
      </c>
      <c r="D91" s="23" t="s">
        <v>470</v>
      </c>
      <c r="E91" s="90" t="s">
        <v>471</v>
      </c>
      <c r="F91" s="91" t="s">
        <v>472</v>
      </c>
      <c r="G91" s="30">
        <v>1</v>
      </c>
      <c r="H91" s="86">
        <v>111000</v>
      </c>
      <c r="I91" s="86">
        <f t="shared" si="7"/>
        <v>111000</v>
      </c>
      <c r="J91" s="29">
        <f>I91*20%</f>
        <v>22200</v>
      </c>
      <c r="K91" s="86">
        <f t="shared" si="5"/>
        <v>88800</v>
      </c>
      <c r="L91" s="92"/>
      <c r="M91" s="92"/>
      <c r="N91" s="92">
        <f t="shared" si="6"/>
        <v>88800</v>
      </c>
      <c r="O91" s="10" t="s">
        <v>177</v>
      </c>
      <c r="P91" s="104" t="s">
        <v>473</v>
      </c>
      <c r="Q91" s="10" t="s">
        <v>54</v>
      </c>
      <c r="R91" s="92"/>
      <c r="S91" s="115" t="s">
        <v>474</v>
      </c>
      <c r="T91" s="92"/>
      <c r="U91" s="92"/>
      <c r="V91" s="92"/>
      <c r="W91" s="92"/>
    </row>
    <row r="92" spans="1:23" s="29" customFormat="1" ht="16.8" hidden="1">
      <c r="A92" s="9">
        <v>44202</v>
      </c>
      <c r="B92" s="10" t="s">
        <v>170</v>
      </c>
      <c r="C92" s="73" t="s">
        <v>475</v>
      </c>
      <c r="D92" s="23" t="s">
        <v>9409</v>
      </c>
      <c r="E92" s="14" t="s">
        <v>81</v>
      </c>
      <c r="F92" s="22" t="s">
        <v>476</v>
      </c>
      <c r="G92" s="30">
        <v>1</v>
      </c>
      <c r="H92" s="86">
        <v>109000</v>
      </c>
      <c r="I92" s="86">
        <f t="shared" si="7"/>
        <v>109000</v>
      </c>
      <c r="K92" s="86">
        <f t="shared" si="5"/>
        <v>109000</v>
      </c>
      <c r="L92" s="92">
        <f>13000-13000</f>
        <v>0</v>
      </c>
      <c r="M92" s="92"/>
      <c r="N92" s="92">
        <f t="shared" si="6"/>
        <v>109000</v>
      </c>
      <c r="O92" s="10" t="s">
        <v>170</v>
      </c>
      <c r="P92" s="93" t="s">
        <v>477</v>
      </c>
      <c r="Q92" s="10" t="s">
        <v>478</v>
      </c>
      <c r="R92" s="92"/>
      <c r="S92" s="93" t="s">
        <v>477</v>
      </c>
      <c r="T92" s="92"/>
      <c r="U92" s="92"/>
      <c r="V92" s="92"/>
      <c r="W92" s="92"/>
    </row>
    <row r="93" spans="1:23" s="29" customFormat="1" ht="15.6">
      <c r="A93" s="9">
        <v>44202</v>
      </c>
      <c r="B93" s="10" t="s">
        <v>23</v>
      </c>
      <c r="C93" s="11" t="s">
        <v>479</v>
      </c>
      <c r="D93" s="29" t="s">
        <v>480</v>
      </c>
      <c r="E93" s="14" t="s">
        <v>481</v>
      </c>
      <c r="F93" s="94" t="s">
        <v>482</v>
      </c>
      <c r="G93" s="30">
        <v>1</v>
      </c>
      <c r="H93" s="86">
        <v>111500</v>
      </c>
      <c r="I93" s="86">
        <f t="shared" si="7"/>
        <v>111500</v>
      </c>
      <c r="K93" s="86">
        <f t="shared" si="5"/>
        <v>111500</v>
      </c>
      <c r="L93" s="92">
        <v>16000</v>
      </c>
      <c r="M93" s="92"/>
      <c r="N93" s="92">
        <f t="shared" si="6"/>
        <v>127500</v>
      </c>
      <c r="O93" s="10" t="s">
        <v>23</v>
      </c>
      <c r="P93" s="95"/>
      <c r="Q93" s="10" t="s">
        <v>54</v>
      </c>
      <c r="R93" s="92"/>
      <c r="S93" s="12"/>
      <c r="T93" s="92"/>
      <c r="U93" s="92"/>
      <c r="V93" s="92"/>
      <c r="W93" s="92"/>
    </row>
    <row r="94" spans="1:23" s="29" customFormat="1" ht="15.6">
      <c r="A94" s="9">
        <v>44202</v>
      </c>
      <c r="B94" s="10" t="s">
        <v>23</v>
      </c>
      <c r="C94" s="11" t="s">
        <v>483</v>
      </c>
      <c r="D94" s="29" t="s">
        <v>484</v>
      </c>
      <c r="E94" s="14" t="s">
        <v>485</v>
      </c>
      <c r="F94" s="22" t="s">
        <v>486</v>
      </c>
      <c r="G94" s="30">
        <v>1</v>
      </c>
      <c r="H94" s="86">
        <v>82000</v>
      </c>
      <c r="I94" s="86">
        <f t="shared" si="7"/>
        <v>82000</v>
      </c>
      <c r="J94" s="29">
        <f>I94*20%</f>
        <v>16400</v>
      </c>
      <c r="K94" s="86">
        <f t="shared" si="5"/>
        <v>65600</v>
      </c>
      <c r="L94" s="92">
        <v>65000</v>
      </c>
      <c r="M94" s="92"/>
      <c r="N94" s="92">
        <f t="shared" si="6"/>
        <v>130600</v>
      </c>
      <c r="O94" s="10" t="s">
        <v>23</v>
      </c>
      <c r="P94" s="96"/>
      <c r="Q94" s="10" t="s">
        <v>54</v>
      </c>
      <c r="R94" s="92"/>
      <c r="S94" s="89"/>
      <c r="T94" s="92"/>
      <c r="U94" s="92"/>
      <c r="V94" s="92"/>
      <c r="W94" s="92"/>
    </row>
    <row r="95" spans="1:23" s="29" customFormat="1" ht="15.6" hidden="1">
      <c r="A95" s="9">
        <v>44202</v>
      </c>
      <c r="B95" s="10" t="s">
        <v>43</v>
      </c>
      <c r="C95" s="10" t="s">
        <v>487</v>
      </c>
      <c r="D95" s="29" t="s">
        <v>488</v>
      </c>
      <c r="E95" s="81" t="s">
        <v>489</v>
      </c>
      <c r="F95" s="81" t="s">
        <v>490</v>
      </c>
      <c r="G95" s="30">
        <v>1</v>
      </c>
      <c r="H95" s="86">
        <v>72000</v>
      </c>
      <c r="I95" s="86">
        <f t="shared" si="7"/>
        <v>72000</v>
      </c>
      <c r="J95" s="29">
        <v>27900</v>
      </c>
      <c r="K95" s="86">
        <f t="shared" si="5"/>
        <v>44100</v>
      </c>
      <c r="L95" s="92"/>
      <c r="M95" s="92">
        <v>-4832</v>
      </c>
      <c r="N95" s="92">
        <f t="shared" si="6"/>
        <v>39268</v>
      </c>
      <c r="O95" s="10" t="s">
        <v>43</v>
      </c>
      <c r="P95" s="100" t="s">
        <v>491</v>
      </c>
      <c r="Q95" s="10" t="s">
        <v>54</v>
      </c>
      <c r="R95" s="92"/>
      <c r="S95" s="37" t="s">
        <v>492</v>
      </c>
      <c r="T95" s="92"/>
      <c r="U95" s="92"/>
      <c r="V95" s="92"/>
      <c r="W95" s="92"/>
    </row>
    <row r="96" spans="1:23" s="29" customFormat="1" ht="15.6" hidden="1">
      <c r="A96" s="9">
        <v>44202</v>
      </c>
      <c r="B96" s="10" t="s">
        <v>43</v>
      </c>
      <c r="C96" s="10" t="s">
        <v>487</v>
      </c>
      <c r="D96" s="29" t="s">
        <v>488</v>
      </c>
      <c r="E96" s="81" t="s">
        <v>493</v>
      </c>
      <c r="F96" s="81" t="s">
        <v>494</v>
      </c>
      <c r="G96" s="30">
        <v>1</v>
      </c>
      <c r="H96" s="86">
        <v>67500</v>
      </c>
      <c r="I96" s="86">
        <f t="shared" si="7"/>
        <v>67500</v>
      </c>
      <c r="K96" s="86">
        <f t="shared" si="5"/>
        <v>67500</v>
      </c>
      <c r="L96" s="92"/>
      <c r="M96" s="92"/>
      <c r="N96" s="92">
        <f t="shared" si="6"/>
        <v>67500</v>
      </c>
      <c r="O96" s="10" t="s">
        <v>43</v>
      </c>
      <c r="P96" s="100" t="s">
        <v>495</v>
      </c>
      <c r="Q96" s="10" t="s">
        <v>54</v>
      </c>
      <c r="R96" s="92"/>
      <c r="S96" s="37" t="s">
        <v>492</v>
      </c>
      <c r="T96" s="92"/>
      <c r="U96" s="92"/>
      <c r="V96" s="92"/>
      <c r="W96" s="92"/>
    </row>
    <row r="97" spans="1:23" s="29" customFormat="1" hidden="1">
      <c r="A97" s="9">
        <v>44202</v>
      </c>
      <c r="B97" s="10" t="s">
        <v>43</v>
      </c>
      <c r="C97" s="10" t="s">
        <v>496</v>
      </c>
      <c r="D97" s="29" t="s">
        <v>497</v>
      </c>
      <c r="E97" s="10" t="s">
        <v>498</v>
      </c>
      <c r="F97" s="10" t="s">
        <v>499</v>
      </c>
      <c r="G97" s="16">
        <v>1</v>
      </c>
      <c r="H97" s="86">
        <v>136000</v>
      </c>
      <c r="I97" s="86">
        <f t="shared" si="7"/>
        <v>136000</v>
      </c>
      <c r="J97" s="29">
        <f>I97*20%</f>
        <v>27200</v>
      </c>
      <c r="K97" s="86">
        <f t="shared" si="5"/>
        <v>108800</v>
      </c>
      <c r="L97" s="92">
        <v>8000</v>
      </c>
      <c r="M97" s="92"/>
      <c r="N97" s="92">
        <f t="shared" si="6"/>
        <v>116800</v>
      </c>
      <c r="O97" s="10" t="s">
        <v>43</v>
      </c>
      <c r="P97" s="100" t="s">
        <v>500</v>
      </c>
      <c r="Q97" s="10" t="s">
        <v>176</v>
      </c>
      <c r="R97" s="92"/>
      <c r="S97" s="93" t="s">
        <v>501</v>
      </c>
      <c r="T97" s="92"/>
      <c r="U97" s="92"/>
      <c r="V97" s="92"/>
      <c r="W97" s="92"/>
    </row>
    <row r="98" spans="1:23" s="29" customFormat="1" hidden="1">
      <c r="A98" s="9">
        <v>44203</v>
      </c>
      <c r="B98" s="10" t="s">
        <v>43</v>
      </c>
      <c r="C98" s="10" t="s">
        <v>502</v>
      </c>
      <c r="D98" s="29" t="s">
        <v>503</v>
      </c>
      <c r="E98" s="10" t="s">
        <v>365</v>
      </c>
      <c r="F98" s="10" t="s">
        <v>454</v>
      </c>
      <c r="G98" s="97">
        <v>2</v>
      </c>
      <c r="H98" s="86">
        <v>75000</v>
      </c>
      <c r="I98" s="86">
        <f t="shared" si="7"/>
        <v>150000</v>
      </c>
      <c r="J98" s="29">
        <f>I98*20%</f>
        <v>30000</v>
      </c>
      <c r="K98" s="86">
        <f t="shared" si="5"/>
        <v>120000</v>
      </c>
      <c r="L98" s="92">
        <v>17000</v>
      </c>
      <c r="M98" s="92">
        <v>-5196</v>
      </c>
      <c r="N98" s="92">
        <f t="shared" si="6"/>
        <v>131804</v>
      </c>
      <c r="O98" s="10" t="s">
        <v>43</v>
      </c>
      <c r="P98" s="100" t="s">
        <v>504</v>
      </c>
      <c r="Q98" s="10" t="s">
        <v>54</v>
      </c>
      <c r="R98" s="92"/>
      <c r="S98" s="37" t="s">
        <v>505</v>
      </c>
      <c r="T98" s="92"/>
      <c r="U98" s="92"/>
      <c r="V98" s="92"/>
      <c r="W98" s="92"/>
    </row>
    <row r="99" spans="1:23" s="29" customFormat="1" ht="15.6" hidden="1">
      <c r="A99" s="9">
        <v>44203</v>
      </c>
      <c r="B99" s="10" t="s">
        <v>206</v>
      </c>
      <c r="C99" s="68" t="s">
        <v>506</v>
      </c>
      <c r="D99" s="29" t="s">
        <v>507</v>
      </c>
      <c r="E99" s="46" t="s">
        <v>508</v>
      </c>
      <c r="F99" s="46" t="s">
        <v>509</v>
      </c>
      <c r="G99" s="30">
        <v>1</v>
      </c>
      <c r="H99" s="86">
        <v>105000</v>
      </c>
      <c r="I99" s="86">
        <f t="shared" si="7"/>
        <v>105000</v>
      </c>
      <c r="J99" s="29">
        <v>16000</v>
      </c>
      <c r="K99" s="86">
        <f t="shared" si="5"/>
        <v>89000</v>
      </c>
      <c r="L99" s="86">
        <v>16900</v>
      </c>
      <c r="M99" s="92"/>
      <c r="N99" s="92">
        <f t="shared" si="6"/>
        <v>105900</v>
      </c>
      <c r="O99" s="10" t="s">
        <v>206</v>
      </c>
      <c r="P99" s="118" t="s">
        <v>510</v>
      </c>
      <c r="Q99" s="10" t="s">
        <v>328</v>
      </c>
      <c r="R99" s="92"/>
      <c r="S99" s="93"/>
      <c r="T99" s="92"/>
      <c r="U99" s="92"/>
      <c r="V99" s="92"/>
      <c r="W99" s="92"/>
    </row>
    <row r="100" spans="1:23" s="29" customFormat="1" ht="15.6" hidden="1">
      <c r="A100" s="9">
        <v>44203</v>
      </c>
      <c r="B100" s="10" t="s">
        <v>206</v>
      </c>
      <c r="C100" s="68" t="s">
        <v>506</v>
      </c>
      <c r="D100" s="29" t="s">
        <v>511</v>
      </c>
      <c r="E100" s="46" t="s">
        <v>512</v>
      </c>
      <c r="F100" s="46" t="s">
        <v>513</v>
      </c>
      <c r="G100" s="30">
        <v>1</v>
      </c>
      <c r="H100" s="86">
        <v>99000</v>
      </c>
      <c r="I100" s="86">
        <f t="shared" si="7"/>
        <v>99000</v>
      </c>
      <c r="K100" s="86">
        <f t="shared" si="5"/>
        <v>99000</v>
      </c>
      <c r="L100" s="92"/>
      <c r="M100" s="92"/>
      <c r="N100" s="92">
        <f t="shared" si="6"/>
        <v>99000</v>
      </c>
      <c r="O100" s="10" t="s">
        <v>206</v>
      </c>
      <c r="P100" s="118" t="s">
        <v>514</v>
      </c>
      <c r="Q100" s="10" t="s">
        <v>328</v>
      </c>
      <c r="R100" s="92"/>
      <c r="S100" s="12"/>
      <c r="T100" s="92"/>
      <c r="U100" s="92"/>
      <c r="V100" s="92"/>
      <c r="W100" s="92"/>
    </row>
    <row r="101" spans="1:23" s="29" customFormat="1" ht="15.6">
      <c r="A101" s="9">
        <v>44203</v>
      </c>
      <c r="B101" s="10" t="s">
        <v>23</v>
      </c>
      <c r="C101" s="68" t="s">
        <v>515</v>
      </c>
      <c r="D101" s="29" t="s">
        <v>516</v>
      </c>
      <c r="E101" s="98" t="s">
        <v>517</v>
      </c>
      <c r="F101" s="99" t="s">
        <v>518</v>
      </c>
      <c r="G101" s="30">
        <v>1</v>
      </c>
      <c r="H101" s="84">
        <v>98000</v>
      </c>
      <c r="I101" s="86">
        <f t="shared" si="7"/>
        <v>98000</v>
      </c>
      <c r="J101" s="29">
        <f>I101*20%</f>
        <v>19600</v>
      </c>
      <c r="K101" s="86">
        <f t="shared" si="5"/>
        <v>78400</v>
      </c>
      <c r="L101" s="92"/>
      <c r="M101" s="92"/>
      <c r="N101" s="92">
        <f t="shared" si="6"/>
        <v>78400</v>
      </c>
      <c r="O101" s="10" t="s">
        <v>23</v>
      </c>
      <c r="P101" s="95"/>
      <c r="Q101" s="10" t="s">
        <v>519</v>
      </c>
      <c r="R101" s="92"/>
      <c r="S101" s="12"/>
      <c r="T101" s="92"/>
      <c r="U101" s="92"/>
      <c r="V101" s="92"/>
      <c r="W101" s="92"/>
    </row>
    <row r="102" spans="1:23" s="29" customFormat="1" ht="15.6">
      <c r="A102" s="9">
        <v>44203</v>
      </c>
      <c r="B102" s="10" t="s">
        <v>23</v>
      </c>
      <c r="C102" s="68" t="s">
        <v>515</v>
      </c>
      <c r="D102" s="29" t="s">
        <v>516</v>
      </c>
      <c r="E102" s="98" t="s">
        <v>520</v>
      </c>
      <c r="F102" s="98" t="s">
        <v>521</v>
      </c>
      <c r="G102" s="30">
        <v>1</v>
      </c>
      <c r="H102" s="84">
        <v>49000</v>
      </c>
      <c r="I102" s="86">
        <f t="shared" si="7"/>
        <v>49000</v>
      </c>
      <c r="J102" s="29">
        <f t="shared" ref="J102:J109" si="10">I102*20%</f>
        <v>9800</v>
      </c>
      <c r="K102" s="86">
        <f t="shared" si="5"/>
        <v>39200</v>
      </c>
      <c r="L102" s="92"/>
      <c r="M102" s="92"/>
      <c r="N102" s="92">
        <f t="shared" si="6"/>
        <v>39200</v>
      </c>
      <c r="O102" s="10" t="s">
        <v>23</v>
      </c>
      <c r="P102" s="92"/>
      <c r="Q102" s="10" t="s">
        <v>519</v>
      </c>
      <c r="R102" s="92"/>
      <c r="S102" s="92"/>
      <c r="T102" s="92"/>
      <c r="U102" s="92"/>
      <c r="V102" s="92"/>
      <c r="W102" s="92"/>
    </row>
    <row r="103" spans="1:23" s="29" customFormat="1" ht="15.6">
      <c r="A103" s="9">
        <v>44203</v>
      </c>
      <c r="B103" s="10" t="s">
        <v>23</v>
      </c>
      <c r="C103" s="68" t="s">
        <v>515</v>
      </c>
      <c r="D103" s="29" t="s">
        <v>516</v>
      </c>
      <c r="E103" s="55" t="s">
        <v>88</v>
      </c>
      <c r="F103" s="55" t="s">
        <v>111</v>
      </c>
      <c r="G103" s="30">
        <v>1</v>
      </c>
      <c r="H103" s="84">
        <v>37000</v>
      </c>
      <c r="I103" s="86">
        <f t="shared" si="7"/>
        <v>37000</v>
      </c>
      <c r="J103" s="29">
        <f t="shared" si="10"/>
        <v>7400</v>
      </c>
      <c r="K103" s="86">
        <f t="shared" si="5"/>
        <v>29600</v>
      </c>
      <c r="L103" s="92"/>
      <c r="M103" s="92"/>
      <c r="N103" s="92">
        <f t="shared" si="6"/>
        <v>29600</v>
      </c>
      <c r="O103" s="10" t="s">
        <v>23</v>
      </c>
      <c r="P103" s="95"/>
      <c r="Q103" s="10" t="s">
        <v>519</v>
      </c>
      <c r="R103" s="92"/>
      <c r="S103" s="12"/>
      <c r="T103" s="92"/>
      <c r="U103" s="92"/>
      <c r="V103" s="92"/>
      <c r="W103" s="92"/>
    </row>
    <row r="104" spans="1:23" s="29" customFormat="1" hidden="1">
      <c r="A104" s="9">
        <v>44203</v>
      </c>
      <c r="B104" s="10" t="s">
        <v>43</v>
      </c>
      <c r="C104" s="11" t="s">
        <v>522</v>
      </c>
      <c r="D104" s="29" t="s">
        <v>523</v>
      </c>
      <c r="E104" s="78" t="s">
        <v>365</v>
      </c>
      <c r="F104" s="10" t="s">
        <v>454</v>
      </c>
      <c r="G104" s="97">
        <v>2</v>
      </c>
      <c r="H104" s="119">
        <v>75000</v>
      </c>
      <c r="I104" s="86">
        <f t="shared" si="7"/>
        <v>150000</v>
      </c>
      <c r="J104" s="29">
        <f t="shared" si="10"/>
        <v>30000</v>
      </c>
      <c r="K104" s="86">
        <f t="shared" si="5"/>
        <v>120000</v>
      </c>
      <c r="L104" s="92">
        <v>17000</v>
      </c>
      <c r="M104" s="92">
        <v>-5196</v>
      </c>
      <c r="N104" s="92">
        <f t="shared" si="6"/>
        <v>131804</v>
      </c>
      <c r="O104" s="10" t="s">
        <v>43</v>
      </c>
      <c r="P104" s="100" t="s">
        <v>524</v>
      </c>
      <c r="Q104" s="10" t="s">
        <v>54</v>
      </c>
      <c r="R104" s="92"/>
      <c r="S104" s="37" t="s">
        <v>525</v>
      </c>
      <c r="T104" s="92"/>
      <c r="U104" s="92"/>
      <c r="V104" s="92"/>
      <c r="W104" s="92"/>
    </row>
    <row r="105" spans="1:23" s="29" customFormat="1" ht="15.6" hidden="1">
      <c r="A105" s="9">
        <v>44203</v>
      </c>
      <c r="B105" s="10" t="s">
        <v>43</v>
      </c>
      <c r="C105" s="11" t="s">
        <v>526</v>
      </c>
      <c r="D105" s="23" t="s">
        <v>527</v>
      </c>
      <c r="E105" s="14" t="s">
        <v>345</v>
      </c>
      <c r="F105" s="22" t="s">
        <v>346</v>
      </c>
      <c r="G105" s="30">
        <v>1</v>
      </c>
      <c r="H105" s="86">
        <v>66000</v>
      </c>
      <c r="I105" s="86">
        <f t="shared" si="7"/>
        <v>66000</v>
      </c>
      <c r="J105" s="29">
        <f t="shared" si="10"/>
        <v>13200</v>
      </c>
      <c r="K105" s="86">
        <f t="shared" si="5"/>
        <v>52800</v>
      </c>
      <c r="L105" s="92">
        <v>2500</v>
      </c>
      <c r="M105" s="92"/>
      <c r="N105" s="92">
        <f t="shared" si="6"/>
        <v>55300</v>
      </c>
      <c r="O105" s="10" t="s">
        <v>43</v>
      </c>
      <c r="P105" s="100" t="s">
        <v>528</v>
      </c>
      <c r="Q105" s="10" t="s">
        <v>54</v>
      </c>
      <c r="R105" s="92"/>
      <c r="S105" s="37" t="s">
        <v>529</v>
      </c>
      <c r="T105" s="92"/>
      <c r="U105" s="92"/>
      <c r="V105" s="92"/>
      <c r="W105" s="92"/>
    </row>
    <row r="106" spans="1:23" s="29" customFormat="1" ht="15.6">
      <c r="A106" s="9">
        <v>44203</v>
      </c>
      <c r="B106" s="10" t="s">
        <v>23</v>
      </c>
      <c r="C106" s="11" t="s">
        <v>530</v>
      </c>
      <c r="D106" s="29" t="s">
        <v>531</v>
      </c>
      <c r="E106" s="74" t="s">
        <v>532</v>
      </c>
      <c r="F106" s="15" t="s">
        <v>533</v>
      </c>
      <c r="G106" s="16">
        <v>1</v>
      </c>
      <c r="H106" s="86">
        <v>58000</v>
      </c>
      <c r="I106" s="86">
        <f t="shared" si="7"/>
        <v>58000</v>
      </c>
      <c r="J106" s="29">
        <f t="shared" si="10"/>
        <v>11600</v>
      </c>
      <c r="K106" s="86">
        <f t="shared" si="5"/>
        <v>46400</v>
      </c>
      <c r="L106" s="92">
        <v>5000</v>
      </c>
      <c r="M106" s="92"/>
      <c r="N106" s="92">
        <f t="shared" si="6"/>
        <v>51400</v>
      </c>
      <c r="O106" s="10" t="s">
        <v>23</v>
      </c>
      <c r="P106" s="89"/>
      <c r="Q106" s="10" t="s">
        <v>28</v>
      </c>
      <c r="R106" s="92"/>
      <c r="S106" s="89"/>
      <c r="T106" s="92"/>
      <c r="U106" s="92"/>
      <c r="V106" s="92"/>
      <c r="W106" s="92"/>
    </row>
    <row r="107" spans="1:23" s="29" customFormat="1" ht="15.6">
      <c r="A107" s="9">
        <v>44203</v>
      </c>
      <c r="B107" s="10" t="s">
        <v>23</v>
      </c>
      <c r="C107" s="11" t="s">
        <v>534</v>
      </c>
      <c r="D107" s="29" t="s">
        <v>535</v>
      </c>
      <c r="E107" s="55" t="s">
        <v>536</v>
      </c>
      <c r="F107" s="55" t="s">
        <v>537</v>
      </c>
      <c r="G107" s="16">
        <v>1</v>
      </c>
      <c r="H107" s="86">
        <v>83500</v>
      </c>
      <c r="I107" s="86">
        <f t="shared" si="7"/>
        <v>83500</v>
      </c>
      <c r="J107" s="29">
        <f t="shared" si="10"/>
        <v>16700</v>
      </c>
      <c r="K107" s="86">
        <f t="shared" si="5"/>
        <v>66800</v>
      </c>
      <c r="L107" s="92">
        <v>14000</v>
      </c>
      <c r="M107" s="92"/>
      <c r="N107" s="92">
        <f t="shared" si="6"/>
        <v>80800</v>
      </c>
      <c r="O107" s="10" t="s">
        <v>23</v>
      </c>
      <c r="P107" s="89"/>
      <c r="Q107" s="10" t="s">
        <v>40</v>
      </c>
      <c r="R107" s="92"/>
      <c r="S107" s="89"/>
      <c r="T107" s="92"/>
      <c r="U107" s="92"/>
      <c r="V107" s="92"/>
      <c r="W107" s="92"/>
    </row>
    <row r="108" spans="1:23" s="29" customFormat="1" ht="15.6">
      <c r="A108" s="9">
        <v>44203</v>
      </c>
      <c r="B108" s="10" t="s">
        <v>23</v>
      </c>
      <c r="C108" s="11" t="s">
        <v>534</v>
      </c>
      <c r="D108" s="29" t="s">
        <v>535</v>
      </c>
      <c r="E108" s="55" t="s">
        <v>538</v>
      </c>
      <c r="F108" s="55" t="s">
        <v>539</v>
      </c>
      <c r="G108" s="16">
        <v>1</v>
      </c>
      <c r="H108" s="86">
        <v>57000</v>
      </c>
      <c r="I108" s="86">
        <f t="shared" si="7"/>
        <v>57000</v>
      </c>
      <c r="J108" s="29">
        <f t="shared" si="10"/>
        <v>11400</v>
      </c>
      <c r="K108" s="86">
        <f t="shared" si="5"/>
        <v>45600</v>
      </c>
      <c r="L108" s="92"/>
      <c r="N108" s="92">
        <f t="shared" si="6"/>
        <v>45600</v>
      </c>
      <c r="O108" s="10" t="s">
        <v>23</v>
      </c>
      <c r="P108" s="95"/>
      <c r="Q108" s="10" t="s">
        <v>40</v>
      </c>
      <c r="R108" s="92"/>
      <c r="S108" s="12"/>
      <c r="T108" s="92"/>
      <c r="U108" s="92"/>
      <c r="V108" s="92"/>
      <c r="W108" s="92"/>
    </row>
    <row r="109" spans="1:23" s="29" customFormat="1" hidden="1">
      <c r="A109" s="9">
        <v>44204</v>
      </c>
      <c r="B109" s="10" t="s">
        <v>43</v>
      </c>
      <c r="C109" s="11" t="s">
        <v>540</v>
      </c>
      <c r="D109" s="37" t="s">
        <v>541</v>
      </c>
      <c r="E109" s="78" t="s">
        <v>365</v>
      </c>
      <c r="F109" s="10" t="s">
        <v>454</v>
      </c>
      <c r="G109" s="30">
        <v>3</v>
      </c>
      <c r="H109" s="86">
        <v>75000</v>
      </c>
      <c r="I109" s="86">
        <f t="shared" si="7"/>
        <v>225000</v>
      </c>
      <c r="J109" s="29">
        <f t="shared" si="10"/>
        <v>45000</v>
      </c>
      <c r="K109" s="86">
        <f t="shared" si="5"/>
        <v>180000</v>
      </c>
      <c r="L109" s="92">
        <v>17000</v>
      </c>
      <c r="M109" s="92">
        <v>-7794</v>
      </c>
      <c r="N109" s="92">
        <f t="shared" si="6"/>
        <v>189206</v>
      </c>
      <c r="O109" s="10" t="s">
        <v>43</v>
      </c>
      <c r="P109" s="100" t="s">
        <v>542</v>
      </c>
      <c r="Q109" s="10" t="s">
        <v>54</v>
      </c>
      <c r="R109" s="92"/>
      <c r="S109" s="37" t="s">
        <v>543</v>
      </c>
      <c r="T109" s="92"/>
      <c r="U109" s="92"/>
      <c r="V109" s="92"/>
      <c r="W109" s="92"/>
    </row>
    <row r="110" spans="1:23" s="29" customFormat="1" hidden="1">
      <c r="A110" s="9">
        <v>44204</v>
      </c>
      <c r="B110" s="10" t="s">
        <v>43</v>
      </c>
      <c r="C110" s="11" t="s">
        <v>540</v>
      </c>
      <c r="D110" s="37" t="s">
        <v>544</v>
      </c>
      <c r="E110" s="78" t="s">
        <v>365</v>
      </c>
      <c r="F110" s="10" t="s">
        <v>454</v>
      </c>
      <c r="G110" s="30">
        <v>2</v>
      </c>
      <c r="H110" s="86">
        <v>75000</v>
      </c>
      <c r="I110" s="86">
        <f t="shared" si="7"/>
        <v>150000</v>
      </c>
      <c r="J110" s="29">
        <f>I110*20%</f>
        <v>30000</v>
      </c>
      <c r="K110" s="86">
        <f t="shared" si="5"/>
        <v>120000</v>
      </c>
      <c r="L110" s="92">
        <v>17000</v>
      </c>
      <c r="M110" s="92">
        <v>-5196</v>
      </c>
      <c r="N110" s="92">
        <f>K110+L110+M110</f>
        <v>131804</v>
      </c>
      <c r="O110" s="10" t="s">
        <v>43</v>
      </c>
      <c r="P110" s="100" t="s">
        <v>545</v>
      </c>
      <c r="Q110" s="10" t="s">
        <v>54</v>
      </c>
      <c r="R110" s="92"/>
      <c r="S110" s="37" t="s">
        <v>546</v>
      </c>
      <c r="T110" s="92"/>
      <c r="U110" s="92"/>
      <c r="V110" s="92"/>
      <c r="W110" s="92"/>
    </row>
    <row r="111" spans="1:23" s="29" customFormat="1" hidden="1">
      <c r="A111" s="9">
        <v>44204</v>
      </c>
      <c r="B111" s="10" t="s">
        <v>43</v>
      </c>
      <c r="C111" s="11" t="s">
        <v>547</v>
      </c>
      <c r="D111" s="29" t="s">
        <v>548</v>
      </c>
      <c r="E111" s="78" t="s">
        <v>365</v>
      </c>
      <c r="F111" s="10" t="s">
        <v>454</v>
      </c>
      <c r="G111" s="30">
        <v>3</v>
      </c>
      <c r="H111" s="86">
        <v>75000</v>
      </c>
      <c r="I111" s="86">
        <f t="shared" si="7"/>
        <v>225000</v>
      </c>
      <c r="J111" s="29">
        <f>I111*20%</f>
        <v>45000</v>
      </c>
      <c r="K111" s="119">
        <f t="shared" si="5"/>
        <v>180000</v>
      </c>
      <c r="L111" s="92">
        <v>17000</v>
      </c>
      <c r="M111" s="92">
        <v>-7794</v>
      </c>
      <c r="N111" s="92">
        <f t="shared" si="6"/>
        <v>189206</v>
      </c>
      <c r="O111" s="10" t="s">
        <v>43</v>
      </c>
      <c r="P111" s="100" t="s">
        <v>549</v>
      </c>
      <c r="Q111" s="10" t="s">
        <v>54</v>
      </c>
      <c r="R111" s="92"/>
      <c r="S111" s="37" t="s">
        <v>550</v>
      </c>
      <c r="T111" s="92"/>
      <c r="U111" s="92"/>
      <c r="V111" s="92"/>
      <c r="W111" s="92"/>
    </row>
    <row r="112" spans="1:23" s="29" customFormat="1" ht="15.6" hidden="1">
      <c r="A112" s="9">
        <v>44204</v>
      </c>
      <c r="B112" s="10" t="s">
        <v>43</v>
      </c>
      <c r="C112" s="11" t="s">
        <v>551</v>
      </c>
      <c r="D112" s="29" t="s">
        <v>552</v>
      </c>
      <c r="E112" s="74" t="s">
        <v>553</v>
      </c>
      <c r="F112" s="33" t="s">
        <v>554</v>
      </c>
      <c r="G112" s="30">
        <v>1</v>
      </c>
      <c r="H112" s="86">
        <v>65500</v>
      </c>
      <c r="I112" s="86">
        <f t="shared" si="7"/>
        <v>65500</v>
      </c>
      <c r="J112" s="29">
        <f>I112*20%</f>
        <v>13100</v>
      </c>
      <c r="K112" s="119">
        <f t="shared" si="5"/>
        <v>52400</v>
      </c>
      <c r="L112" s="92">
        <v>6000</v>
      </c>
      <c r="M112" s="92">
        <v>-2269</v>
      </c>
      <c r="N112" s="92">
        <f t="shared" si="6"/>
        <v>56131</v>
      </c>
      <c r="O112" s="10" t="s">
        <v>43</v>
      </c>
      <c r="P112" s="100" t="s">
        <v>555</v>
      </c>
      <c r="Q112" s="10" t="s">
        <v>54</v>
      </c>
      <c r="R112" s="92"/>
      <c r="S112" s="37" t="s">
        <v>556</v>
      </c>
      <c r="T112" s="92"/>
      <c r="U112" s="92"/>
      <c r="V112" s="92"/>
      <c r="W112" s="92"/>
    </row>
    <row r="113" spans="1:23" s="29" customFormat="1" ht="15.6" hidden="1">
      <c r="A113" s="9">
        <v>44204</v>
      </c>
      <c r="B113" s="10" t="s">
        <v>206</v>
      </c>
      <c r="C113" s="45" t="s">
        <v>557</v>
      </c>
      <c r="D113" s="92" t="s">
        <v>558</v>
      </c>
      <c r="E113" s="57" t="s">
        <v>559</v>
      </c>
      <c r="F113" s="38" t="s">
        <v>114</v>
      </c>
      <c r="G113" s="30">
        <v>1</v>
      </c>
      <c r="H113" s="86">
        <v>96000</v>
      </c>
      <c r="I113" s="86">
        <f t="shared" si="7"/>
        <v>96000</v>
      </c>
      <c r="J113" s="29">
        <v>20000</v>
      </c>
      <c r="K113" s="119">
        <f t="shared" si="5"/>
        <v>76000</v>
      </c>
      <c r="L113" s="92">
        <v>25500</v>
      </c>
      <c r="M113" s="92"/>
      <c r="N113" s="92">
        <f t="shared" si="6"/>
        <v>101500</v>
      </c>
      <c r="O113" s="10" t="s">
        <v>206</v>
      </c>
      <c r="P113" s="95" t="s">
        <v>560</v>
      </c>
      <c r="Q113" s="10" t="s">
        <v>176</v>
      </c>
      <c r="R113" s="92"/>
      <c r="S113" s="103" t="s">
        <v>561</v>
      </c>
      <c r="T113" s="92"/>
      <c r="U113" s="92"/>
      <c r="V113" s="92"/>
      <c r="W113" s="92"/>
    </row>
    <row r="114" spans="1:23" s="29" customFormat="1" ht="15.6" hidden="1">
      <c r="A114" s="9">
        <v>44204</v>
      </c>
      <c r="B114" s="10" t="s">
        <v>206</v>
      </c>
      <c r="C114" s="45" t="s">
        <v>562</v>
      </c>
      <c r="D114" s="29" t="s">
        <v>563</v>
      </c>
      <c r="E114" s="74" t="s">
        <v>186</v>
      </c>
      <c r="F114" s="33" t="s">
        <v>187</v>
      </c>
      <c r="G114" s="30">
        <v>1</v>
      </c>
      <c r="H114" s="86">
        <v>84000</v>
      </c>
      <c r="I114" s="86">
        <f t="shared" si="7"/>
        <v>84000</v>
      </c>
      <c r="J114" s="29">
        <v>16000</v>
      </c>
      <c r="K114" s="119">
        <f t="shared" si="5"/>
        <v>68000</v>
      </c>
      <c r="L114" s="86">
        <v>16400</v>
      </c>
      <c r="M114" s="92"/>
      <c r="N114" s="92">
        <f t="shared" si="6"/>
        <v>84400</v>
      </c>
      <c r="O114" s="10" t="s">
        <v>206</v>
      </c>
      <c r="P114" s="105" t="s">
        <v>564</v>
      </c>
      <c r="Q114" s="10" t="s">
        <v>328</v>
      </c>
      <c r="R114" s="92"/>
      <c r="S114" s="108" t="s">
        <v>565</v>
      </c>
      <c r="T114" s="92"/>
      <c r="U114" s="92"/>
      <c r="V114" s="92"/>
      <c r="W114" s="92"/>
    </row>
    <row r="115" spans="1:23" s="29" customFormat="1" ht="15.6" hidden="1">
      <c r="A115" s="9">
        <v>44204</v>
      </c>
      <c r="B115" s="10" t="s">
        <v>170</v>
      </c>
      <c r="C115" s="54" t="s">
        <v>566</v>
      </c>
      <c r="D115" s="29" t="s">
        <v>567</v>
      </c>
      <c r="E115" s="57" t="s">
        <v>568</v>
      </c>
      <c r="F115" s="38" t="s">
        <v>569</v>
      </c>
      <c r="G115" s="30">
        <v>1</v>
      </c>
      <c r="H115" s="86">
        <v>66000</v>
      </c>
      <c r="I115" s="86">
        <f t="shared" si="7"/>
        <v>66000</v>
      </c>
      <c r="K115" s="119">
        <f t="shared" si="5"/>
        <v>66000</v>
      </c>
      <c r="L115" s="29">
        <f>12000-12000</f>
        <v>0</v>
      </c>
      <c r="M115" s="92"/>
      <c r="N115" s="92">
        <f t="shared" si="6"/>
        <v>66000</v>
      </c>
      <c r="O115" s="10" t="s">
        <v>170</v>
      </c>
      <c r="P115" s="118" t="s">
        <v>570</v>
      </c>
      <c r="Q115" s="10" t="s">
        <v>478</v>
      </c>
      <c r="R115" s="92"/>
      <c r="S115" s="103" t="s">
        <v>570</v>
      </c>
      <c r="T115" s="92"/>
      <c r="U115" s="92"/>
      <c r="V115" s="92"/>
      <c r="W115" s="92"/>
    </row>
    <row r="116" spans="1:23" s="29" customFormat="1" ht="15.6">
      <c r="A116" s="9">
        <v>44204</v>
      </c>
      <c r="B116" s="10" t="s">
        <v>23</v>
      </c>
      <c r="C116" s="11" t="s">
        <v>571</v>
      </c>
      <c r="D116" s="29" t="s">
        <v>572</v>
      </c>
      <c r="E116" s="74" t="s">
        <v>141</v>
      </c>
      <c r="F116" s="15" t="s">
        <v>142</v>
      </c>
      <c r="G116" s="30">
        <v>1</v>
      </c>
      <c r="H116" s="86">
        <v>68000</v>
      </c>
      <c r="I116" s="86">
        <f t="shared" si="7"/>
        <v>68000</v>
      </c>
      <c r="J116" s="29">
        <f>I116*20%</f>
        <v>13600</v>
      </c>
      <c r="K116" s="119">
        <f t="shared" si="5"/>
        <v>54400</v>
      </c>
      <c r="L116" s="29">
        <v>45000</v>
      </c>
      <c r="M116" s="92"/>
      <c r="N116" s="92">
        <f t="shared" si="6"/>
        <v>99400</v>
      </c>
      <c r="O116" s="10" t="s">
        <v>23</v>
      </c>
      <c r="P116" s="95"/>
      <c r="Q116" s="10" t="s">
        <v>40</v>
      </c>
      <c r="R116" s="92"/>
      <c r="S116" s="12"/>
      <c r="T116" s="92"/>
      <c r="U116" s="92"/>
      <c r="V116" s="92"/>
      <c r="W116" s="92"/>
    </row>
    <row r="117" spans="1:23" s="29" customFormat="1" ht="15.6" hidden="1">
      <c r="A117" s="9">
        <v>44204</v>
      </c>
      <c r="B117" s="10" t="s">
        <v>313</v>
      </c>
      <c r="C117" s="77" t="s">
        <v>573</v>
      </c>
      <c r="D117" s="29" t="s">
        <v>574</v>
      </c>
      <c r="E117" s="57" t="s">
        <v>575</v>
      </c>
      <c r="F117" s="58" t="s">
        <v>576</v>
      </c>
      <c r="G117" s="30">
        <v>1</v>
      </c>
      <c r="H117" s="86">
        <v>82000</v>
      </c>
      <c r="I117" s="86">
        <f t="shared" si="7"/>
        <v>82000</v>
      </c>
      <c r="K117" s="119">
        <f t="shared" si="5"/>
        <v>82000</v>
      </c>
      <c r="L117" s="29">
        <v>13001</v>
      </c>
      <c r="M117" s="92"/>
      <c r="N117" s="92">
        <f t="shared" si="6"/>
        <v>95001</v>
      </c>
      <c r="O117" s="10" t="s">
        <v>313</v>
      </c>
      <c r="P117" s="95"/>
      <c r="Q117" s="10" t="s">
        <v>40</v>
      </c>
      <c r="R117" s="92"/>
      <c r="S117" s="110"/>
      <c r="T117" s="92"/>
      <c r="U117" s="92"/>
      <c r="V117" s="92"/>
      <c r="W117" s="92"/>
    </row>
    <row r="118" spans="1:23" s="29" customFormat="1" ht="15.6" hidden="1">
      <c r="A118" s="9">
        <v>44204</v>
      </c>
      <c r="B118" s="10" t="s">
        <v>313</v>
      </c>
      <c r="C118" s="77" t="s">
        <v>577</v>
      </c>
      <c r="D118" s="29" t="s">
        <v>578</v>
      </c>
      <c r="E118" s="74" t="s">
        <v>579</v>
      </c>
      <c r="F118" s="33" t="s">
        <v>72</v>
      </c>
      <c r="G118" s="30">
        <v>1</v>
      </c>
      <c r="H118" s="86">
        <v>108000</v>
      </c>
      <c r="I118" s="86">
        <f t="shared" si="7"/>
        <v>108000</v>
      </c>
      <c r="J118" s="29">
        <f>I118*35%</f>
        <v>37800</v>
      </c>
      <c r="K118" s="119">
        <f t="shared" si="5"/>
        <v>70200</v>
      </c>
      <c r="L118" s="29">
        <v>8021</v>
      </c>
      <c r="M118" s="92"/>
      <c r="N118" s="92">
        <f t="shared" si="6"/>
        <v>78221</v>
      </c>
      <c r="O118" s="10" t="s">
        <v>313</v>
      </c>
      <c r="P118" s="118"/>
      <c r="Q118" s="10" t="s">
        <v>28</v>
      </c>
      <c r="R118" s="92"/>
      <c r="S118" s="103"/>
      <c r="T118" s="92"/>
      <c r="U118" s="92"/>
      <c r="V118" s="92"/>
      <c r="W118" s="92"/>
    </row>
    <row r="119" spans="1:23" s="29" customFormat="1" ht="15.6" hidden="1">
      <c r="A119" s="9">
        <v>44204</v>
      </c>
      <c r="B119" s="10" t="s">
        <v>313</v>
      </c>
      <c r="C119" s="120" t="s">
        <v>580</v>
      </c>
      <c r="D119" s="29" t="s">
        <v>581</v>
      </c>
      <c r="E119" s="74" t="s">
        <v>582</v>
      </c>
      <c r="F119" s="15" t="s">
        <v>583</v>
      </c>
      <c r="G119" s="30">
        <v>1</v>
      </c>
      <c r="H119" s="86">
        <v>89500</v>
      </c>
      <c r="I119" s="86">
        <f t="shared" si="7"/>
        <v>89500</v>
      </c>
      <c r="K119" s="119">
        <f t="shared" si="5"/>
        <v>89500</v>
      </c>
      <c r="L119" s="29">
        <v>19084</v>
      </c>
      <c r="M119" s="92"/>
      <c r="N119" s="92">
        <f t="shared" si="6"/>
        <v>108584</v>
      </c>
      <c r="O119" s="10" t="s">
        <v>313</v>
      </c>
      <c r="P119" s="92"/>
      <c r="Q119" s="10" t="s">
        <v>40</v>
      </c>
      <c r="R119" s="92"/>
      <c r="S119" s="92"/>
      <c r="T119" s="92"/>
      <c r="U119" s="92"/>
      <c r="V119" s="92"/>
      <c r="W119" s="92"/>
    </row>
    <row r="120" spans="1:23" s="29" customFormat="1" ht="15.6">
      <c r="A120" s="9">
        <v>44204</v>
      </c>
      <c r="B120" s="10" t="s">
        <v>23</v>
      </c>
      <c r="C120" s="10" t="s">
        <v>584</v>
      </c>
      <c r="D120" s="29" t="s">
        <v>31</v>
      </c>
      <c r="E120" s="57" t="s">
        <v>585</v>
      </c>
      <c r="F120" s="58" t="s">
        <v>586</v>
      </c>
      <c r="G120" s="16">
        <v>1</v>
      </c>
      <c r="H120" s="86">
        <v>69000</v>
      </c>
      <c r="I120" s="86">
        <f t="shared" si="7"/>
        <v>69000</v>
      </c>
      <c r="J120" s="29">
        <f>I120*40%</f>
        <v>27600</v>
      </c>
      <c r="K120" s="119">
        <f t="shared" si="5"/>
        <v>41400</v>
      </c>
      <c r="L120" s="92"/>
      <c r="M120" s="92"/>
      <c r="N120" s="92">
        <f t="shared" si="6"/>
        <v>41400</v>
      </c>
      <c r="O120" s="10" t="s">
        <v>23</v>
      </c>
      <c r="P120" s="92"/>
      <c r="Q120" s="10" t="s">
        <v>587</v>
      </c>
      <c r="R120" s="92"/>
      <c r="S120" s="122"/>
      <c r="T120" s="92"/>
      <c r="U120" s="92"/>
      <c r="V120" s="92"/>
      <c r="W120" s="92"/>
    </row>
    <row r="121" spans="1:23" s="29" customFormat="1">
      <c r="A121" s="9">
        <v>44204</v>
      </c>
      <c r="B121" s="10" t="s">
        <v>23</v>
      </c>
      <c r="C121" s="10" t="s">
        <v>584</v>
      </c>
      <c r="D121" s="121" t="s">
        <v>31</v>
      </c>
      <c r="E121" s="78" t="s">
        <v>588</v>
      </c>
      <c r="F121" s="10" t="s">
        <v>589</v>
      </c>
      <c r="G121" s="16">
        <v>1</v>
      </c>
      <c r="H121" s="86">
        <v>91000</v>
      </c>
      <c r="I121" s="86">
        <f t="shared" si="7"/>
        <v>91000</v>
      </c>
      <c r="J121" s="29">
        <f t="shared" ref="J121:J122" si="11">I121*40%</f>
        <v>36400</v>
      </c>
      <c r="K121" s="119">
        <f t="shared" si="5"/>
        <v>54600</v>
      </c>
      <c r="L121" s="92"/>
      <c r="M121" s="92"/>
      <c r="N121" s="92">
        <f t="shared" si="6"/>
        <v>54600</v>
      </c>
      <c r="O121" s="10" t="s">
        <v>23</v>
      </c>
      <c r="P121" s="106"/>
      <c r="Q121" s="10" t="s">
        <v>587</v>
      </c>
      <c r="R121" s="92"/>
      <c r="S121" s="23"/>
      <c r="T121" s="92"/>
      <c r="U121" s="92"/>
      <c r="V121" s="92"/>
      <c r="W121" s="92"/>
    </row>
    <row r="122" spans="1:23" s="29" customFormat="1" ht="15.6">
      <c r="A122" s="9">
        <v>44204</v>
      </c>
      <c r="B122" s="10" t="s">
        <v>23</v>
      </c>
      <c r="C122" s="10" t="s">
        <v>584</v>
      </c>
      <c r="D122" s="29" t="s">
        <v>31</v>
      </c>
      <c r="E122" s="57" t="s">
        <v>590</v>
      </c>
      <c r="F122" s="38" t="s">
        <v>591</v>
      </c>
      <c r="G122" s="16">
        <v>1</v>
      </c>
      <c r="H122" s="86">
        <v>89500</v>
      </c>
      <c r="I122" s="86">
        <f t="shared" si="7"/>
        <v>89500</v>
      </c>
      <c r="J122" s="29">
        <f t="shared" si="11"/>
        <v>35800</v>
      </c>
      <c r="K122" s="119">
        <f t="shared" si="5"/>
        <v>53700</v>
      </c>
      <c r="L122" s="92"/>
      <c r="M122" s="92"/>
      <c r="N122" s="92">
        <f t="shared" si="6"/>
        <v>53700</v>
      </c>
      <c r="O122" s="10" t="s">
        <v>23</v>
      </c>
      <c r="P122" s="92"/>
      <c r="Q122" s="10" t="s">
        <v>587</v>
      </c>
      <c r="R122" s="92"/>
      <c r="S122" s="69"/>
      <c r="T122" s="92"/>
      <c r="U122" s="92"/>
      <c r="V122" s="92"/>
      <c r="W122" s="92"/>
    </row>
    <row r="123" spans="1:23" s="29" customFormat="1" ht="16.8" hidden="1">
      <c r="A123" s="9">
        <v>44204</v>
      </c>
      <c r="B123" s="10" t="s">
        <v>313</v>
      </c>
      <c r="C123" s="70" t="s">
        <v>592</v>
      </c>
      <c r="D123" s="29" t="s">
        <v>593</v>
      </c>
      <c r="E123" s="74" t="s">
        <v>594</v>
      </c>
      <c r="F123" s="15" t="s">
        <v>595</v>
      </c>
      <c r="G123" s="16">
        <v>1</v>
      </c>
      <c r="H123" s="86">
        <v>104000</v>
      </c>
      <c r="I123" s="86">
        <f t="shared" si="7"/>
        <v>104000</v>
      </c>
      <c r="K123" s="119">
        <f t="shared" si="5"/>
        <v>104000</v>
      </c>
      <c r="L123" s="92"/>
      <c r="M123" s="92">
        <v>35</v>
      </c>
      <c r="N123" s="92">
        <f t="shared" si="6"/>
        <v>104035</v>
      </c>
      <c r="O123" s="10" t="s">
        <v>313</v>
      </c>
      <c r="P123" s="96"/>
      <c r="Q123" s="10" t="s">
        <v>40</v>
      </c>
      <c r="R123" s="92"/>
      <c r="S123" s="89"/>
      <c r="T123" s="92"/>
      <c r="U123" s="92"/>
      <c r="V123" s="92"/>
      <c r="W123" s="92"/>
    </row>
    <row r="124" spans="1:23" s="29" customFormat="1" ht="16.8">
      <c r="A124" s="9">
        <v>44204</v>
      </c>
      <c r="B124" s="10" t="s">
        <v>23</v>
      </c>
      <c r="C124" s="70" t="s">
        <v>596</v>
      </c>
      <c r="D124" s="29" t="s">
        <v>597</v>
      </c>
      <c r="E124" s="15" t="s">
        <v>598</v>
      </c>
      <c r="F124" s="33" t="s">
        <v>599</v>
      </c>
      <c r="G124" s="16">
        <v>1</v>
      </c>
      <c r="H124" s="86">
        <v>106000</v>
      </c>
      <c r="I124" s="86">
        <f t="shared" si="7"/>
        <v>106000</v>
      </c>
      <c r="K124" s="119">
        <f t="shared" si="5"/>
        <v>106000</v>
      </c>
      <c r="L124" s="92">
        <v>63000</v>
      </c>
      <c r="M124" s="92"/>
      <c r="N124" s="92">
        <f t="shared" si="6"/>
        <v>169000</v>
      </c>
      <c r="O124" s="10" t="s">
        <v>23</v>
      </c>
      <c r="P124" s="105"/>
      <c r="Q124" s="10" t="s">
        <v>40</v>
      </c>
      <c r="R124" s="92"/>
      <c r="S124" s="23"/>
      <c r="T124" s="92"/>
      <c r="U124" s="92"/>
      <c r="V124" s="92"/>
      <c r="W124" s="92"/>
    </row>
    <row r="125" spans="1:23" s="29" customFormat="1" ht="15.6" hidden="1">
      <c r="A125" s="9">
        <v>44207</v>
      </c>
      <c r="B125" s="91" t="s">
        <v>43</v>
      </c>
      <c r="C125" s="162" t="s">
        <v>600</v>
      </c>
      <c r="D125" s="29" t="s">
        <v>601</v>
      </c>
      <c r="E125" s="22" t="s">
        <v>306</v>
      </c>
      <c r="F125" s="22" t="s">
        <v>307</v>
      </c>
      <c r="G125" s="16">
        <v>1</v>
      </c>
      <c r="H125" s="86">
        <v>90500</v>
      </c>
      <c r="I125" s="86">
        <f t="shared" si="7"/>
        <v>90500</v>
      </c>
      <c r="J125" s="29">
        <f>I125*20%</f>
        <v>18100</v>
      </c>
      <c r="K125" s="86">
        <f t="shared" si="5"/>
        <v>72400</v>
      </c>
      <c r="L125" s="92">
        <v>16000</v>
      </c>
      <c r="M125" s="92">
        <v>-3135</v>
      </c>
      <c r="N125" s="92">
        <f t="shared" si="6"/>
        <v>85265</v>
      </c>
      <c r="O125" s="91" t="s">
        <v>43</v>
      </c>
      <c r="P125" s="101" t="s">
        <v>602</v>
      </c>
      <c r="Q125" s="91" t="s">
        <v>603</v>
      </c>
      <c r="R125" s="37" t="s">
        <v>604</v>
      </c>
      <c r="S125" s="23"/>
      <c r="T125" s="92"/>
      <c r="U125" s="92"/>
      <c r="V125" s="92"/>
      <c r="W125" s="92"/>
    </row>
    <row r="126" spans="1:23" s="29" customFormat="1" ht="15.6" hidden="1">
      <c r="A126" s="9">
        <v>44207</v>
      </c>
      <c r="B126" s="91" t="s">
        <v>206</v>
      </c>
      <c r="C126" s="123" t="s">
        <v>605</v>
      </c>
      <c r="D126" s="29" t="s">
        <v>606</v>
      </c>
      <c r="E126" s="22" t="s">
        <v>607</v>
      </c>
      <c r="F126" s="22" t="s">
        <v>608</v>
      </c>
      <c r="G126" s="16">
        <v>1</v>
      </c>
      <c r="H126" s="86">
        <v>66000</v>
      </c>
      <c r="I126" s="86">
        <f t="shared" si="7"/>
        <v>66000</v>
      </c>
      <c r="J126" s="29">
        <v>19000</v>
      </c>
      <c r="K126" s="86">
        <f t="shared" si="5"/>
        <v>47000</v>
      </c>
      <c r="L126" s="86">
        <v>19400</v>
      </c>
      <c r="M126" s="92"/>
      <c r="N126" s="92">
        <f t="shared" si="6"/>
        <v>66400</v>
      </c>
      <c r="O126" s="91" t="s">
        <v>206</v>
      </c>
      <c r="P126" s="89" t="s">
        <v>609</v>
      </c>
      <c r="Q126" s="91" t="s">
        <v>176</v>
      </c>
      <c r="R126" s="89" t="s">
        <v>610</v>
      </c>
      <c r="S126" s="23"/>
      <c r="T126" s="92"/>
      <c r="U126" s="92"/>
      <c r="V126" s="92"/>
      <c r="W126" s="92"/>
    </row>
    <row r="127" spans="1:23" s="29" customFormat="1" ht="15.6">
      <c r="A127" s="9">
        <v>44207</v>
      </c>
      <c r="B127" s="91" t="s">
        <v>23</v>
      </c>
      <c r="C127" s="91" t="s">
        <v>611</v>
      </c>
      <c r="D127" s="29" t="s">
        <v>612</v>
      </c>
      <c r="E127" s="124" t="s">
        <v>613</v>
      </c>
      <c r="F127" s="125" t="s">
        <v>614</v>
      </c>
      <c r="G127" s="16">
        <v>1</v>
      </c>
      <c r="H127" s="163">
        <v>61500</v>
      </c>
      <c r="I127" s="86">
        <f t="shared" si="7"/>
        <v>61500</v>
      </c>
      <c r="J127" s="29">
        <f>I127*20%</f>
        <v>12300</v>
      </c>
      <c r="K127" s="86">
        <f t="shared" si="5"/>
        <v>49200</v>
      </c>
      <c r="L127" s="86">
        <v>21000</v>
      </c>
      <c r="N127" s="92">
        <f t="shared" si="6"/>
        <v>70200</v>
      </c>
      <c r="O127" s="91" t="s">
        <v>23</v>
      </c>
      <c r="P127" s="96"/>
      <c r="Q127" s="91" t="s">
        <v>28</v>
      </c>
      <c r="R127" s="92"/>
      <c r="S127" s="23"/>
      <c r="T127" s="92"/>
      <c r="U127" s="92"/>
      <c r="V127" s="92"/>
      <c r="W127" s="92"/>
    </row>
    <row r="128" spans="1:23" s="29" customFormat="1" ht="15.6">
      <c r="A128" s="9">
        <v>44207</v>
      </c>
      <c r="B128" s="91" t="s">
        <v>23</v>
      </c>
      <c r="C128" s="91" t="s">
        <v>611</v>
      </c>
      <c r="D128" s="29" t="s">
        <v>615</v>
      </c>
      <c r="E128" s="126" t="s">
        <v>616</v>
      </c>
      <c r="F128" s="126" t="s">
        <v>617</v>
      </c>
      <c r="G128" s="16">
        <v>1</v>
      </c>
      <c r="H128" s="163">
        <v>67000</v>
      </c>
      <c r="I128" s="86">
        <f t="shared" si="7"/>
        <v>67000</v>
      </c>
      <c r="J128" s="29">
        <f t="shared" ref="J128:J138" si="12">I128*20%</f>
        <v>13400</v>
      </c>
      <c r="K128" s="86">
        <f t="shared" si="5"/>
        <v>53600</v>
      </c>
      <c r="N128" s="92">
        <f t="shared" si="6"/>
        <v>53600</v>
      </c>
      <c r="O128" s="91" t="s">
        <v>23</v>
      </c>
      <c r="Q128" s="91" t="s">
        <v>28</v>
      </c>
      <c r="S128" s="23"/>
      <c r="V128" s="92"/>
      <c r="W128" s="92"/>
    </row>
    <row r="129" spans="1:23" s="29" customFormat="1" ht="15.6">
      <c r="A129" s="9">
        <v>44207</v>
      </c>
      <c r="B129" s="91" t="s">
        <v>23</v>
      </c>
      <c r="C129" s="91" t="s">
        <v>611</v>
      </c>
      <c r="D129" s="29" t="s">
        <v>618</v>
      </c>
      <c r="E129" s="124" t="s">
        <v>619</v>
      </c>
      <c r="F129" s="83" t="s">
        <v>620</v>
      </c>
      <c r="G129" s="16">
        <v>1</v>
      </c>
      <c r="H129" s="163">
        <v>58000</v>
      </c>
      <c r="I129" s="86">
        <f t="shared" si="7"/>
        <v>58000</v>
      </c>
      <c r="J129" s="29">
        <f t="shared" si="12"/>
        <v>11600</v>
      </c>
      <c r="K129" s="86">
        <f t="shared" si="5"/>
        <v>46400</v>
      </c>
      <c r="L129" s="164"/>
      <c r="N129" s="92">
        <f t="shared" si="6"/>
        <v>46400</v>
      </c>
      <c r="O129" s="91" t="s">
        <v>23</v>
      </c>
      <c r="Q129" s="91" t="s">
        <v>28</v>
      </c>
      <c r="S129" s="23"/>
      <c r="V129" s="92"/>
      <c r="W129" s="92"/>
    </row>
    <row r="130" spans="1:23" s="29" customFormat="1" ht="15.6">
      <c r="A130" s="9">
        <v>44207</v>
      </c>
      <c r="B130" s="91" t="s">
        <v>23</v>
      </c>
      <c r="C130" s="91" t="s">
        <v>611</v>
      </c>
      <c r="D130" s="29" t="s">
        <v>621</v>
      </c>
      <c r="E130" s="83" t="s">
        <v>622</v>
      </c>
      <c r="F130" s="83" t="s">
        <v>623</v>
      </c>
      <c r="G130" s="16">
        <v>1</v>
      </c>
      <c r="H130" s="163">
        <v>58000</v>
      </c>
      <c r="I130" s="86">
        <f t="shared" si="7"/>
        <v>58000</v>
      </c>
      <c r="J130" s="29">
        <f t="shared" si="12"/>
        <v>11600</v>
      </c>
      <c r="K130" s="86">
        <f t="shared" si="5"/>
        <v>46400</v>
      </c>
      <c r="N130" s="92">
        <f t="shared" si="6"/>
        <v>46400</v>
      </c>
      <c r="O130" s="91" t="s">
        <v>23</v>
      </c>
      <c r="Q130" s="91" t="s">
        <v>28</v>
      </c>
      <c r="S130" s="23"/>
      <c r="V130" s="92"/>
      <c r="W130" s="92"/>
    </row>
    <row r="131" spans="1:23" s="29" customFormat="1" ht="15.6">
      <c r="A131" s="9">
        <v>44207</v>
      </c>
      <c r="B131" s="91" t="s">
        <v>23</v>
      </c>
      <c r="C131" s="91" t="s">
        <v>611</v>
      </c>
      <c r="D131" s="29" t="s">
        <v>624</v>
      </c>
      <c r="E131" s="126" t="s">
        <v>625</v>
      </c>
      <c r="F131" s="126" t="s">
        <v>626</v>
      </c>
      <c r="G131" s="16">
        <v>1</v>
      </c>
      <c r="H131" s="163">
        <v>58500</v>
      </c>
      <c r="I131" s="86">
        <f t="shared" si="7"/>
        <v>58500</v>
      </c>
      <c r="J131" s="29">
        <f t="shared" si="12"/>
        <v>11700</v>
      </c>
      <c r="K131" s="86">
        <f t="shared" ref="K131:K173" si="13">I131-J131</f>
        <v>46800</v>
      </c>
      <c r="N131" s="92">
        <f t="shared" ref="N131:N173" si="14">K131+L131+M131</f>
        <v>46800</v>
      </c>
      <c r="O131" s="91" t="s">
        <v>23</v>
      </c>
      <c r="Q131" s="91" t="s">
        <v>28</v>
      </c>
      <c r="S131" s="23"/>
      <c r="V131" s="92"/>
      <c r="W131" s="92"/>
    </row>
    <row r="132" spans="1:23" s="29" customFormat="1" ht="15.6">
      <c r="A132" s="9">
        <v>44207</v>
      </c>
      <c r="B132" s="91" t="s">
        <v>23</v>
      </c>
      <c r="C132" s="91" t="s">
        <v>611</v>
      </c>
      <c r="D132" s="29" t="s">
        <v>627</v>
      </c>
      <c r="E132" s="126" t="s">
        <v>628</v>
      </c>
      <c r="F132" s="126" t="s">
        <v>629</v>
      </c>
      <c r="G132" s="16">
        <v>1</v>
      </c>
      <c r="H132" s="163">
        <v>63000</v>
      </c>
      <c r="I132" s="86">
        <f t="shared" si="7"/>
        <v>63000</v>
      </c>
      <c r="J132" s="29">
        <f t="shared" si="12"/>
        <v>12600</v>
      </c>
      <c r="K132" s="86">
        <f t="shared" si="13"/>
        <v>50400</v>
      </c>
      <c r="N132" s="92">
        <f t="shared" si="14"/>
        <v>50400</v>
      </c>
      <c r="O132" s="91" t="s">
        <v>23</v>
      </c>
      <c r="Q132" s="91" t="s">
        <v>28</v>
      </c>
      <c r="S132" s="23"/>
      <c r="V132" s="92"/>
      <c r="W132" s="92"/>
    </row>
    <row r="133" spans="1:23" s="29" customFormat="1" ht="15.6">
      <c r="A133" s="9">
        <v>44207</v>
      </c>
      <c r="B133" s="91" t="s">
        <v>23</v>
      </c>
      <c r="C133" s="91" t="s">
        <v>611</v>
      </c>
      <c r="D133" s="29" t="s">
        <v>630</v>
      </c>
      <c r="E133" s="124" t="s">
        <v>130</v>
      </c>
      <c r="F133" s="83" t="s">
        <v>132</v>
      </c>
      <c r="G133" s="16">
        <v>1</v>
      </c>
      <c r="H133" s="163">
        <v>28000</v>
      </c>
      <c r="I133" s="86">
        <f t="shared" ref="I133:I173" si="15">G133*H133</f>
        <v>28000</v>
      </c>
      <c r="J133" s="29">
        <f t="shared" si="12"/>
        <v>5600</v>
      </c>
      <c r="K133" s="86">
        <f t="shared" si="13"/>
        <v>22400</v>
      </c>
      <c r="N133" s="92">
        <f t="shared" si="14"/>
        <v>22400</v>
      </c>
      <c r="O133" s="91" t="s">
        <v>23</v>
      </c>
      <c r="P133" s="95"/>
      <c r="Q133" s="91" t="s">
        <v>28</v>
      </c>
      <c r="V133" s="92"/>
      <c r="W133" s="92"/>
    </row>
    <row r="134" spans="1:23" s="29" customFormat="1" ht="15.6">
      <c r="A134" s="9">
        <v>44207</v>
      </c>
      <c r="B134" s="91" t="s">
        <v>23</v>
      </c>
      <c r="C134" s="91" t="s">
        <v>611</v>
      </c>
      <c r="D134" s="29" t="s">
        <v>631</v>
      </c>
      <c r="E134" s="126" t="s">
        <v>632</v>
      </c>
      <c r="F134" s="126" t="s">
        <v>633</v>
      </c>
      <c r="G134" s="16">
        <v>1</v>
      </c>
      <c r="H134" s="165">
        <v>86000</v>
      </c>
      <c r="I134" s="86">
        <f t="shared" si="15"/>
        <v>86000</v>
      </c>
      <c r="J134" s="29">
        <f t="shared" si="12"/>
        <v>17200</v>
      </c>
      <c r="K134" s="86">
        <f t="shared" si="13"/>
        <v>68800</v>
      </c>
      <c r="L134" s="164"/>
      <c r="N134" s="92">
        <f t="shared" si="14"/>
        <v>68800</v>
      </c>
      <c r="O134" s="91" t="s">
        <v>23</v>
      </c>
      <c r="P134" s="95"/>
      <c r="Q134" s="91" t="s">
        <v>28</v>
      </c>
      <c r="S134" s="12"/>
      <c r="V134" s="92"/>
      <c r="W134" s="92"/>
    </row>
    <row r="135" spans="1:23" s="29" customFormat="1" ht="15.6">
      <c r="A135" s="9">
        <v>44207</v>
      </c>
      <c r="B135" s="91" t="s">
        <v>23</v>
      </c>
      <c r="C135" s="91" t="s">
        <v>611</v>
      </c>
      <c r="D135" s="29" t="s">
        <v>634</v>
      </c>
      <c r="E135" s="83" t="s">
        <v>635</v>
      </c>
      <c r="F135" s="83" t="s">
        <v>636</v>
      </c>
      <c r="G135" s="16">
        <v>1</v>
      </c>
      <c r="H135" s="165">
        <v>181000</v>
      </c>
      <c r="I135" s="86">
        <f t="shared" si="15"/>
        <v>181000</v>
      </c>
      <c r="J135" s="29">
        <f t="shared" si="12"/>
        <v>36200</v>
      </c>
      <c r="K135" s="86">
        <f t="shared" si="13"/>
        <v>144800</v>
      </c>
      <c r="N135" s="92">
        <f t="shared" si="14"/>
        <v>144800</v>
      </c>
      <c r="O135" s="91" t="s">
        <v>23</v>
      </c>
      <c r="P135" s="95"/>
      <c r="Q135" s="91" t="s">
        <v>28</v>
      </c>
      <c r="S135" s="12"/>
      <c r="V135" s="92"/>
      <c r="W135" s="92"/>
    </row>
    <row r="136" spans="1:23" s="29" customFormat="1" ht="15" customHeight="1">
      <c r="A136" s="9">
        <v>44207</v>
      </c>
      <c r="B136" s="91" t="s">
        <v>23</v>
      </c>
      <c r="C136" s="91" t="s">
        <v>611</v>
      </c>
      <c r="D136" s="29" t="s">
        <v>637</v>
      </c>
      <c r="E136" s="83" t="s">
        <v>638</v>
      </c>
      <c r="F136" s="83" t="s">
        <v>639</v>
      </c>
      <c r="G136" s="16">
        <v>1</v>
      </c>
      <c r="H136" s="165">
        <v>43500</v>
      </c>
      <c r="I136" s="86">
        <f t="shared" si="15"/>
        <v>43500</v>
      </c>
      <c r="J136" s="29">
        <f t="shared" si="12"/>
        <v>8700</v>
      </c>
      <c r="K136" s="86">
        <f t="shared" si="13"/>
        <v>34800</v>
      </c>
      <c r="N136" s="92">
        <f t="shared" si="14"/>
        <v>34800</v>
      </c>
      <c r="O136" s="91" t="s">
        <v>23</v>
      </c>
      <c r="P136" s="95"/>
      <c r="Q136" s="91" t="s">
        <v>28</v>
      </c>
      <c r="S136" s="12"/>
      <c r="V136" s="92"/>
      <c r="W136" s="92"/>
    </row>
    <row r="137" spans="1:23" s="29" customFormat="1" ht="15.6" hidden="1">
      <c r="A137" s="9">
        <v>44207</v>
      </c>
      <c r="B137" s="91" t="s">
        <v>29</v>
      </c>
      <c r="C137" s="91" t="s">
        <v>640</v>
      </c>
      <c r="D137" s="29" t="s">
        <v>31</v>
      </c>
      <c r="E137" s="22" t="s">
        <v>641</v>
      </c>
      <c r="F137" s="94" t="s">
        <v>642</v>
      </c>
      <c r="G137" s="16">
        <v>1</v>
      </c>
      <c r="H137" s="165">
        <v>117500</v>
      </c>
      <c r="I137" s="86">
        <f t="shared" si="15"/>
        <v>117500</v>
      </c>
      <c r="J137" s="29">
        <f t="shared" si="12"/>
        <v>23500</v>
      </c>
      <c r="K137" s="86">
        <f t="shared" si="13"/>
        <v>94000</v>
      </c>
      <c r="N137" s="92">
        <f t="shared" si="14"/>
        <v>94000</v>
      </c>
      <c r="O137" s="91" t="s">
        <v>29</v>
      </c>
      <c r="P137" s="95"/>
      <c r="Q137" s="91" t="s">
        <v>35</v>
      </c>
      <c r="S137" s="12"/>
      <c r="V137" s="92"/>
      <c r="W137" s="92"/>
    </row>
    <row r="138" spans="1:23" s="29" customFormat="1" ht="15.6" hidden="1">
      <c r="A138" s="9">
        <v>44207</v>
      </c>
      <c r="B138" s="91" t="s">
        <v>29</v>
      </c>
      <c r="C138" s="91" t="s">
        <v>640</v>
      </c>
      <c r="D138" s="29" t="s">
        <v>31</v>
      </c>
      <c r="E138" s="91" t="s">
        <v>643</v>
      </c>
      <c r="F138" s="127" t="s">
        <v>644</v>
      </c>
      <c r="G138" s="16">
        <v>1</v>
      </c>
      <c r="H138" s="165">
        <v>76000</v>
      </c>
      <c r="I138" s="86">
        <f t="shared" si="15"/>
        <v>76000</v>
      </c>
      <c r="J138" s="29">
        <f t="shared" si="12"/>
        <v>15200</v>
      </c>
      <c r="K138" s="86">
        <f t="shared" si="13"/>
        <v>60800</v>
      </c>
      <c r="L138" s="92"/>
      <c r="M138" s="92"/>
      <c r="N138" s="92">
        <f t="shared" si="14"/>
        <v>60800</v>
      </c>
      <c r="O138" s="91" t="s">
        <v>29</v>
      </c>
      <c r="Q138" s="91" t="s">
        <v>35</v>
      </c>
      <c r="S138" s="110"/>
      <c r="V138" s="92"/>
      <c r="W138" s="92"/>
    </row>
    <row r="139" spans="1:23" s="29" customFormat="1" ht="15.6">
      <c r="A139" s="9">
        <v>44208</v>
      </c>
      <c r="B139" s="10" t="s">
        <v>23</v>
      </c>
      <c r="C139" s="91" t="s">
        <v>645</v>
      </c>
      <c r="D139" s="29" t="s">
        <v>646</v>
      </c>
      <c r="E139" s="22" t="s">
        <v>647</v>
      </c>
      <c r="F139" s="22" t="s">
        <v>648</v>
      </c>
      <c r="G139" s="16">
        <v>1</v>
      </c>
      <c r="H139" s="29">
        <v>83500</v>
      </c>
      <c r="I139" s="86">
        <f t="shared" si="15"/>
        <v>83500</v>
      </c>
      <c r="K139" s="86">
        <f t="shared" si="13"/>
        <v>83500</v>
      </c>
      <c r="L139" s="92">
        <v>35000</v>
      </c>
      <c r="M139" s="92"/>
      <c r="N139" s="92">
        <f t="shared" si="14"/>
        <v>118500</v>
      </c>
      <c r="O139" s="10" t="s">
        <v>23</v>
      </c>
      <c r="Q139" s="10" t="s">
        <v>649</v>
      </c>
      <c r="V139" s="92"/>
      <c r="W139" s="92"/>
    </row>
    <row r="140" spans="1:23" s="29" customFormat="1" ht="15.6" hidden="1">
      <c r="A140" s="9">
        <v>44208</v>
      </c>
      <c r="B140" s="91" t="s">
        <v>170</v>
      </c>
      <c r="C140" s="41" t="s">
        <v>650</v>
      </c>
      <c r="D140" s="72" t="s">
        <v>651</v>
      </c>
      <c r="E140" s="22" t="s">
        <v>652</v>
      </c>
      <c r="F140" s="22" t="s">
        <v>653</v>
      </c>
      <c r="G140" s="16">
        <v>1</v>
      </c>
      <c r="H140" s="29">
        <v>84500</v>
      </c>
      <c r="I140" s="86">
        <f t="shared" si="15"/>
        <v>84500</v>
      </c>
      <c r="J140" s="29">
        <f>I140*20%</f>
        <v>16900</v>
      </c>
      <c r="K140" s="86">
        <f t="shared" si="13"/>
        <v>67600</v>
      </c>
      <c r="L140" s="92">
        <f>39000-39000</f>
        <v>0</v>
      </c>
      <c r="M140" s="92"/>
      <c r="N140" s="92">
        <f t="shared" si="14"/>
        <v>67600</v>
      </c>
      <c r="O140" s="91" t="s">
        <v>170</v>
      </c>
      <c r="P140" s="166" t="s">
        <v>654</v>
      </c>
      <c r="Q140" s="91" t="s">
        <v>40</v>
      </c>
      <c r="R140" s="166" t="s">
        <v>654</v>
      </c>
      <c r="S140" s="12"/>
      <c r="V140" s="92"/>
      <c r="W140" s="92"/>
    </row>
    <row r="141" spans="1:23" s="29" customFormat="1" ht="15.6">
      <c r="A141" s="9">
        <v>44208</v>
      </c>
      <c r="B141" s="91" t="s">
        <v>23</v>
      </c>
      <c r="C141" s="91" t="s">
        <v>655</v>
      </c>
      <c r="D141" s="72" t="s">
        <v>656</v>
      </c>
      <c r="E141" s="128" t="s">
        <v>657</v>
      </c>
      <c r="F141" s="128" t="s">
        <v>658</v>
      </c>
      <c r="G141" s="16">
        <v>1</v>
      </c>
      <c r="H141" s="29">
        <v>59000</v>
      </c>
      <c r="I141" s="86">
        <f t="shared" si="15"/>
        <v>59000</v>
      </c>
      <c r="K141" s="86">
        <f t="shared" si="13"/>
        <v>59000</v>
      </c>
      <c r="L141" s="92">
        <v>17000</v>
      </c>
      <c r="M141" s="92"/>
      <c r="N141" s="92">
        <f t="shared" si="14"/>
        <v>76000</v>
      </c>
      <c r="O141" s="91" t="s">
        <v>23</v>
      </c>
      <c r="Q141" s="91" t="s">
        <v>40</v>
      </c>
      <c r="V141" s="92"/>
      <c r="W141" s="92"/>
    </row>
    <row r="142" spans="1:23" s="29" customFormat="1" ht="15.6">
      <c r="A142" s="9">
        <v>44208</v>
      </c>
      <c r="B142" s="91" t="s">
        <v>23</v>
      </c>
      <c r="C142" s="91" t="s">
        <v>659</v>
      </c>
      <c r="D142" s="72" t="s">
        <v>660</v>
      </c>
      <c r="E142" s="22" t="s">
        <v>661</v>
      </c>
      <c r="F142" s="22" t="s">
        <v>662</v>
      </c>
      <c r="G142" s="16">
        <v>1</v>
      </c>
      <c r="H142" s="29">
        <v>79000</v>
      </c>
      <c r="I142" s="86">
        <f t="shared" si="15"/>
        <v>79000</v>
      </c>
      <c r="K142" s="86">
        <f t="shared" si="13"/>
        <v>79000</v>
      </c>
      <c r="L142" s="92">
        <v>16000</v>
      </c>
      <c r="M142" s="92"/>
      <c r="N142" s="92">
        <f t="shared" si="14"/>
        <v>95000</v>
      </c>
      <c r="O142" s="91" t="s">
        <v>23</v>
      </c>
      <c r="P142" s="167"/>
      <c r="Q142" s="91" t="s">
        <v>40</v>
      </c>
      <c r="S142" s="167"/>
      <c r="V142" s="92"/>
      <c r="W142" s="92"/>
    </row>
    <row r="143" spans="1:23" s="29" customFormat="1" ht="15.6" hidden="1">
      <c r="A143" s="9">
        <v>44208</v>
      </c>
      <c r="B143" s="91" t="s">
        <v>313</v>
      </c>
      <c r="C143" s="129" t="s">
        <v>663</v>
      </c>
      <c r="D143" s="72" t="s">
        <v>664</v>
      </c>
      <c r="E143" s="130" t="s">
        <v>665</v>
      </c>
      <c r="F143" s="130" t="s">
        <v>666</v>
      </c>
      <c r="G143" s="16">
        <v>1</v>
      </c>
      <c r="H143" s="29">
        <v>167000</v>
      </c>
      <c r="I143" s="86">
        <f t="shared" si="15"/>
        <v>167000</v>
      </c>
      <c r="K143" s="86">
        <f t="shared" si="13"/>
        <v>167000</v>
      </c>
      <c r="L143" s="86">
        <v>29075</v>
      </c>
      <c r="M143" s="92"/>
      <c r="N143" s="92">
        <f t="shared" si="14"/>
        <v>196075</v>
      </c>
      <c r="O143" s="91" t="s">
        <v>313</v>
      </c>
      <c r="P143" s="168"/>
      <c r="Q143" s="91" t="s">
        <v>40</v>
      </c>
      <c r="S143" s="169"/>
      <c r="V143" s="92"/>
      <c r="W143" s="92"/>
    </row>
    <row r="144" spans="1:23" s="29" customFormat="1" ht="15.6" hidden="1">
      <c r="A144" s="9">
        <v>44208</v>
      </c>
      <c r="B144" s="91" t="s">
        <v>313</v>
      </c>
      <c r="C144" s="129" t="s">
        <v>663</v>
      </c>
      <c r="D144" s="72" t="s">
        <v>667</v>
      </c>
      <c r="E144" s="130" t="s">
        <v>668</v>
      </c>
      <c r="F144" s="130" t="s">
        <v>669</v>
      </c>
      <c r="G144" s="16">
        <v>1</v>
      </c>
      <c r="H144" s="29">
        <v>113000</v>
      </c>
      <c r="I144" s="86">
        <f t="shared" si="15"/>
        <v>113000</v>
      </c>
      <c r="K144" s="86">
        <f t="shared" si="13"/>
        <v>113000</v>
      </c>
      <c r="L144" s="170"/>
      <c r="M144" s="92"/>
      <c r="N144" s="92">
        <f t="shared" si="14"/>
        <v>113000</v>
      </c>
      <c r="O144" s="91" t="s">
        <v>313</v>
      </c>
      <c r="Q144" s="91" t="s">
        <v>40</v>
      </c>
      <c r="V144" s="92"/>
      <c r="W144" s="92"/>
    </row>
    <row r="145" spans="1:23" s="29" customFormat="1" ht="15.6">
      <c r="A145" s="9">
        <v>44208</v>
      </c>
      <c r="B145" s="91" t="s">
        <v>670</v>
      </c>
      <c r="C145" s="91" t="s">
        <v>671</v>
      </c>
      <c r="D145" s="29" t="s">
        <v>672</v>
      </c>
      <c r="E145" s="14" t="s">
        <v>579</v>
      </c>
      <c r="F145" s="22" t="s">
        <v>72</v>
      </c>
      <c r="G145" s="16">
        <v>3</v>
      </c>
      <c r="H145" s="86">
        <v>108000</v>
      </c>
      <c r="I145" s="86">
        <f t="shared" si="15"/>
        <v>324000</v>
      </c>
      <c r="J145" s="92">
        <f>I145*35%</f>
        <v>113400</v>
      </c>
      <c r="K145" s="86">
        <f t="shared" si="13"/>
        <v>210600</v>
      </c>
      <c r="L145" s="86">
        <v>35000</v>
      </c>
      <c r="M145" s="92"/>
      <c r="N145" s="92">
        <f t="shared" si="14"/>
        <v>245600</v>
      </c>
      <c r="O145" s="91" t="s">
        <v>670</v>
      </c>
      <c r="Q145" s="91" t="s">
        <v>649</v>
      </c>
      <c r="V145" s="92"/>
      <c r="W145" s="92"/>
    </row>
    <row r="146" spans="1:23" s="29" customFormat="1" ht="15.6" hidden="1">
      <c r="A146" s="9">
        <v>44209</v>
      </c>
      <c r="B146" s="91" t="s">
        <v>43</v>
      </c>
      <c r="C146" s="91" t="s">
        <v>673</v>
      </c>
      <c r="D146" s="72" t="s">
        <v>674</v>
      </c>
      <c r="E146" s="24" t="s">
        <v>345</v>
      </c>
      <c r="F146" s="24" t="s">
        <v>346</v>
      </c>
      <c r="G146" s="132">
        <v>1</v>
      </c>
      <c r="H146" s="86">
        <v>66000</v>
      </c>
      <c r="I146" s="86">
        <f t="shared" si="15"/>
        <v>66000</v>
      </c>
      <c r="K146" s="86">
        <f t="shared" si="13"/>
        <v>66000</v>
      </c>
      <c r="L146" s="92"/>
      <c r="M146" s="92"/>
      <c r="N146" s="92">
        <f t="shared" si="14"/>
        <v>66000</v>
      </c>
      <c r="O146" s="91" t="s">
        <v>43</v>
      </c>
      <c r="P146" s="100" t="s">
        <v>675</v>
      </c>
      <c r="Q146" s="91" t="s">
        <v>54</v>
      </c>
      <c r="R146" s="37" t="s">
        <v>676</v>
      </c>
      <c r="V146" s="92"/>
      <c r="W146" s="92"/>
    </row>
    <row r="147" spans="1:23" s="29" customFormat="1" ht="15.6" hidden="1">
      <c r="A147" s="9">
        <v>44209</v>
      </c>
      <c r="B147" s="91" t="s">
        <v>43</v>
      </c>
      <c r="C147" s="91" t="s">
        <v>673</v>
      </c>
      <c r="D147" s="72" t="s">
        <v>677</v>
      </c>
      <c r="E147" s="24" t="s">
        <v>46</v>
      </c>
      <c r="F147" s="24" t="s">
        <v>47</v>
      </c>
      <c r="G147" s="132">
        <v>1</v>
      </c>
      <c r="H147" s="86">
        <v>92000</v>
      </c>
      <c r="I147" s="86">
        <f t="shared" si="15"/>
        <v>92000</v>
      </c>
      <c r="K147" s="86">
        <f t="shared" si="13"/>
        <v>92000</v>
      </c>
      <c r="L147" s="92">
        <v>63000</v>
      </c>
      <c r="M147" s="92">
        <v>-12319</v>
      </c>
      <c r="N147" s="92">
        <f t="shared" si="14"/>
        <v>142681</v>
      </c>
      <c r="O147" s="91" t="s">
        <v>43</v>
      </c>
      <c r="P147" s="100" t="s">
        <v>675</v>
      </c>
      <c r="Q147" s="91" t="s">
        <v>54</v>
      </c>
      <c r="R147" s="37" t="s">
        <v>676</v>
      </c>
      <c r="V147" s="92"/>
      <c r="W147" s="92"/>
    </row>
    <row r="148" spans="1:23" s="29" customFormat="1" ht="15.6" hidden="1">
      <c r="A148" s="9">
        <v>44209</v>
      </c>
      <c r="B148" s="91" t="s">
        <v>43</v>
      </c>
      <c r="C148" s="91" t="s">
        <v>673</v>
      </c>
      <c r="D148" s="72" t="s">
        <v>678</v>
      </c>
      <c r="E148" s="133" t="s">
        <v>679</v>
      </c>
      <c r="F148" s="134" t="s">
        <v>680</v>
      </c>
      <c r="G148" s="132">
        <v>1</v>
      </c>
      <c r="H148" s="86">
        <v>58500</v>
      </c>
      <c r="I148" s="86">
        <f t="shared" si="15"/>
        <v>58500</v>
      </c>
      <c r="K148" s="86">
        <f t="shared" si="13"/>
        <v>58500</v>
      </c>
      <c r="L148" s="92"/>
      <c r="M148" s="92"/>
      <c r="N148" s="92">
        <f t="shared" si="14"/>
        <v>58500</v>
      </c>
      <c r="O148" s="91" t="s">
        <v>43</v>
      </c>
      <c r="P148" s="100" t="s">
        <v>675</v>
      </c>
      <c r="Q148" s="91" t="s">
        <v>54</v>
      </c>
      <c r="R148" s="37" t="s">
        <v>676</v>
      </c>
      <c r="V148" s="92"/>
      <c r="W148" s="92"/>
    </row>
    <row r="149" spans="1:23" s="29" customFormat="1" ht="15.6" hidden="1">
      <c r="A149" s="9">
        <v>44209</v>
      </c>
      <c r="B149" s="91" t="s">
        <v>43</v>
      </c>
      <c r="C149" s="91" t="s">
        <v>673</v>
      </c>
      <c r="D149" s="72" t="s">
        <v>681</v>
      </c>
      <c r="E149" s="24" t="s">
        <v>247</v>
      </c>
      <c r="F149" s="24" t="s">
        <v>248</v>
      </c>
      <c r="G149" s="132">
        <v>1</v>
      </c>
      <c r="H149" s="86">
        <v>68000</v>
      </c>
      <c r="I149" s="86">
        <f t="shared" si="15"/>
        <v>68000</v>
      </c>
      <c r="K149" s="86">
        <f t="shared" si="13"/>
        <v>68000</v>
      </c>
      <c r="L149" s="92"/>
      <c r="M149" s="92"/>
      <c r="N149" s="92">
        <f t="shared" si="14"/>
        <v>68000</v>
      </c>
      <c r="O149" s="91" t="s">
        <v>43</v>
      </c>
      <c r="P149" s="100" t="s">
        <v>675</v>
      </c>
      <c r="Q149" s="91" t="s">
        <v>54</v>
      </c>
      <c r="R149" s="37" t="s">
        <v>676</v>
      </c>
      <c r="S149" s="167"/>
      <c r="T149" s="92"/>
      <c r="U149" s="92"/>
      <c r="V149" s="92"/>
      <c r="W149" s="92"/>
    </row>
    <row r="150" spans="1:23" s="29" customFormat="1" ht="15.6" hidden="1">
      <c r="A150" s="9">
        <v>44209</v>
      </c>
      <c r="B150" s="91" t="s">
        <v>170</v>
      </c>
      <c r="C150" s="54" t="s">
        <v>682</v>
      </c>
      <c r="D150" s="136" t="s">
        <v>683</v>
      </c>
      <c r="E150" s="14" t="s">
        <v>684</v>
      </c>
      <c r="F150" s="22" t="s">
        <v>685</v>
      </c>
      <c r="G150" s="132">
        <v>1</v>
      </c>
      <c r="H150" s="86">
        <v>91000</v>
      </c>
      <c r="I150" s="86">
        <f t="shared" si="15"/>
        <v>91000</v>
      </c>
      <c r="K150" s="136">
        <f t="shared" si="13"/>
        <v>91000</v>
      </c>
      <c r="L150" s="92">
        <f>19000-19000</f>
        <v>0</v>
      </c>
      <c r="M150" s="92"/>
      <c r="N150" s="92">
        <f>K150+L150+M150</f>
        <v>91000</v>
      </c>
      <c r="O150" s="91" t="s">
        <v>170</v>
      </c>
      <c r="P150" s="166" t="s">
        <v>686</v>
      </c>
      <c r="Q150" s="91" t="s">
        <v>54</v>
      </c>
      <c r="R150" s="92"/>
      <c r="S150" s="169"/>
      <c r="T150" s="92"/>
      <c r="U150" s="92"/>
      <c r="V150" s="92"/>
      <c r="W150" s="92"/>
    </row>
    <row r="151" spans="1:23" s="29" customFormat="1" ht="15.6">
      <c r="A151" s="9">
        <v>44209</v>
      </c>
      <c r="B151" s="91" t="s">
        <v>23</v>
      </c>
      <c r="C151" s="123" t="s">
        <v>687</v>
      </c>
      <c r="D151" s="136" t="s">
        <v>688</v>
      </c>
      <c r="E151" s="22" t="s">
        <v>689</v>
      </c>
      <c r="F151" s="22" t="s">
        <v>690</v>
      </c>
      <c r="G151" s="132">
        <v>1</v>
      </c>
      <c r="H151" s="86">
        <v>60000</v>
      </c>
      <c r="I151" s="86">
        <f t="shared" si="15"/>
        <v>60000</v>
      </c>
      <c r="K151" s="86">
        <f t="shared" si="13"/>
        <v>60000</v>
      </c>
      <c r="L151" s="92">
        <v>16000</v>
      </c>
      <c r="M151" s="92"/>
      <c r="N151" s="92">
        <f t="shared" si="14"/>
        <v>76000</v>
      </c>
      <c r="O151" s="91" t="s">
        <v>23</v>
      </c>
      <c r="P151" s="106"/>
      <c r="Q151" s="91" t="s">
        <v>40</v>
      </c>
      <c r="R151" s="92"/>
      <c r="S151" s="23"/>
      <c r="T151" s="92"/>
      <c r="U151" s="92"/>
      <c r="V151" s="92"/>
      <c r="W151" s="92"/>
    </row>
    <row r="152" spans="1:23" s="29" customFormat="1" ht="15.6" hidden="1">
      <c r="A152" s="9">
        <v>44209</v>
      </c>
      <c r="B152" s="91" t="s">
        <v>170</v>
      </c>
      <c r="C152" s="135" t="s">
        <v>691</v>
      </c>
      <c r="D152" s="136" t="s">
        <v>692</v>
      </c>
      <c r="E152" s="22" t="s">
        <v>693</v>
      </c>
      <c r="F152" s="22" t="s">
        <v>253</v>
      </c>
      <c r="G152" s="132">
        <v>1</v>
      </c>
      <c r="H152" s="86">
        <v>82000</v>
      </c>
      <c r="I152" s="86">
        <f t="shared" si="15"/>
        <v>82000</v>
      </c>
      <c r="K152" s="86">
        <f t="shared" si="13"/>
        <v>82000</v>
      </c>
      <c r="L152" s="92">
        <f>18000-18000</f>
        <v>0</v>
      </c>
      <c r="M152" s="92"/>
      <c r="N152" s="92">
        <f t="shared" si="14"/>
        <v>82000</v>
      </c>
      <c r="O152" s="91" t="s">
        <v>170</v>
      </c>
      <c r="P152" s="107" t="s">
        <v>694</v>
      </c>
      <c r="Q152" s="91" t="s">
        <v>478</v>
      </c>
      <c r="R152" s="131" t="s">
        <v>694</v>
      </c>
      <c r="S152" s="122"/>
      <c r="T152" s="92"/>
      <c r="U152" s="92"/>
      <c r="V152" s="92"/>
      <c r="W152" s="92"/>
    </row>
    <row r="153" spans="1:23" s="29" customFormat="1">
      <c r="A153" s="9">
        <v>44209</v>
      </c>
      <c r="B153" s="10" t="s">
        <v>23</v>
      </c>
      <c r="C153" s="11" t="s">
        <v>695</v>
      </c>
      <c r="D153" s="136" t="s">
        <v>696</v>
      </c>
      <c r="E153" s="10" t="s">
        <v>697</v>
      </c>
      <c r="F153" s="10" t="s">
        <v>698</v>
      </c>
      <c r="G153" s="132">
        <v>1</v>
      </c>
      <c r="H153" s="86">
        <v>177000</v>
      </c>
      <c r="I153" s="86">
        <f t="shared" si="15"/>
        <v>177000</v>
      </c>
      <c r="K153" s="86">
        <f t="shared" si="13"/>
        <v>177000</v>
      </c>
      <c r="L153" s="92"/>
      <c r="M153" s="92"/>
      <c r="N153" s="92">
        <f t="shared" si="14"/>
        <v>177000</v>
      </c>
      <c r="O153" s="10" t="s">
        <v>23</v>
      </c>
      <c r="P153" s="23"/>
      <c r="Q153" s="10" t="s">
        <v>40</v>
      </c>
      <c r="R153" s="92"/>
      <c r="S153" s="122"/>
      <c r="T153" s="92"/>
      <c r="U153" s="92"/>
      <c r="V153" s="92"/>
      <c r="W153" s="92"/>
    </row>
    <row r="154" spans="1:23" s="29" customFormat="1" hidden="1">
      <c r="A154" s="9">
        <v>44209</v>
      </c>
      <c r="B154" s="10" t="s">
        <v>43</v>
      </c>
      <c r="C154" s="11" t="s">
        <v>699</v>
      </c>
      <c r="D154" s="136" t="s">
        <v>700</v>
      </c>
      <c r="E154" s="10" t="s">
        <v>365</v>
      </c>
      <c r="F154" s="10" t="s">
        <v>454</v>
      </c>
      <c r="G154" s="132">
        <v>3</v>
      </c>
      <c r="H154" s="86">
        <v>75000</v>
      </c>
      <c r="I154" s="86">
        <f t="shared" si="15"/>
        <v>225000</v>
      </c>
      <c r="K154" s="86">
        <f t="shared" si="13"/>
        <v>225000</v>
      </c>
      <c r="L154" s="92">
        <f>40000-40000</f>
        <v>0</v>
      </c>
      <c r="M154" s="92">
        <v>-9743</v>
      </c>
      <c r="N154" s="92">
        <f t="shared" si="14"/>
        <v>215257</v>
      </c>
      <c r="O154" s="10" t="s">
        <v>43</v>
      </c>
      <c r="P154" s="100" t="s">
        <v>701</v>
      </c>
      <c r="Q154" s="10" t="s">
        <v>54</v>
      </c>
      <c r="R154" s="37" t="s">
        <v>702</v>
      </c>
      <c r="S154" s="110"/>
      <c r="T154" s="92"/>
      <c r="U154" s="92"/>
      <c r="V154" s="92"/>
      <c r="W154" s="92"/>
    </row>
    <row r="155" spans="1:23" s="29" customFormat="1" ht="15.6">
      <c r="A155" s="9">
        <v>44209</v>
      </c>
      <c r="B155" s="10" t="s">
        <v>23</v>
      </c>
      <c r="C155" s="11" t="s">
        <v>703</v>
      </c>
      <c r="D155" s="136" t="s">
        <v>704</v>
      </c>
      <c r="E155" s="15" t="s">
        <v>553</v>
      </c>
      <c r="F155" s="33" t="s">
        <v>554</v>
      </c>
      <c r="G155" s="132">
        <v>1</v>
      </c>
      <c r="H155" s="86">
        <v>65500</v>
      </c>
      <c r="I155" s="86">
        <f t="shared" si="15"/>
        <v>65500</v>
      </c>
      <c r="K155" s="86">
        <f t="shared" si="13"/>
        <v>65500</v>
      </c>
      <c r="L155" s="92">
        <v>16000</v>
      </c>
      <c r="M155" s="92"/>
      <c r="N155" s="92">
        <f t="shared" si="14"/>
        <v>81500</v>
      </c>
      <c r="O155" s="10" t="s">
        <v>23</v>
      </c>
      <c r="P155" s="23"/>
      <c r="Q155" s="10" t="s">
        <v>40</v>
      </c>
      <c r="R155" s="92"/>
      <c r="S155" s="122"/>
      <c r="T155" s="92"/>
      <c r="U155" s="92"/>
      <c r="V155" s="92"/>
      <c r="W155" s="92"/>
    </row>
    <row r="156" spans="1:23" s="23" customFormat="1" ht="15.6" hidden="1">
      <c r="A156" s="137">
        <v>44210</v>
      </c>
      <c r="B156" s="138" t="s">
        <v>206</v>
      </c>
      <c r="C156" s="139" t="s">
        <v>705</v>
      </c>
      <c r="D156" s="23" t="s">
        <v>706</v>
      </c>
      <c r="E156" s="140" t="s">
        <v>707</v>
      </c>
      <c r="F156" s="140" t="s">
        <v>708</v>
      </c>
      <c r="G156" s="141">
        <v>1</v>
      </c>
      <c r="H156" s="23">
        <v>65000</v>
      </c>
      <c r="I156" s="23">
        <f t="shared" si="15"/>
        <v>65000</v>
      </c>
      <c r="K156" s="171">
        <f t="shared" si="13"/>
        <v>65000</v>
      </c>
      <c r="L156" s="23">
        <f>55000-40000</f>
        <v>15000</v>
      </c>
      <c r="N156" s="92">
        <f t="shared" si="14"/>
        <v>80000</v>
      </c>
      <c r="O156" s="138" t="s">
        <v>206</v>
      </c>
      <c r="P156" s="23" t="s">
        <v>709</v>
      </c>
      <c r="Q156" s="138" t="s">
        <v>328</v>
      </c>
      <c r="R156" s="108" t="s">
        <v>710</v>
      </c>
    </row>
    <row r="157" spans="1:23" s="23" customFormat="1" ht="15.6" hidden="1">
      <c r="A157" s="137">
        <v>44210</v>
      </c>
      <c r="B157" s="138" t="s">
        <v>170</v>
      </c>
      <c r="C157" s="142" t="s">
        <v>711</v>
      </c>
      <c r="D157" s="23" t="s">
        <v>712</v>
      </c>
      <c r="E157" s="138" t="s">
        <v>713</v>
      </c>
      <c r="F157" s="143" t="s">
        <v>714</v>
      </c>
      <c r="G157" s="141">
        <v>1</v>
      </c>
      <c r="H157" s="23">
        <v>56000</v>
      </c>
      <c r="I157" s="23">
        <f t="shared" si="15"/>
        <v>56000</v>
      </c>
      <c r="K157" s="23">
        <f t="shared" si="13"/>
        <v>56000</v>
      </c>
      <c r="L157" s="23">
        <f>57000-57000</f>
        <v>0</v>
      </c>
      <c r="N157" s="92">
        <f t="shared" si="14"/>
        <v>56000</v>
      </c>
      <c r="O157" s="138" t="s">
        <v>170</v>
      </c>
      <c r="P157" s="107" t="s">
        <v>715</v>
      </c>
      <c r="Q157" s="138" t="s">
        <v>176</v>
      </c>
      <c r="R157" s="107" t="s">
        <v>715</v>
      </c>
    </row>
    <row r="158" spans="1:23" s="23" customFormat="1" ht="15.6">
      <c r="A158" s="137">
        <v>44210</v>
      </c>
      <c r="B158" s="138" t="s">
        <v>23</v>
      </c>
      <c r="C158" s="138" t="s">
        <v>716</v>
      </c>
      <c r="D158" s="23" t="s">
        <v>717</v>
      </c>
      <c r="E158" s="144" t="s">
        <v>718</v>
      </c>
      <c r="F158" s="144" t="s">
        <v>719</v>
      </c>
      <c r="G158" s="141">
        <v>1</v>
      </c>
      <c r="H158" s="23">
        <v>81500</v>
      </c>
      <c r="I158" s="23">
        <f t="shared" si="15"/>
        <v>81500</v>
      </c>
      <c r="K158" s="171">
        <f t="shared" si="13"/>
        <v>81500</v>
      </c>
      <c r="L158" s="23">
        <v>45000</v>
      </c>
      <c r="N158" s="92">
        <f t="shared" si="14"/>
        <v>126500</v>
      </c>
      <c r="O158" s="138" t="s">
        <v>23</v>
      </c>
      <c r="Q158" s="138" t="s">
        <v>40</v>
      </c>
    </row>
    <row r="159" spans="1:23" s="23" customFormat="1" ht="15.6">
      <c r="A159" s="137">
        <v>44210</v>
      </c>
      <c r="B159" s="138" t="s">
        <v>23</v>
      </c>
      <c r="C159" s="138" t="s">
        <v>716</v>
      </c>
      <c r="D159" s="23" t="s">
        <v>720</v>
      </c>
      <c r="E159" s="145" t="s">
        <v>721</v>
      </c>
      <c r="F159" s="145" t="s">
        <v>617</v>
      </c>
      <c r="G159" s="141">
        <v>1</v>
      </c>
      <c r="H159" s="23">
        <v>85500</v>
      </c>
      <c r="I159" s="23">
        <f t="shared" si="15"/>
        <v>85500</v>
      </c>
      <c r="K159" s="171">
        <f t="shared" si="13"/>
        <v>85500</v>
      </c>
      <c r="N159" s="92">
        <f t="shared" si="14"/>
        <v>85500</v>
      </c>
      <c r="O159" s="138" t="s">
        <v>23</v>
      </c>
      <c r="Q159" s="138" t="s">
        <v>40</v>
      </c>
      <c r="S159" s="36"/>
    </row>
    <row r="160" spans="1:23" s="23" customFormat="1" ht="15.6">
      <c r="A160" s="137">
        <v>44210</v>
      </c>
      <c r="B160" s="138" t="s">
        <v>23</v>
      </c>
      <c r="C160" s="146" t="s">
        <v>722</v>
      </c>
      <c r="D160" s="23" t="s">
        <v>723</v>
      </c>
      <c r="E160" s="147" t="s">
        <v>724</v>
      </c>
      <c r="F160" s="143" t="s">
        <v>725</v>
      </c>
      <c r="G160" s="141">
        <v>1</v>
      </c>
      <c r="H160" s="23">
        <v>56000</v>
      </c>
      <c r="I160" s="23">
        <f t="shared" si="15"/>
        <v>56000</v>
      </c>
      <c r="K160" s="171">
        <f t="shared" si="13"/>
        <v>56000</v>
      </c>
      <c r="L160" s="23">
        <v>128000</v>
      </c>
      <c r="N160" s="92">
        <f t="shared" si="14"/>
        <v>184000</v>
      </c>
      <c r="O160" s="138" t="s">
        <v>23</v>
      </c>
      <c r="Q160" s="138" t="s">
        <v>40</v>
      </c>
    </row>
    <row r="161" spans="1:23" s="23" customFormat="1" ht="15.6">
      <c r="A161" s="137">
        <v>44210</v>
      </c>
      <c r="B161" s="138" t="s">
        <v>23</v>
      </c>
      <c r="C161" s="138" t="s">
        <v>726</v>
      </c>
      <c r="D161" s="23" t="s">
        <v>727</v>
      </c>
      <c r="E161" s="148" t="s">
        <v>728</v>
      </c>
      <c r="F161" s="149" t="s">
        <v>729</v>
      </c>
      <c r="G161" s="141">
        <v>1</v>
      </c>
      <c r="H161" s="23">
        <v>70000</v>
      </c>
      <c r="I161" s="23">
        <f t="shared" si="15"/>
        <v>70000</v>
      </c>
      <c r="K161" s="171">
        <f t="shared" si="13"/>
        <v>70000</v>
      </c>
      <c r="L161" s="23">
        <v>8000</v>
      </c>
      <c r="N161" s="92">
        <f t="shared" si="14"/>
        <v>78000</v>
      </c>
      <c r="O161" s="138" t="s">
        <v>23</v>
      </c>
      <c r="P161" s="12"/>
      <c r="Q161" s="138" t="s">
        <v>649</v>
      </c>
      <c r="S161" s="12"/>
    </row>
    <row r="162" spans="1:23" s="23" customFormat="1" ht="15.6">
      <c r="A162" s="137">
        <v>44210</v>
      </c>
      <c r="B162" s="138" t="s">
        <v>23</v>
      </c>
      <c r="C162" s="138" t="s">
        <v>431</v>
      </c>
      <c r="D162" s="23" t="s">
        <v>31</v>
      </c>
      <c r="E162" s="150" t="s">
        <v>730</v>
      </c>
      <c r="F162" s="150" t="s">
        <v>731</v>
      </c>
      <c r="G162" s="141">
        <v>1</v>
      </c>
      <c r="H162" s="23">
        <v>144500</v>
      </c>
      <c r="I162" s="23">
        <f t="shared" si="15"/>
        <v>144500</v>
      </c>
      <c r="K162" s="171">
        <f t="shared" si="13"/>
        <v>144500</v>
      </c>
      <c r="L162" s="23">
        <v>-45000</v>
      </c>
      <c r="N162" s="92">
        <f t="shared" si="14"/>
        <v>99500</v>
      </c>
      <c r="O162" s="138" t="s">
        <v>23</v>
      </c>
      <c r="P162" s="12"/>
      <c r="Q162" s="138" t="s">
        <v>732</v>
      </c>
      <c r="S162" s="12"/>
    </row>
    <row r="163" spans="1:23" s="23" customFormat="1" ht="15.6">
      <c r="A163" s="137">
        <v>44210</v>
      </c>
      <c r="B163" s="138" t="s">
        <v>23</v>
      </c>
      <c r="C163" s="138" t="s">
        <v>431</v>
      </c>
      <c r="D163" s="23" t="s">
        <v>31</v>
      </c>
      <c r="E163" s="150" t="s">
        <v>733</v>
      </c>
      <c r="F163" s="150" t="s">
        <v>734</v>
      </c>
      <c r="G163" s="141">
        <v>1</v>
      </c>
      <c r="H163" s="23">
        <v>102000</v>
      </c>
      <c r="I163" s="23">
        <f t="shared" si="15"/>
        <v>102000</v>
      </c>
      <c r="K163" s="171">
        <f t="shared" si="13"/>
        <v>102000</v>
      </c>
      <c r="N163" s="92">
        <f t="shared" si="14"/>
        <v>102000</v>
      </c>
      <c r="O163" s="138" t="s">
        <v>23</v>
      </c>
      <c r="Q163" s="138" t="s">
        <v>732</v>
      </c>
    </row>
    <row r="164" spans="1:23" s="23" customFormat="1">
      <c r="A164" s="137">
        <v>44210</v>
      </c>
      <c r="B164" s="138" t="s">
        <v>23</v>
      </c>
      <c r="C164" s="138" t="s">
        <v>431</v>
      </c>
      <c r="D164" s="23" t="s">
        <v>31</v>
      </c>
      <c r="E164" s="151" t="s">
        <v>735</v>
      </c>
      <c r="F164" s="152" t="s">
        <v>736</v>
      </c>
      <c r="G164" s="141">
        <v>1</v>
      </c>
      <c r="H164" s="23">
        <v>136000</v>
      </c>
      <c r="I164" s="23">
        <f t="shared" si="15"/>
        <v>136000</v>
      </c>
      <c r="K164" s="171">
        <f t="shared" si="13"/>
        <v>136000</v>
      </c>
      <c r="N164" s="92">
        <f t="shared" si="14"/>
        <v>136000</v>
      </c>
      <c r="O164" s="138" t="s">
        <v>23</v>
      </c>
      <c r="Q164" s="138" t="s">
        <v>732</v>
      </c>
    </row>
    <row r="165" spans="1:23" s="23" customFormat="1" ht="15.6" hidden="1">
      <c r="A165" s="137">
        <v>44210</v>
      </c>
      <c r="B165" s="138" t="s">
        <v>43</v>
      </c>
      <c r="C165" s="146" t="s">
        <v>737</v>
      </c>
      <c r="D165" s="23" t="s">
        <v>738</v>
      </c>
      <c r="E165" s="147" t="s">
        <v>579</v>
      </c>
      <c r="F165" s="143" t="s">
        <v>72</v>
      </c>
      <c r="G165" s="153">
        <v>1</v>
      </c>
      <c r="H165" s="23">
        <v>108000</v>
      </c>
      <c r="I165" s="23">
        <f t="shared" si="15"/>
        <v>108000</v>
      </c>
      <c r="K165" s="171">
        <f t="shared" si="13"/>
        <v>108000</v>
      </c>
      <c r="L165" s="23">
        <v>57000</v>
      </c>
      <c r="M165" s="23">
        <v>-4676</v>
      </c>
      <c r="N165" s="92">
        <f t="shared" si="14"/>
        <v>160324</v>
      </c>
      <c r="O165" s="138" t="s">
        <v>43</v>
      </c>
      <c r="P165" s="100" t="s">
        <v>739</v>
      </c>
      <c r="Q165" s="138" t="s">
        <v>740</v>
      </c>
      <c r="R165" s="37" t="s">
        <v>741</v>
      </c>
    </row>
    <row r="166" spans="1:23" s="23" customFormat="1" ht="16.8" hidden="1">
      <c r="A166" s="137">
        <v>44210</v>
      </c>
      <c r="B166" s="138" t="s">
        <v>313</v>
      </c>
      <c r="C166" s="154" t="s">
        <v>742</v>
      </c>
      <c r="D166" s="23" t="s">
        <v>743</v>
      </c>
      <c r="E166" s="140" t="s">
        <v>744</v>
      </c>
      <c r="F166" s="143" t="s">
        <v>745</v>
      </c>
      <c r="G166" s="141">
        <v>1</v>
      </c>
      <c r="H166" s="23">
        <v>82000</v>
      </c>
      <c r="I166" s="23">
        <f t="shared" si="15"/>
        <v>82000</v>
      </c>
      <c r="K166" s="171">
        <f t="shared" si="13"/>
        <v>82000</v>
      </c>
      <c r="L166" s="23">
        <v>50000</v>
      </c>
      <c r="N166" s="92">
        <f t="shared" si="14"/>
        <v>132000</v>
      </c>
      <c r="O166" s="138" t="s">
        <v>313</v>
      </c>
      <c r="P166" s="12"/>
      <c r="Q166" s="138" t="s">
        <v>40</v>
      </c>
      <c r="S166" s="12"/>
    </row>
    <row r="167" spans="1:23" s="29" customFormat="1" ht="15.6">
      <c r="A167" s="137">
        <v>44210</v>
      </c>
      <c r="B167" s="172" t="s">
        <v>23</v>
      </c>
      <c r="C167" s="76" t="s">
        <v>746</v>
      </c>
      <c r="D167" s="72" t="s">
        <v>747</v>
      </c>
      <c r="E167" s="155" t="s">
        <v>748</v>
      </c>
      <c r="F167" s="155" t="s">
        <v>749</v>
      </c>
      <c r="G167" s="16">
        <v>1</v>
      </c>
      <c r="H167" s="23">
        <v>84000</v>
      </c>
      <c r="I167" s="23">
        <f t="shared" si="15"/>
        <v>84000</v>
      </c>
      <c r="J167" s="91"/>
      <c r="K167" s="129">
        <f t="shared" si="13"/>
        <v>84000</v>
      </c>
      <c r="L167" s="23">
        <v>38000</v>
      </c>
      <c r="M167" s="92"/>
      <c r="N167" s="92">
        <f t="shared" si="14"/>
        <v>122000</v>
      </c>
      <c r="O167" s="72" t="s">
        <v>23</v>
      </c>
      <c r="P167" s="105"/>
      <c r="Q167" s="172" t="s">
        <v>40</v>
      </c>
      <c r="R167" s="92">
        <v>4846981</v>
      </c>
      <c r="S167" s="12"/>
      <c r="T167" s="92"/>
      <c r="U167" s="92"/>
      <c r="V167" s="92"/>
      <c r="W167" s="92"/>
    </row>
    <row r="168" spans="1:23" s="29" customFormat="1" ht="15.6">
      <c r="A168" s="137">
        <v>44210</v>
      </c>
      <c r="B168" s="172" t="s">
        <v>23</v>
      </c>
      <c r="C168" s="76" t="s">
        <v>750</v>
      </c>
      <c r="D168" s="136" t="s">
        <v>751</v>
      </c>
      <c r="E168" s="156" t="s">
        <v>752</v>
      </c>
      <c r="F168" s="156" t="s">
        <v>595</v>
      </c>
      <c r="G168" s="16">
        <v>1</v>
      </c>
      <c r="H168" s="23">
        <v>104000</v>
      </c>
      <c r="I168" s="23">
        <f t="shared" si="15"/>
        <v>104000</v>
      </c>
      <c r="J168" s="91"/>
      <c r="K168" s="129">
        <f t="shared" si="13"/>
        <v>104000</v>
      </c>
      <c r="L168" s="92">
        <f>16000-16000</f>
        <v>0</v>
      </c>
      <c r="M168" s="92"/>
      <c r="N168" s="92">
        <f t="shared" si="14"/>
        <v>104000</v>
      </c>
      <c r="O168" s="72" t="s">
        <v>23</v>
      </c>
      <c r="P168" s="95"/>
      <c r="Q168" s="172" t="s">
        <v>40</v>
      </c>
      <c r="R168" s="92"/>
      <c r="S168" s="12"/>
      <c r="T168" s="92"/>
      <c r="U168" s="92"/>
      <c r="V168" s="92"/>
      <c r="W168" s="92"/>
    </row>
    <row r="169" spans="1:23" s="29" customFormat="1" ht="15.6" hidden="1">
      <c r="A169" s="9">
        <v>44211</v>
      </c>
      <c r="B169" s="91" t="s">
        <v>206</v>
      </c>
      <c r="C169" s="45" t="s">
        <v>753</v>
      </c>
      <c r="D169" s="136" t="s">
        <v>754</v>
      </c>
      <c r="E169" s="22" t="s">
        <v>325</v>
      </c>
      <c r="F169" s="22" t="s">
        <v>326</v>
      </c>
      <c r="G169" s="132">
        <v>1</v>
      </c>
      <c r="H169" s="23">
        <v>129000</v>
      </c>
      <c r="I169" s="23">
        <f t="shared" si="15"/>
        <v>129000</v>
      </c>
      <c r="J169" s="91"/>
      <c r="K169" s="157">
        <f t="shared" si="13"/>
        <v>129000</v>
      </c>
      <c r="L169" s="23">
        <v>16600</v>
      </c>
      <c r="M169" s="92"/>
      <c r="N169" s="92">
        <f t="shared" si="14"/>
        <v>145600</v>
      </c>
      <c r="O169" s="91" t="s">
        <v>206</v>
      </c>
      <c r="P169" s="95" t="s">
        <v>755</v>
      </c>
      <c r="Q169" s="91" t="s">
        <v>328</v>
      </c>
      <c r="R169" s="92"/>
      <c r="S169" s="12"/>
      <c r="T169" s="92"/>
      <c r="U169" s="92"/>
      <c r="V169" s="92"/>
      <c r="W169" s="92"/>
    </row>
    <row r="170" spans="1:23" s="29" customFormat="1" ht="15.6" hidden="1">
      <c r="A170" s="9">
        <v>44211</v>
      </c>
      <c r="B170" s="91" t="s">
        <v>206</v>
      </c>
      <c r="C170" s="68" t="s">
        <v>756</v>
      </c>
      <c r="D170" s="136" t="s">
        <v>757</v>
      </c>
      <c r="E170" s="22" t="s">
        <v>553</v>
      </c>
      <c r="F170" s="94" t="s">
        <v>554</v>
      </c>
      <c r="G170" s="132">
        <v>1</v>
      </c>
      <c r="H170" s="171">
        <v>65500</v>
      </c>
      <c r="I170" s="171">
        <f t="shared" si="15"/>
        <v>65500</v>
      </c>
      <c r="K170" s="157">
        <f t="shared" si="13"/>
        <v>65500</v>
      </c>
      <c r="L170" s="23">
        <v>20400</v>
      </c>
      <c r="M170" s="92"/>
      <c r="N170" s="92">
        <f t="shared" si="14"/>
        <v>85900</v>
      </c>
      <c r="O170" s="91" t="s">
        <v>206</v>
      </c>
      <c r="P170" s="95" t="s">
        <v>758</v>
      </c>
      <c r="Q170" s="91" t="s">
        <v>328</v>
      </c>
      <c r="R170" s="92"/>
      <c r="S170" s="12"/>
      <c r="T170" s="92"/>
      <c r="U170" s="92"/>
      <c r="V170" s="92"/>
      <c r="W170" s="92"/>
    </row>
    <row r="171" spans="1:23" s="29" customFormat="1" ht="15.6" hidden="1">
      <c r="A171" s="9">
        <v>44211</v>
      </c>
      <c r="B171" s="91" t="s">
        <v>170</v>
      </c>
      <c r="C171" s="158" t="s">
        <v>759</v>
      </c>
      <c r="D171" s="136" t="s">
        <v>760</v>
      </c>
      <c r="E171" s="22" t="s">
        <v>94</v>
      </c>
      <c r="F171" s="22" t="s">
        <v>116</v>
      </c>
      <c r="G171" s="132">
        <v>1</v>
      </c>
      <c r="H171" s="171">
        <v>107000</v>
      </c>
      <c r="I171" s="171">
        <f t="shared" si="15"/>
        <v>107000</v>
      </c>
      <c r="J171" s="92"/>
      <c r="K171" s="157">
        <f t="shared" si="13"/>
        <v>107000</v>
      </c>
      <c r="L171" s="23">
        <v>8000</v>
      </c>
      <c r="M171" s="92"/>
      <c r="N171" s="92">
        <f t="shared" si="14"/>
        <v>115000</v>
      </c>
      <c r="O171" s="91" t="s">
        <v>170</v>
      </c>
      <c r="P171" s="95"/>
      <c r="Q171" s="91" t="s">
        <v>28</v>
      </c>
      <c r="R171" s="92"/>
      <c r="S171" s="12"/>
      <c r="T171" s="92"/>
      <c r="U171" s="92"/>
      <c r="V171" s="92"/>
      <c r="W171" s="92"/>
    </row>
    <row r="172" spans="1:23" s="29" customFormat="1">
      <c r="A172" s="9">
        <v>44211</v>
      </c>
      <c r="B172" s="91" t="s">
        <v>23</v>
      </c>
      <c r="C172" s="123" t="s">
        <v>761</v>
      </c>
      <c r="D172" s="136" t="s">
        <v>762</v>
      </c>
      <c r="E172" s="91" t="s">
        <v>763</v>
      </c>
      <c r="F172" s="91" t="s">
        <v>764</v>
      </c>
      <c r="G172" s="132">
        <v>1</v>
      </c>
      <c r="H172" s="171">
        <v>98000</v>
      </c>
      <c r="I172" s="171">
        <f t="shared" si="15"/>
        <v>98000</v>
      </c>
      <c r="J172" s="92"/>
      <c r="K172" s="157">
        <f t="shared" si="13"/>
        <v>98000</v>
      </c>
      <c r="L172" s="23">
        <v>11000</v>
      </c>
      <c r="M172" s="92"/>
      <c r="N172" s="92">
        <f t="shared" si="14"/>
        <v>109000</v>
      </c>
      <c r="O172" s="91" t="s">
        <v>23</v>
      </c>
      <c r="P172" s="95"/>
      <c r="Q172" s="91" t="s">
        <v>40</v>
      </c>
      <c r="R172" s="92"/>
      <c r="S172" s="12"/>
      <c r="T172" s="92"/>
      <c r="U172" s="92"/>
      <c r="V172" s="92"/>
      <c r="W172" s="92"/>
    </row>
    <row r="173" spans="1:23" s="29" customFormat="1" ht="15.6" hidden="1">
      <c r="A173" s="9">
        <v>44211</v>
      </c>
      <c r="B173" s="91" t="s">
        <v>43</v>
      </c>
      <c r="C173" s="91" t="s">
        <v>765</v>
      </c>
      <c r="D173" s="136" t="s">
        <v>766</v>
      </c>
      <c r="E173" s="22" t="s">
        <v>767</v>
      </c>
      <c r="F173" s="22" t="s">
        <v>768</v>
      </c>
      <c r="G173" s="132">
        <v>1</v>
      </c>
      <c r="H173" s="171">
        <v>98500</v>
      </c>
      <c r="I173" s="171">
        <f t="shared" si="15"/>
        <v>98500</v>
      </c>
      <c r="K173" s="159">
        <f t="shared" si="13"/>
        <v>98500</v>
      </c>
      <c r="L173" s="23">
        <v>26000</v>
      </c>
      <c r="M173" s="29">
        <v>-4266</v>
      </c>
      <c r="N173" s="92">
        <f t="shared" si="14"/>
        <v>120234</v>
      </c>
      <c r="O173" s="91" t="s">
        <v>43</v>
      </c>
      <c r="P173" s="100" t="s">
        <v>769</v>
      </c>
      <c r="Q173" s="91" t="s">
        <v>138</v>
      </c>
      <c r="R173" s="136" t="s">
        <v>770</v>
      </c>
      <c r="S173" s="12"/>
      <c r="T173" s="92"/>
      <c r="U173" s="92"/>
      <c r="V173" s="92"/>
      <c r="W173" s="92"/>
    </row>
    <row r="174" spans="1:23" s="29" customFormat="1" ht="15.6" hidden="1">
      <c r="A174" s="9">
        <v>44211</v>
      </c>
      <c r="B174" s="91" t="s">
        <v>43</v>
      </c>
      <c r="C174" s="91" t="s">
        <v>771</v>
      </c>
      <c r="D174" s="136" t="s">
        <v>772</v>
      </c>
      <c r="E174" s="160" t="s">
        <v>773</v>
      </c>
      <c r="F174" s="161" t="s">
        <v>774</v>
      </c>
      <c r="G174" s="132">
        <v>1</v>
      </c>
      <c r="H174" s="171">
        <v>96000</v>
      </c>
      <c r="I174" s="171">
        <f>G173*H174</f>
        <v>96000</v>
      </c>
      <c r="J174" s="92"/>
      <c r="K174" s="157">
        <f>I174-J174</f>
        <v>96000</v>
      </c>
      <c r="L174" s="23">
        <v>10000</v>
      </c>
      <c r="M174" s="92">
        <v>-4157</v>
      </c>
      <c r="N174" s="92">
        <f>K174+L174+M174</f>
        <v>101843</v>
      </c>
      <c r="O174" s="91" t="s">
        <v>43</v>
      </c>
      <c r="P174" s="100" t="s">
        <v>775</v>
      </c>
      <c r="Q174" s="91" t="s">
        <v>649</v>
      </c>
      <c r="R174" s="136" t="s">
        <v>776</v>
      </c>
      <c r="S174" s="12"/>
      <c r="T174" s="92"/>
      <c r="U174" s="92"/>
      <c r="V174" s="92"/>
      <c r="W174" s="92"/>
    </row>
    <row r="175" spans="1:23" s="20" customFormat="1" ht="15.6" hidden="1">
      <c r="A175" s="9">
        <v>44214</v>
      </c>
      <c r="B175" s="91" t="s">
        <v>43</v>
      </c>
      <c r="C175" s="91" t="s">
        <v>906</v>
      </c>
      <c r="D175" s="193" t="s">
        <v>907</v>
      </c>
      <c r="E175" s="160" t="s">
        <v>908</v>
      </c>
      <c r="F175" s="161" t="s">
        <v>909</v>
      </c>
      <c r="G175" s="174">
        <v>1</v>
      </c>
      <c r="H175" s="176">
        <v>94000</v>
      </c>
      <c r="I175" s="176">
        <f t="shared" ref="I175:I199" si="16">G174*H175</f>
        <v>94000</v>
      </c>
      <c r="K175" s="157">
        <f t="shared" ref="K175:K217" si="17">I175-J175</f>
        <v>94000</v>
      </c>
      <c r="L175" s="17"/>
      <c r="M175" s="20">
        <v>-4070</v>
      </c>
      <c r="N175" s="92">
        <f t="shared" ref="N175:N216" si="18">K175+L175+M175</f>
        <v>89930</v>
      </c>
      <c r="O175" s="91" t="s">
        <v>43</v>
      </c>
      <c r="P175" s="106" t="s">
        <v>910</v>
      </c>
      <c r="Q175" s="91" t="s">
        <v>204</v>
      </c>
      <c r="R175" s="193" t="s">
        <v>911</v>
      </c>
      <c r="S175" s="26"/>
      <c r="T175" s="17"/>
      <c r="U175" s="17"/>
      <c r="V175" s="17"/>
      <c r="W175" s="17"/>
    </row>
    <row r="176" spans="1:23" s="20" customFormat="1" ht="15.6" hidden="1">
      <c r="A176" s="9">
        <v>44214</v>
      </c>
      <c r="B176" s="91" t="s">
        <v>206</v>
      </c>
      <c r="C176" s="68" t="s">
        <v>912</v>
      </c>
      <c r="D176" s="173" t="s">
        <v>913</v>
      </c>
      <c r="E176" s="22" t="s">
        <v>914</v>
      </c>
      <c r="F176" s="94" t="s">
        <v>915</v>
      </c>
      <c r="G176" s="174">
        <v>1</v>
      </c>
      <c r="H176" s="176">
        <v>49500</v>
      </c>
      <c r="I176" s="176">
        <f t="shared" si="16"/>
        <v>49500</v>
      </c>
      <c r="K176" s="157">
        <f t="shared" si="17"/>
        <v>49500</v>
      </c>
      <c r="L176" s="26">
        <v>19300</v>
      </c>
      <c r="M176" s="17"/>
      <c r="N176" s="92">
        <f t="shared" si="18"/>
        <v>68800</v>
      </c>
      <c r="O176" s="91" t="s">
        <v>206</v>
      </c>
      <c r="P176" s="215" t="s">
        <v>916</v>
      </c>
      <c r="Q176" s="91" t="s">
        <v>176</v>
      </c>
      <c r="R176" s="178" t="s">
        <v>917</v>
      </c>
      <c r="S176" s="26"/>
      <c r="T176" s="17"/>
      <c r="U176" s="17"/>
      <c r="V176" s="17"/>
      <c r="W176" s="17"/>
    </row>
    <row r="177" spans="1:23" s="20" customFormat="1" ht="15.6" hidden="1">
      <c r="A177" s="9">
        <v>44214</v>
      </c>
      <c r="B177" s="91" t="s">
        <v>206</v>
      </c>
      <c r="C177" s="68" t="s">
        <v>918</v>
      </c>
      <c r="D177" s="173" t="s">
        <v>919</v>
      </c>
      <c r="E177" s="130" t="s">
        <v>213</v>
      </c>
      <c r="F177" s="130" t="s">
        <v>191</v>
      </c>
      <c r="G177" s="174">
        <v>1</v>
      </c>
      <c r="H177" s="176">
        <v>92500</v>
      </c>
      <c r="I177" s="176">
        <f t="shared" si="16"/>
        <v>92500</v>
      </c>
      <c r="K177" s="157">
        <f t="shared" si="17"/>
        <v>92500</v>
      </c>
      <c r="L177" s="26">
        <v>900</v>
      </c>
      <c r="M177" s="17"/>
      <c r="N177" s="92">
        <f t="shared" si="18"/>
        <v>93400</v>
      </c>
      <c r="O177" s="91" t="s">
        <v>206</v>
      </c>
      <c r="P177" s="215" t="s">
        <v>920</v>
      </c>
      <c r="Q177" s="91" t="s">
        <v>176</v>
      </c>
      <c r="R177" s="178" t="s">
        <v>921</v>
      </c>
      <c r="S177" s="26"/>
      <c r="T177" s="17"/>
      <c r="U177" s="17"/>
      <c r="V177" s="17"/>
      <c r="W177" s="17"/>
    </row>
    <row r="178" spans="1:23" s="20" customFormat="1" ht="15.6" hidden="1">
      <c r="A178" s="9">
        <v>44214</v>
      </c>
      <c r="B178" s="91" t="s">
        <v>206</v>
      </c>
      <c r="C178" s="68" t="s">
        <v>918</v>
      </c>
      <c r="D178" s="173" t="s">
        <v>919</v>
      </c>
      <c r="E178" s="130" t="s">
        <v>190</v>
      </c>
      <c r="F178" s="130" t="s">
        <v>191</v>
      </c>
      <c r="G178" s="174">
        <v>1</v>
      </c>
      <c r="H178" s="176">
        <v>92000</v>
      </c>
      <c r="I178" s="176">
        <f t="shared" si="16"/>
        <v>92000</v>
      </c>
      <c r="K178" s="157">
        <f t="shared" si="17"/>
        <v>92000</v>
      </c>
      <c r="L178" s="17"/>
      <c r="M178" s="17"/>
      <c r="N178" s="92">
        <f t="shared" si="18"/>
        <v>92000</v>
      </c>
      <c r="O178" s="91" t="s">
        <v>206</v>
      </c>
      <c r="P178" s="215" t="s">
        <v>922</v>
      </c>
      <c r="Q178" s="91" t="s">
        <v>176</v>
      </c>
      <c r="R178" s="178" t="s">
        <v>923</v>
      </c>
      <c r="S178" s="23"/>
      <c r="T178" s="17"/>
      <c r="U178" s="17"/>
      <c r="V178" s="17"/>
      <c r="W178" s="17"/>
    </row>
    <row r="179" spans="1:23" s="20" customFormat="1" ht="15.6" hidden="1">
      <c r="A179" s="9">
        <v>44214</v>
      </c>
      <c r="B179" s="91" t="s">
        <v>170</v>
      </c>
      <c r="C179" s="158" t="s">
        <v>924</v>
      </c>
      <c r="D179" s="193" t="s">
        <v>925</v>
      </c>
      <c r="E179" s="22" t="s">
        <v>926</v>
      </c>
      <c r="F179" s="22" t="s">
        <v>927</v>
      </c>
      <c r="G179" s="174">
        <v>1</v>
      </c>
      <c r="H179" s="176">
        <v>113000</v>
      </c>
      <c r="I179" s="176">
        <f t="shared" si="16"/>
        <v>113000</v>
      </c>
      <c r="K179" s="157">
        <f t="shared" si="17"/>
        <v>113000</v>
      </c>
      <c r="L179" s="17">
        <f>20000-20000</f>
        <v>0</v>
      </c>
      <c r="M179" s="17"/>
      <c r="N179" s="92">
        <f t="shared" si="18"/>
        <v>113000</v>
      </c>
      <c r="O179" s="91" t="s">
        <v>170</v>
      </c>
      <c r="P179" s="216" t="s">
        <v>928</v>
      </c>
      <c r="Q179" s="91" t="s">
        <v>176</v>
      </c>
      <c r="R179" s="178" t="s">
        <v>928</v>
      </c>
      <c r="S179" s="26"/>
      <c r="T179" s="17"/>
      <c r="U179" s="17"/>
      <c r="V179" s="17"/>
      <c r="W179" s="17"/>
    </row>
    <row r="180" spans="1:23" s="20" customFormat="1" ht="15.6" hidden="1">
      <c r="A180" s="9">
        <v>44214</v>
      </c>
      <c r="B180" s="91" t="s">
        <v>317</v>
      </c>
      <c r="C180" s="158" t="s">
        <v>929</v>
      </c>
      <c r="D180" s="193" t="s">
        <v>930</v>
      </c>
      <c r="E180" s="22" t="s">
        <v>931</v>
      </c>
      <c r="F180" s="22" t="s">
        <v>932</v>
      </c>
      <c r="G180" s="174">
        <v>1</v>
      </c>
      <c r="H180" s="176">
        <v>104000</v>
      </c>
      <c r="I180" s="176">
        <f t="shared" si="16"/>
        <v>104000</v>
      </c>
      <c r="K180" s="157">
        <f t="shared" si="17"/>
        <v>104000</v>
      </c>
      <c r="L180" s="17"/>
      <c r="M180" s="17"/>
      <c r="N180" s="92">
        <f t="shared" si="18"/>
        <v>104000</v>
      </c>
      <c r="O180" s="91" t="s">
        <v>317</v>
      </c>
      <c r="P180" s="26"/>
      <c r="Q180" s="91" t="s">
        <v>28</v>
      </c>
      <c r="R180" s="17"/>
      <c r="S180" s="26"/>
      <c r="T180" s="17"/>
      <c r="U180" s="17"/>
      <c r="V180" s="17"/>
      <c r="W180" s="17"/>
    </row>
    <row r="181" spans="1:23" s="20" customFormat="1" ht="16.8" hidden="1">
      <c r="A181" s="9">
        <v>44214</v>
      </c>
      <c r="B181" s="91" t="s">
        <v>313</v>
      </c>
      <c r="C181" s="217" t="s">
        <v>933</v>
      </c>
      <c r="D181" s="173" t="s">
        <v>934</v>
      </c>
      <c r="E181" s="218" t="s">
        <v>935</v>
      </c>
      <c r="F181" s="218" t="s">
        <v>936</v>
      </c>
      <c r="G181" s="174">
        <v>2</v>
      </c>
      <c r="H181" s="176">
        <v>86000</v>
      </c>
      <c r="I181" s="176">
        <f>H181*G181</f>
        <v>172000</v>
      </c>
      <c r="J181" s="17"/>
      <c r="K181" s="157">
        <f>I181-J181</f>
        <v>172000</v>
      </c>
      <c r="L181" s="17">
        <v>17041</v>
      </c>
      <c r="M181" s="17"/>
      <c r="N181" s="92">
        <f t="shared" si="18"/>
        <v>189041</v>
      </c>
      <c r="O181" s="91" t="s">
        <v>313</v>
      </c>
      <c r="P181" s="215"/>
      <c r="Q181" s="91" t="s">
        <v>40</v>
      </c>
      <c r="R181" s="17"/>
      <c r="S181" s="26"/>
      <c r="T181" s="17"/>
      <c r="U181" s="17"/>
      <c r="V181" s="17"/>
      <c r="W181" s="17"/>
    </row>
    <row r="182" spans="1:23" s="20" customFormat="1" ht="16.8" hidden="1">
      <c r="A182" s="9">
        <v>44214</v>
      </c>
      <c r="B182" s="91" t="s">
        <v>313</v>
      </c>
      <c r="C182" s="217" t="s">
        <v>933</v>
      </c>
      <c r="D182" s="173" t="s">
        <v>934</v>
      </c>
      <c r="E182" s="218" t="s">
        <v>937</v>
      </c>
      <c r="F182" s="219" t="s">
        <v>938</v>
      </c>
      <c r="G182" s="174">
        <v>1</v>
      </c>
      <c r="H182" s="220">
        <v>67000</v>
      </c>
      <c r="I182" s="176">
        <f>G182*H182</f>
        <v>67000</v>
      </c>
      <c r="J182" s="221"/>
      <c r="K182" s="157">
        <f t="shared" si="17"/>
        <v>67000</v>
      </c>
      <c r="L182" s="192"/>
      <c r="M182" s="17"/>
      <c r="N182" s="92">
        <f t="shared" si="18"/>
        <v>67000</v>
      </c>
      <c r="O182" s="91" t="s">
        <v>313</v>
      </c>
      <c r="P182" s="75"/>
      <c r="Q182" s="91" t="s">
        <v>40</v>
      </c>
      <c r="R182" s="17"/>
      <c r="S182" s="26"/>
      <c r="T182" s="17"/>
      <c r="U182" s="17"/>
      <c r="V182" s="17"/>
      <c r="W182" s="17"/>
    </row>
    <row r="183" spans="1:23" s="20" customFormat="1" ht="16.8" hidden="1">
      <c r="A183" s="9">
        <v>44214</v>
      </c>
      <c r="B183" s="91" t="s">
        <v>313</v>
      </c>
      <c r="C183" s="70" t="s">
        <v>939</v>
      </c>
      <c r="D183" s="72" t="s">
        <v>940</v>
      </c>
      <c r="E183" s="22" t="s">
        <v>213</v>
      </c>
      <c r="F183" s="22" t="s">
        <v>191</v>
      </c>
      <c r="G183" s="174">
        <v>1</v>
      </c>
      <c r="H183" s="202">
        <v>92500</v>
      </c>
      <c r="I183" s="176">
        <f t="shared" si="16"/>
        <v>92500</v>
      </c>
      <c r="J183" s="221"/>
      <c r="K183" s="157">
        <f t="shared" si="17"/>
        <v>92500</v>
      </c>
      <c r="L183" s="20">
        <v>19042</v>
      </c>
      <c r="N183" s="92">
        <f t="shared" si="18"/>
        <v>111542</v>
      </c>
      <c r="O183" s="91" t="s">
        <v>313</v>
      </c>
      <c r="Q183" s="91" t="s">
        <v>40</v>
      </c>
      <c r="S183" s="26"/>
      <c r="T183" s="17"/>
      <c r="U183" s="17"/>
      <c r="V183" s="17"/>
      <c r="W183" s="17"/>
    </row>
    <row r="184" spans="1:23" s="20" customFormat="1" ht="16.8" hidden="1">
      <c r="A184" s="9">
        <v>44214</v>
      </c>
      <c r="B184" s="91" t="s">
        <v>313</v>
      </c>
      <c r="C184" s="182" t="s">
        <v>941</v>
      </c>
      <c r="D184" s="72" t="s">
        <v>942</v>
      </c>
      <c r="E184" s="91" t="s">
        <v>201</v>
      </c>
      <c r="F184" s="22" t="s">
        <v>202</v>
      </c>
      <c r="G184" s="174">
        <v>1</v>
      </c>
      <c r="H184" s="222">
        <v>84500</v>
      </c>
      <c r="I184" s="176">
        <f t="shared" si="16"/>
        <v>84500</v>
      </c>
      <c r="J184" s="221"/>
      <c r="K184" s="157">
        <f t="shared" si="17"/>
        <v>84500</v>
      </c>
      <c r="L184" s="20">
        <v>16055</v>
      </c>
      <c r="N184" s="92">
        <f t="shared" si="18"/>
        <v>100555</v>
      </c>
      <c r="O184" s="91" t="s">
        <v>313</v>
      </c>
      <c r="Q184" s="91" t="s">
        <v>40</v>
      </c>
      <c r="S184" s="21"/>
      <c r="T184" s="17"/>
      <c r="U184" s="17"/>
      <c r="V184" s="17"/>
      <c r="W184" s="17"/>
    </row>
    <row r="185" spans="1:23" s="20" customFormat="1" ht="15" hidden="1" customHeight="1">
      <c r="A185" s="9">
        <v>44214</v>
      </c>
      <c r="B185" s="91" t="s">
        <v>313</v>
      </c>
      <c r="C185" s="70" t="s">
        <v>943</v>
      </c>
      <c r="D185" s="173" t="s">
        <v>944</v>
      </c>
      <c r="E185" s="160" t="s">
        <v>945</v>
      </c>
      <c r="F185" s="223" t="s">
        <v>946</v>
      </c>
      <c r="G185" s="174">
        <v>1</v>
      </c>
      <c r="H185" s="20">
        <v>72500</v>
      </c>
      <c r="I185" s="176">
        <f t="shared" si="16"/>
        <v>72500</v>
      </c>
      <c r="K185" s="157">
        <f t="shared" si="17"/>
        <v>72500</v>
      </c>
      <c r="L185" s="20">
        <v>6050</v>
      </c>
      <c r="N185" s="92">
        <f t="shared" si="18"/>
        <v>78550</v>
      </c>
      <c r="O185" s="91" t="s">
        <v>313</v>
      </c>
      <c r="Q185" s="91" t="s">
        <v>28</v>
      </c>
      <c r="S185" s="204"/>
      <c r="T185" s="17"/>
      <c r="U185" s="17"/>
      <c r="V185" s="17"/>
      <c r="W185" s="17"/>
    </row>
    <row r="186" spans="1:23" s="20" customFormat="1" ht="15.6">
      <c r="A186" s="9">
        <v>44215</v>
      </c>
      <c r="B186" s="91" t="s">
        <v>23</v>
      </c>
      <c r="C186" s="123" t="s">
        <v>777</v>
      </c>
      <c r="D186" s="173" t="s">
        <v>778</v>
      </c>
      <c r="E186" s="81" t="s">
        <v>779</v>
      </c>
      <c r="F186" s="82" t="s">
        <v>780</v>
      </c>
      <c r="G186" s="174">
        <v>1</v>
      </c>
      <c r="H186" s="175">
        <v>106000</v>
      </c>
      <c r="I186" s="176">
        <f t="shared" si="16"/>
        <v>106000</v>
      </c>
      <c r="K186" s="157">
        <f t="shared" si="17"/>
        <v>106000</v>
      </c>
      <c r="L186" s="20">
        <v>70000</v>
      </c>
      <c r="N186" s="92">
        <f t="shared" si="18"/>
        <v>176000</v>
      </c>
      <c r="O186" s="91" t="s">
        <v>23</v>
      </c>
      <c r="Q186" s="91" t="s">
        <v>54</v>
      </c>
      <c r="S186" s="21"/>
      <c r="T186" s="17"/>
      <c r="U186" s="17"/>
      <c r="V186" s="17"/>
      <c r="W186" s="17"/>
    </row>
    <row r="187" spans="1:23" s="20" customFormat="1" ht="15.6">
      <c r="A187" s="9">
        <v>44215</v>
      </c>
      <c r="B187" s="91" t="s">
        <v>23</v>
      </c>
      <c r="C187" s="123" t="s">
        <v>777</v>
      </c>
      <c r="D187" s="173" t="s">
        <v>778</v>
      </c>
      <c r="E187" s="81" t="s">
        <v>781</v>
      </c>
      <c r="F187" s="81" t="s">
        <v>782</v>
      </c>
      <c r="G187" s="174">
        <v>1</v>
      </c>
      <c r="H187" s="175">
        <v>57500</v>
      </c>
      <c r="I187" s="176">
        <f t="shared" si="16"/>
        <v>57500</v>
      </c>
      <c r="K187" s="157">
        <f t="shared" si="17"/>
        <v>57500</v>
      </c>
      <c r="N187" s="92">
        <f t="shared" si="18"/>
        <v>57500</v>
      </c>
      <c r="O187" s="91" t="s">
        <v>23</v>
      </c>
      <c r="Q187" s="91" t="s">
        <v>54</v>
      </c>
      <c r="S187" s="17"/>
      <c r="T187" s="17"/>
      <c r="U187" s="17"/>
      <c r="V187" s="17"/>
      <c r="W187" s="17"/>
    </row>
    <row r="188" spans="1:23" s="20" customFormat="1" ht="15.6">
      <c r="A188" s="9">
        <v>44215</v>
      </c>
      <c r="B188" s="22" t="s">
        <v>23</v>
      </c>
      <c r="C188" s="123" t="s">
        <v>777</v>
      </c>
      <c r="D188" s="173" t="s">
        <v>778</v>
      </c>
      <c r="E188" s="81" t="s">
        <v>783</v>
      </c>
      <c r="F188" s="81" t="s">
        <v>784</v>
      </c>
      <c r="G188" s="174">
        <v>1</v>
      </c>
      <c r="H188" s="175">
        <v>82000</v>
      </c>
      <c r="I188" s="176">
        <f>G187*H188</f>
        <v>82000</v>
      </c>
      <c r="K188" s="157">
        <f t="shared" si="17"/>
        <v>82000</v>
      </c>
      <c r="N188" s="92">
        <f t="shared" si="18"/>
        <v>82000</v>
      </c>
      <c r="O188" s="22" t="s">
        <v>23</v>
      </c>
      <c r="Q188" s="91" t="s">
        <v>54</v>
      </c>
      <c r="S188" s="177"/>
      <c r="T188" s="17"/>
      <c r="U188" s="17"/>
      <c r="V188" s="17"/>
      <c r="W188" s="17"/>
    </row>
    <row r="189" spans="1:23" s="20" customFormat="1" ht="15.6">
      <c r="A189" s="9">
        <v>44215</v>
      </c>
      <c r="B189" s="91" t="s">
        <v>23</v>
      </c>
      <c r="C189" s="123" t="s">
        <v>777</v>
      </c>
      <c r="D189" s="173" t="s">
        <v>778</v>
      </c>
      <c r="E189" s="81" t="s">
        <v>785</v>
      </c>
      <c r="F189" s="82" t="s">
        <v>786</v>
      </c>
      <c r="G189" s="174">
        <v>1</v>
      </c>
      <c r="H189" s="175">
        <v>88000</v>
      </c>
      <c r="I189" s="176">
        <f t="shared" si="16"/>
        <v>88000</v>
      </c>
      <c r="K189" s="157">
        <f t="shared" si="17"/>
        <v>88000</v>
      </c>
      <c r="N189" s="92">
        <f t="shared" si="18"/>
        <v>88000</v>
      </c>
      <c r="O189" s="91" t="s">
        <v>23</v>
      </c>
      <c r="Q189" s="91" t="s">
        <v>54</v>
      </c>
      <c r="S189" s="17"/>
      <c r="T189" s="17"/>
      <c r="U189" s="17"/>
      <c r="V189" s="17"/>
      <c r="W189" s="17"/>
    </row>
    <row r="190" spans="1:23" s="20" customFormat="1" ht="15.6">
      <c r="A190" s="9">
        <v>44215</v>
      </c>
      <c r="B190" s="91" t="s">
        <v>23</v>
      </c>
      <c r="C190" s="123" t="s">
        <v>777</v>
      </c>
      <c r="D190" s="173" t="s">
        <v>778</v>
      </c>
      <c r="E190" s="81" t="s">
        <v>787</v>
      </c>
      <c r="F190" s="82" t="s">
        <v>788</v>
      </c>
      <c r="G190" s="174">
        <v>1</v>
      </c>
      <c r="H190" s="175">
        <v>77000</v>
      </c>
      <c r="I190" s="176">
        <f t="shared" si="16"/>
        <v>77000</v>
      </c>
      <c r="K190" s="157">
        <f t="shared" si="17"/>
        <v>77000</v>
      </c>
      <c r="N190" s="92">
        <f t="shared" si="18"/>
        <v>77000</v>
      </c>
      <c r="O190" s="91" t="s">
        <v>23</v>
      </c>
      <c r="Q190" s="91" t="s">
        <v>54</v>
      </c>
      <c r="S190" s="177"/>
      <c r="T190" s="17"/>
      <c r="U190" s="17"/>
      <c r="V190" s="17"/>
      <c r="W190" s="17"/>
    </row>
    <row r="191" spans="1:23" s="20" customFormat="1" ht="15.6">
      <c r="A191" s="9">
        <v>44215</v>
      </c>
      <c r="B191" s="91" t="s">
        <v>23</v>
      </c>
      <c r="C191" s="123" t="s">
        <v>777</v>
      </c>
      <c r="D191" s="173" t="s">
        <v>778</v>
      </c>
      <c r="E191" s="81" t="s">
        <v>789</v>
      </c>
      <c r="F191" s="82" t="s">
        <v>790</v>
      </c>
      <c r="G191" s="174">
        <v>1</v>
      </c>
      <c r="H191" s="175">
        <v>93500</v>
      </c>
      <c r="I191" s="176">
        <f t="shared" si="16"/>
        <v>93500</v>
      </c>
      <c r="K191" s="157">
        <f t="shared" si="17"/>
        <v>93500</v>
      </c>
      <c r="N191" s="92">
        <f t="shared" si="18"/>
        <v>93500</v>
      </c>
      <c r="O191" s="91" t="s">
        <v>23</v>
      </c>
      <c r="Q191" s="91" t="s">
        <v>54</v>
      </c>
      <c r="S191" s="17"/>
      <c r="T191" s="17"/>
      <c r="U191" s="17"/>
      <c r="V191" s="17"/>
      <c r="W191" s="17"/>
    </row>
    <row r="192" spans="1:23" s="20" customFormat="1" ht="15.6">
      <c r="A192" s="9">
        <v>44215</v>
      </c>
      <c r="B192" s="91" t="s">
        <v>23</v>
      </c>
      <c r="C192" s="123" t="s">
        <v>791</v>
      </c>
      <c r="D192" s="173" t="s">
        <v>792</v>
      </c>
      <c r="E192" s="22" t="s">
        <v>793</v>
      </c>
      <c r="F192" s="22" t="s">
        <v>794</v>
      </c>
      <c r="G192" s="174">
        <v>2</v>
      </c>
      <c r="H192" s="175">
        <v>118000</v>
      </c>
      <c r="I192" s="176">
        <f>G192*H192</f>
        <v>236000</v>
      </c>
      <c r="J192" s="179"/>
      <c r="K192" s="157">
        <f t="shared" si="17"/>
        <v>236000</v>
      </c>
      <c r="L192" s="20">
        <v>10000</v>
      </c>
      <c r="N192" s="92">
        <f t="shared" si="18"/>
        <v>246000</v>
      </c>
      <c r="O192" s="91" t="s">
        <v>23</v>
      </c>
      <c r="Q192" s="91" t="s">
        <v>40</v>
      </c>
      <c r="S192" s="92"/>
      <c r="T192" s="17"/>
      <c r="U192" s="17"/>
      <c r="V192" s="17"/>
      <c r="W192" s="17"/>
    </row>
    <row r="193" spans="1:23" s="20" customFormat="1" ht="15.6">
      <c r="A193" s="9">
        <v>44215</v>
      </c>
      <c r="B193" s="91" t="s">
        <v>23</v>
      </c>
      <c r="C193" s="123" t="s">
        <v>795</v>
      </c>
      <c r="D193" s="173" t="s">
        <v>796</v>
      </c>
      <c r="E193" s="160" t="s">
        <v>797</v>
      </c>
      <c r="F193" s="161" t="s">
        <v>586</v>
      </c>
      <c r="G193" s="174">
        <v>1</v>
      </c>
      <c r="H193" s="175">
        <v>69000</v>
      </c>
      <c r="I193" s="176">
        <f>G193*H193</f>
        <v>69000</v>
      </c>
      <c r="J193" s="179"/>
      <c r="K193" s="157">
        <f t="shared" si="17"/>
        <v>69000</v>
      </c>
      <c r="L193" s="20">
        <v>9000</v>
      </c>
      <c r="N193" s="92">
        <f t="shared" si="18"/>
        <v>78000</v>
      </c>
      <c r="O193" s="91" t="s">
        <v>23</v>
      </c>
      <c r="Q193" s="91" t="s">
        <v>28</v>
      </c>
      <c r="S193" s="17"/>
      <c r="T193" s="17"/>
      <c r="U193" s="17"/>
      <c r="V193" s="17"/>
      <c r="W193" s="17"/>
    </row>
    <row r="194" spans="1:23" s="20" customFormat="1" ht="15.6">
      <c r="A194" s="9">
        <v>44215</v>
      </c>
      <c r="B194" s="91" t="s">
        <v>23</v>
      </c>
      <c r="C194" s="123" t="s">
        <v>798</v>
      </c>
      <c r="D194" s="173" t="s">
        <v>799</v>
      </c>
      <c r="E194" s="160" t="s">
        <v>800</v>
      </c>
      <c r="F194" s="161" t="s">
        <v>801</v>
      </c>
      <c r="G194" s="174">
        <v>1</v>
      </c>
      <c r="H194" s="175">
        <v>73000</v>
      </c>
      <c r="I194" s="176">
        <f t="shared" si="16"/>
        <v>73000</v>
      </c>
      <c r="J194" s="179"/>
      <c r="K194" s="157">
        <f t="shared" si="17"/>
        <v>73000</v>
      </c>
      <c r="L194" s="180">
        <v>19000</v>
      </c>
      <c r="M194" s="17"/>
      <c r="N194" s="92">
        <f t="shared" si="18"/>
        <v>92000</v>
      </c>
      <c r="O194" s="91" t="s">
        <v>23</v>
      </c>
      <c r="P194" s="181"/>
      <c r="Q194" s="91" t="s">
        <v>40</v>
      </c>
      <c r="R194" s="17"/>
      <c r="S194" s="26"/>
      <c r="T194" s="17"/>
      <c r="U194" s="17"/>
      <c r="V194" s="17"/>
      <c r="W194" s="17"/>
    </row>
    <row r="195" spans="1:23" s="20" customFormat="1" ht="16.8" hidden="1">
      <c r="A195" s="9">
        <v>44215</v>
      </c>
      <c r="B195" s="91" t="s">
        <v>313</v>
      </c>
      <c r="C195" s="182" t="s">
        <v>802</v>
      </c>
      <c r="D195" s="173" t="s">
        <v>803</v>
      </c>
      <c r="E195" s="91" t="s">
        <v>804</v>
      </c>
      <c r="F195" s="22" t="s">
        <v>805</v>
      </c>
      <c r="G195" s="174">
        <v>1</v>
      </c>
      <c r="H195" s="175">
        <v>100500</v>
      </c>
      <c r="I195" s="176">
        <f t="shared" si="16"/>
        <v>100500</v>
      </c>
      <c r="J195" s="179"/>
      <c r="K195" s="157">
        <f t="shared" si="17"/>
        <v>100500</v>
      </c>
      <c r="L195" s="183">
        <v>7073</v>
      </c>
      <c r="M195" s="17"/>
      <c r="N195" s="92">
        <f t="shared" si="18"/>
        <v>107573</v>
      </c>
      <c r="O195" s="91" t="s">
        <v>313</v>
      </c>
      <c r="P195" s="17"/>
      <c r="Q195" s="91" t="s">
        <v>28</v>
      </c>
      <c r="R195" s="17"/>
      <c r="S195" s="17"/>
      <c r="T195" s="17"/>
      <c r="U195" s="17"/>
      <c r="V195" s="17"/>
      <c r="W195" s="17"/>
    </row>
    <row r="196" spans="1:23" s="20" customFormat="1" ht="15.6">
      <c r="A196" s="9">
        <v>44215</v>
      </c>
      <c r="B196" s="91" t="s">
        <v>23</v>
      </c>
      <c r="C196" s="123" t="s">
        <v>806</v>
      </c>
      <c r="D196" s="173" t="s">
        <v>807</v>
      </c>
      <c r="E196" s="160" t="s">
        <v>808</v>
      </c>
      <c r="F196" s="161" t="s">
        <v>809</v>
      </c>
      <c r="G196" s="174">
        <v>1</v>
      </c>
      <c r="H196" s="175">
        <v>70000</v>
      </c>
      <c r="I196" s="176">
        <f t="shared" si="16"/>
        <v>70000</v>
      </c>
      <c r="J196" s="179"/>
      <c r="K196" s="157">
        <f t="shared" si="17"/>
        <v>70000</v>
      </c>
      <c r="L196" s="184">
        <v>16000</v>
      </c>
      <c r="M196" s="17"/>
      <c r="N196" s="92">
        <f t="shared" si="18"/>
        <v>86000</v>
      </c>
      <c r="O196" s="91" t="s">
        <v>23</v>
      </c>
      <c r="P196" s="17"/>
      <c r="Q196" s="91" t="s">
        <v>40</v>
      </c>
      <c r="R196" s="17"/>
      <c r="S196" s="17"/>
      <c r="T196" s="17"/>
      <c r="U196" s="17"/>
      <c r="V196" s="17"/>
      <c r="W196" s="17"/>
    </row>
    <row r="197" spans="1:23" s="20" customFormat="1" ht="15.6">
      <c r="A197" s="9">
        <v>44215</v>
      </c>
      <c r="B197" s="91" t="s">
        <v>23</v>
      </c>
      <c r="C197" s="91" t="s">
        <v>810</v>
      </c>
      <c r="D197" s="173" t="s">
        <v>811</v>
      </c>
      <c r="E197" s="185" t="s">
        <v>812</v>
      </c>
      <c r="F197" s="186" t="s">
        <v>813</v>
      </c>
      <c r="G197" s="187">
        <v>1</v>
      </c>
      <c r="H197" s="175">
        <v>93500</v>
      </c>
      <c r="I197" s="176">
        <f t="shared" si="16"/>
        <v>93500</v>
      </c>
      <c r="J197" s="179"/>
      <c r="K197" s="157">
        <f t="shared" si="17"/>
        <v>93500</v>
      </c>
      <c r="L197" s="188">
        <v>7000</v>
      </c>
      <c r="M197" s="17"/>
      <c r="N197" s="92">
        <f t="shared" si="18"/>
        <v>100500</v>
      </c>
      <c r="O197" s="91" t="s">
        <v>23</v>
      </c>
      <c r="P197" s="189"/>
      <c r="Q197" s="91" t="s">
        <v>28</v>
      </c>
      <c r="R197" s="17"/>
      <c r="S197" s="17"/>
      <c r="T197" s="17"/>
      <c r="U197" s="17"/>
      <c r="V197" s="17"/>
      <c r="W197" s="17"/>
    </row>
    <row r="198" spans="1:23" s="20" customFormat="1" ht="15.6">
      <c r="A198" s="9">
        <v>44215</v>
      </c>
      <c r="B198" s="91" t="s">
        <v>23</v>
      </c>
      <c r="C198" s="91" t="s">
        <v>810</v>
      </c>
      <c r="D198" s="173" t="s">
        <v>811</v>
      </c>
      <c r="E198" s="190" t="s">
        <v>814</v>
      </c>
      <c r="F198" s="190" t="s">
        <v>815</v>
      </c>
      <c r="G198" s="187">
        <v>1</v>
      </c>
      <c r="H198" s="175">
        <v>92500</v>
      </c>
      <c r="I198" s="176">
        <f t="shared" si="16"/>
        <v>92500</v>
      </c>
      <c r="J198" s="179"/>
      <c r="K198" s="157">
        <f t="shared" si="17"/>
        <v>92500</v>
      </c>
      <c r="L198" s="191"/>
      <c r="M198" s="17"/>
      <c r="N198" s="92">
        <f t="shared" si="18"/>
        <v>92500</v>
      </c>
      <c r="O198" s="91" t="s">
        <v>23</v>
      </c>
      <c r="P198" s="17"/>
      <c r="Q198" s="91" t="s">
        <v>28</v>
      </c>
      <c r="R198" s="17"/>
      <c r="S198" s="17"/>
      <c r="T198" s="17"/>
      <c r="U198" s="17"/>
      <c r="V198" s="17"/>
      <c r="W198" s="17"/>
    </row>
    <row r="199" spans="1:23" s="20" customFormat="1" ht="15.6">
      <c r="A199" s="9">
        <v>44215</v>
      </c>
      <c r="B199" s="91" t="s">
        <v>23</v>
      </c>
      <c r="C199" s="123" t="s">
        <v>816</v>
      </c>
      <c r="D199" s="173" t="s">
        <v>817</v>
      </c>
      <c r="E199" s="161" t="s">
        <v>62</v>
      </c>
      <c r="F199" s="161" t="s">
        <v>63</v>
      </c>
      <c r="G199" s="187">
        <v>1</v>
      </c>
      <c r="H199" s="175">
        <v>66000</v>
      </c>
      <c r="I199" s="176">
        <f t="shared" si="16"/>
        <v>66000</v>
      </c>
      <c r="J199" s="179"/>
      <c r="K199" s="157">
        <f t="shared" si="17"/>
        <v>66000</v>
      </c>
      <c r="L199" s="192">
        <v>39000</v>
      </c>
      <c r="M199" s="17"/>
      <c r="N199" s="92">
        <f t="shared" si="18"/>
        <v>105000</v>
      </c>
      <c r="O199" s="91" t="s">
        <v>23</v>
      </c>
      <c r="P199" s="17"/>
      <c r="Q199" s="91" t="s">
        <v>40</v>
      </c>
      <c r="R199" s="17"/>
      <c r="S199" s="17"/>
      <c r="T199" s="17"/>
      <c r="U199" s="17"/>
      <c r="V199" s="17"/>
      <c r="W199" s="17"/>
    </row>
    <row r="200" spans="1:23" s="20" customFormat="1">
      <c r="A200" s="9">
        <v>44215</v>
      </c>
      <c r="B200" s="91" t="s">
        <v>23</v>
      </c>
      <c r="C200" s="91" t="s">
        <v>818</v>
      </c>
      <c r="D200" s="173" t="s">
        <v>819</v>
      </c>
      <c r="E200" s="91" t="s">
        <v>820</v>
      </c>
      <c r="F200" s="91" t="s">
        <v>821</v>
      </c>
      <c r="G200" s="187">
        <v>2</v>
      </c>
      <c r="H200" s="175">
        <v>69000</v>
      </c>
      <c r="I200" s="176">
        <f>G200*H200</f>
        <v>138000</v>
      </c>
      <c r="J200" s="179">
        <f>I200*20%</f>
        <v>27600</v>
      </c>
      <c r="K200" s="157">
        <f t="shared" si="17"/>
        <v>110400</v>
      </c>
      <c r="L200" s="191">
        <v>39000</v>
      </c>
      <c r="M200" s="17"/>
      <c r="N200" s="92">
        <f t="shared" si="18"/>
        <v>149400</v>
      </c>
      <c r="O200" s="91" t="s">
        <v>23</v>
      </c>
      <c r="P200" s="17"/>
      <c r="Q200" s="91" t="s">
        <v>40</v>
      </c>
      <c r="R200" s="17"/>
      <c r="S200" s="17"/>
      <c r="T200" s="17"/>
      <c r="U200" s="17"/>
      <c r="V200" s="17"/>
      <c r="W200" s="17"/>
    </row>
    <row r="201" spans="1:23" s="20" customFormat="1" ht="15.6" hidden="1">
      <c r="A201" s="9">
        <v>44216</v>
      </c>
      <c r="B201" s="91" t="s">
        <v>43</v>
      </c>
      <c r="C201" s="123" t="s">
        <v>822</v>
      </c>
      <c r="D201" s="193" t="s">
        <v>823</v>
      </c>
      <c r="E201" s="14" t="s">
        <v>824</v>
      </c>
      <c r="F201" s="22" t="s">
        <v>825</v>
      </c>
      <c r="G201" s="174">
        <v>1</v>
      </c>
      <c r="H201" s="175">
        <v>136500</v>
      </c>
      <c r="I201" s="176">
        <f>G201*H201</f>
        <v>136500</v>
      </c>
      <c r="K201" s="157">
        <f t="shared" si="17"/>
        <v>136500</v>
      </c>
      <c r="M201" s="20">
        <v>-5911</v>
      </c>
      <c r="N201" s="92">
        <f t="shared" si="18"/>
        <v>130589</v>
      </c>
      <c r="O201" s="91" t="s">
        <v>43</v>
      </c>
      <c r="P201" s="31" t="s">
        <v>826</v>
      </c>
      <c r="Q201" s="91" t="s">
        <v>54</v>
      </c>
      <c r="R201" s="17"/>
      <c r="S201" s="32" t="s">
        <v>827</v>
      </c>
      <c r="T201" s="17"/>
      <c r="U201" s="17"/>
      <c r="V201" s="17"/>
      <c r="W201" s="17"/>
    </row>
    <row r="202" spans="1:23" s="20" customFormat="1" ht="15.6" hidden="1">
      <c r="A202" s="9">
        <v>44216</v>
      </c>
      <c r="B202" s="91" t="s">
        <v>43</v>
      </c>
      <c r="C202" s="123" t="s">
        <v>828</v>
      </c>
      <c r="D202" s="193" t="s">
        <v>829</v>
      </c>
      <c r="E202" s="130" t="s">
        <v>830</v>
      </c>
      <c r="F202" s="130" t="s">
        <v>831</v>
      </c>
      <c r="G202" s="174">
        <v>1</v>
      </c>
      <c r="H202" s="175">
        <v>89000</v>
      </c>
      <c r="I202" s="176">
        <f t="shared" ref="I202:I217" si="19">G202*H202</f>
        <v>89000</v>
      </c>
      <c r="K202" s="157">
        <f t="shared" si="17"/>
        <v>89000</v>
      </c>
      <c r="M202" s="20">
        <v>-15195</v>
      </c>
      <c r="N202" s="92">
        <f t="shared" si="18"/>
        <v>73805</v>
      </c>
      <c r="O202" s="91" t="s">
        <v>43</v>
      </c>
      <c r="P202" s="31" t="s">
        <v>832</v>
      </c>
      <c r="Q202" s="91" t="s">
        <v>138</v>
      </c>
      <c r="R202" s="17"/>
      <c r="S202" s="32" t="s">
        <v>833</v>
      </c>
      <c r="T202" s="17"/>
      <c r="U202" s="17"/>
      <c r="V202" s="17"/>
      <c r="W202" s="17"/>
    </row>
    <row r="203" spans="1:23" s="20" customFormat="1" ht="15.6" hidden="1">
      <c r="A203" s="9">
        <v>44216</v>
      </c>
      <c r="B203" s="91" t="s">
        <v>43</v>
      </c>
      <c r="C203" s="123" t="s">
        <v>828</v>
      </c>
      <c r="D203" s="193" t="s">
        <v>834</v>
      </c>
      <c r="E203" s="130" t="s">
        <v>71</v>
      </c>
      <c r="F203" s="130" t="s">
        <v>835</v>
      </c>
      <c r="G203" s="174">
        <v>1</v>
      </c>
      <c r="H203" s="175">
        <v>96000</v>
      </c>
      <c r="I203" s="176">
        <f t="shared" si="19"/>
        <v>96000</v>
      </c>
      <c r="K203" s="157">
        <f t="shared" si="17"/>
        <v>96000</v>
      </c>
      <c r="N203" s="92">
        <f t="shared" si="18"/>
        <v>96000</v>
      </c>
      <c r="O203" s="91" t="s">
        <v>43</v>
      </c>
      <c r="P203" s="31" t="s">
        <v>832</v>
      </c>
      <c r="Q203" s="91" t="s">
        <v>138</v>
      </c>
      <c r="R203" s="17"/>
      <c r="S203" s="32" t="s">
        <v>833</v>
      </c>
      <c r="T203" s="17"/>
      <c r="U203" s="17"/>
      <c r="V203" s="17"/>
      <c r="W203" s="17"/>
    </row>
    <row r="204" spans="1:23" s="20" customFormat="1" ht="15.6" hidden="1">
      <c r="A204" s="9">
        <v>44216</v>
      </c>
      <c r="B204" s="91" t="s">
        <v>43</v>
      </c>
      <c r="C204" s="123" t="s">
        <v>828</v>
      </c>
      <c r="D204" s="193" t="s">
        <v>836</v>
      </c>
      <c r="E204" s="130" t="s">
        <v>837</v>
      </c>
      <c r="F204" s="130" t="s">
        <v>838</v>
      </c>
      <c r="G204" s="174">
        <v>1</v>
      </c>
      <c r="H204" s="175">
        <v>166000</v>
      </c>
      <c r="I204" s="176">
        <f t="shared" si="19"/>
        <v>166000</v>
      </c>
      <c r="K204" s="157">
        <f t="shared" si="17"/>
        <v>166000</v>
      </c>
      <c r="N204" s="92">
        <f t="shared" si="18"/>
        <v>166000</v>
      </c>
      <c r="O204" s="91" t="s">
        <v>43</v>
      </c>
      <c r="P204" s="31" t="s">
        <v>832</v>
      </c>
      <c r="Q204" s="91" t="s">
        <v>138</v>
      </c>
      <c r="R204" s="17"/>
      <c r="S204" s="32" t="s">
        <v>833</v>
      </c>
      <c r="T204" s="17"/>
      <c r="U204" s="17"/>
      <c r="V204" s="17"/>
      <c r="W204" s="17"/>
    </row>
    <row r="205" spans="1:23" s="20" customFormat="1" ht="15.6" hidden="1">
      <c r="A205" s="9">
        <v>44216</v>
      </c>
      <c r="B205" s="91" t="s">
        <v>206</v>
      </c>
      <c r="C205" s="194" t="s">
        <v>839</v>
      </c>
      <c r="D205" s="173" t="s">
        <v>840</v>
      </c>
      <c r="E205" s="160" t="s">
        <v>841</v>
      </c>
      <c r="F205" s="161" t="s">
        <v>842</v>
      </c>
      <c r="G205" s="174">
        <v>1</v>
      </c>
      <c r="H205" s="175">
        <v>87000</v>
      </c>
      <c r="I205" s="176">
        <f t="shared" si="19"/>
        <v>87000</v>
      </c>
      <c r="K205" s="157">
        <f t="shared" si="17"/>
        <v>87000</v>
      </c>
      <c r="L205" s="20">
        <v>500</v>
      </c>
      <c r="N205" s="92">
        <f t="shared" si="18"/>
        <v>87500</v>
      </c>
      <c r="O205" s="91" t="s">
        <v>206</v>
      </c>
      <c r="P205" s="193" t="s">
        <v>843</v>
      </c>
      <c r="Q205" s="91" t="s">
        <v>40</v>
      </c>
      <c r="R205" s="17"/>
      <c r="S205" s="195" t="s">
        <v>844</v>
      </c>
      <c r="T205" s="17"/>
      <c r="U205" s="17"/>
      <c r="V205" s="17"/>
      <c r="W205" s="17"/>
    </row>
    <row r="206" spans="1:23" s="20" customFormat="1" ht="15.6" hidden="1">
      <c r="A206" s="9">
        <v>44216</v>
      </c>
      <c r="B206" s="91" t="s">
        <v>177</v>
      </c>
      <c r="C206" s="196" t="s">
        <v>845</v>
      </c>
      <c r="D206" s="193" t="s">
        <v>846</v>
      </c>
      <c r="E206" s="22" t="s">
        <v>493</v>
      </c>
      <c r="F206" s="22" t="s">
        <v>494</v>
      </c>
      <c r="G206" s="174">
        <v>1</v>
      </c>
      <c r="H206" s="175">
        <v>66500</v>
      </c>
      <c r="I206" s="176">
        <f t="shared" si="19"/>
        <v>66500</v>
      </c>
      <c r="K206" s="157">
        <f t="shared" si="17"/>
        <v>66500</v>
      </c>
      <c r="L206" s="20">
        <v>8000</v>
      </c>
      <c r="N206" s="92">
        <f t="shared" si="18"/>
        <v>74500</v>
      </c>
      <c r="O206" s="91" t="s">
        <v>177</v>
      </c>
      <c r="P206" s="20">
        <v>531188143376616</v>
      </c>
      <c r="Q206" s="91" t="s">
        <v>54</v>
      </c>
      <c r="R206" s="17"/>
      <c r="S206" s="197" t="s">
        <v>847</v>
      </c>
      <c r="T206" s="17"/>
      <c r="U206" s="17"/>
      <c r="V206" s="17"/>
      <c r="W206" s="17"/>
    </row>
    <row r="207" spans="1:23" s="20" customFormat="1" ht="15.6">
      <c r="A207" s="9">
        <v>44216</v>
      </c>
      <c r="B207" s="91" t="s">
        <v>23</v>
      </c>
      <c r="C207" s="123" t="s">
        <v>848</v>
      </c>
      <c r="D207" s="173" t="s">
        <v>849</v>
      </c>
      <c r="E207" s="22" t="s">
        <v>850</v>
      </c>
      <c r="F207" s="22" t="s">
        <v>851</v>
      </c>
      <c r="G207" s="174">
        <v>1</v>
      </c>
      <c r="H207" s="175">
        <v>72000</v>
      </c>
      <c r="I207" s="176">
        <f t="shared" si="19"/>
        <v>72000</v>
      </c>
      <c r="K207" s="157">
        <f t="shared" si="17"/>
        <v>72000</v>
      </c>
      <c r="L207" s="20">
        <v>17000</v>
      </c>
      <c r="N207" s="92">
        <f t="shared" si="18"/>
        <v>89000</v>
      </c>
      <c r="O207" s="91" t="s">
        <v>23</v>
      </c>
      <c r="Q207" s="91" t="s">
        <v>40</v>
      </c>
      <c r="R207" s="17"/>
      <c r="S207" s="17"/>
      <c r="T207" s="17"/>
      <c r="U207" s="17"/>
      <c r="V207" s="17"/>
      <c r="W207" s="17"/>
    </row>
    <row r="208" spans="1:23" s="20" customFormat="1" ht="15.6" hidden="1">
      <c r="A208" s="9">
        <v>44216</v>
      </c>
      <c r="B208" s="91" t="s">
        <v>43</v>
      </c>
      <c r="C208" s="123" t="s">
        <v>852</v>
      </c>
      <c r="D208" s="173" t="s">
        <v>853</v>
      </c>
      <c r="E208" s="22" t="s">
        <v>854</v>
      </c>
      <c r="F208" s="22" t="s">
        <v>855</v>
      </c>
      <c r="G208" s="187">
        <v>1</v>
      </c>
      <c r="H208" s="175">
        <v>83000</v>
      </c>
      <c r="I208" s="176">
        <f t="shared" si="19"/>
        <v>83000</v>
      </c>
      <c r="K208" s="157">
        <f t="shared" si="17"/>
        <v>83000</v>
      </c>
      <c r="M208" s="20">
        <v>-3594</v>
      </c>
      <c r="N208" s="92">
        <f t="shared" si="18"/>
        <v>79406</v>
      </c>
      <c r="O208" s="91" t="s">
        <v>43</v>
      </c>
      <c r="P208" s="198" t="s">
        <v>856</v>
      </c>
      <c r="Q208" s="91" t="s">
        <v>54</v>
      </c>
      <c r="R208" s="17"/>
      <c r="S208" s="32" t="s">
        <v>857</v>
      </c>
      <c r="T208" s="17"/>
      <c r="U208" s="17"/>
      <c r="V208" s="17"/>
      <c r="W208" s="17"/>
    </row>
    <row r="209" spans="1:23" s="20" customFormat="1" ht="15.6">
      <c r="A209" s="9">
        <v>44216</v>
      </c>
      <c r="B209" s="91" t="s">
        <v>23</v>
      </c>
      <c r="C209" s="123" t="s">
        <v>858</v>
      </c>
      <c r="D209" s="173" t="s">
        <v>859</v>
      </c>
      <c r="E209" s="14" t="s">
        <v>860</v>
      </c>
      <c r="F209" s="94" t="s">
        <v>861</v>
      </c>
      <c r="G209" s="187">
        <v>1</v>
      </c>
      <c r="H209" s="175">
        <v>86500</v>
      </c>
      <c r="I209" s="176">
        <f t="shared" si="19"/>
        <v>86500</v>
      </c>
      <c r="K209" s="157">
        <f t="shared" si="17"/>
        <v>86500</v>
      </c>
      <c r="L209" s="20">
        <v>71000</v>
      </c>
      <c r="N209" s="92">
        <f t="shared" si="18"/>
        <v>157500</v>
      </c>
      <c r="O209" s="91" t="s">
        <v>23</v>
      </c>
      <c r="Q209" s="91" t="s">
        <v>40</v>
      </c>
      <c r="R209" s="17"/>
      <c r="S209" s="189"/>
      <c r="T209" s="17"/>
      <c r="U209" s="17"/>
      <c r="V209" s="17"/>
      <c r="W209" s="17"/>
    </row>
    <row r="210" spans="1:23" s="20" customFormat="1" ht="15.6">
      <c r="A210" s="9">
        <v>44216</v>
      </c>
      <c r="B210" s="91" t="s">
        <v>23</v>
      </c>
      <c r="C210" s="123" t="s">
        <v>862</v>
      </c>
      <c r="D210" s="173" t="s">
        <v>863</v>
      </c>
      <c r="E210" s="14" t="s">
        <v>860</v>
      </c>
      <c r="F210" s="94" t="s">
        <v>861</v>
      </c>
      <c r="G210" s="187">
        <v>1</v>
      </c>
      <c r="H210" s="175">
        <v>86000</v>
      </c>
      <c r="I210" s="176">
        <f t="shared" si="19"/>
        <v>86000</v>
      </c>
      <c r="K210" s="157">
        <f t="shared" si="17"/>
        <v>86000</v>
      </c>
      <c r="L210" s="20">
        <v>23000</v>
      </c>
      <c r="N210" s="92">
        <f t="shared" si="18"/>
        <v>109000</v>
      </c>
      <c r="O210" s="91" t="s">
        <v>23</v>
      </c>
      <c r="Q210" s="91" t="s">
        <v>54</v>
      </c>
      <c r="R210" s="17"/>
      <c r="S210" s="17"/>
      <c r="T210" s="17"/>
      <c r="U210" s="17"/>
      <c r="V210" s="17"/>
      <c r="W210" s="17"/>
    </row>
    <row r="211" spans="1:23" s="20" customFormat="1" ht="15.6" hidden="1">
      <c r="A211" s="199">
        <v>44217</v>
      </c>
      <c r="B211" s="91" t="s">
        <v>170</v>
      </c>
      <c r="C211" s="54" t="s">
        <v>864</v>
      </c>
      <c r="D211" s="1093" t="s">
        <v>9411</v>
      </c>
      <c r="E211" s="200" t="s">
        <v>865</v>
      </c>
      <c r="F211" s="201" t="s">
        <v>866</v>
      </c>
      <c r="G211" s="187">
        <v>3</v>
      </c>
      <c r="H211" s="175">
        <v>107500</v>
      </c>
      <c r="I211" s="202">
        <f t="shared" si="19"/>
        <v>322500</v>
      </c>
      <c r="K211" s="159">
        <f t="shared" si="17"/>
        <v>322500</v>
      </c>
      <c r="L211" s="20">
        <f>6000-6000</f>
        <v>0</v>
      </c>
      <c r="N211" s="92">
        <f t="shared" si="18"/>
        <v>322500</v>
      </c>
      <c r="O211" s="91" t="s">
        <v>170</v>
      </c>
      <c r="P211" s="178" t="s">
        <v>867</v>
      </c>
      <c r="Q211" s="91" t="s">
        <v>478</v>
      </c>
      <c r="R211" s="17"/>
      <c r="S211" s="178" t="s">
        <v>867</v>
      </c>
      <c r="T211" s="17"/>
      <c r="U211" s="17"/>
      <c r="V211" s="17"/>
      <c r="W211" s="17"/>
    </row>
    <row r="212" spans="1:23" s="20" customFormat="1" ht="15.6">
      <c r="A212" s="199">
        <v>44217</v>
      </c>
      <c r="B212" s="91" t="s">
        <v>23</v>
      </c>
      <c r="C212" s="91" t="s">
        <v>868</v>
      </c>
      <c r="D212" s="193" t="s">
        <v>869</v>
      </c>
      <c r="E212" s="22" t="s">
        <v>325</v>
      </c>
      <c r="F212" s="22" t="s">
        <v>326</v>
      </c>
      <c r="G212" s="187">
        <v>1</v>
      </c>
      <c r="H212" s="175">
        <v>129000</v>
      </c>
      <c r="I212" s="202">
        <f t="shared" si="19"/>
        <v>129000</v>
      </c>
      <c r="J212" s="20">
        <f>I212*20%</f>
        <v>25800</v>
      </c>
      <c r="K212" s="203">
        <f t="shared" si="17"/>
        <v>103200</v>
      </c>
      <c r="L212" s="20">
        <v>55000</v>
      </c>
      <c r="N212" s="92">
        <f t="shared" si="18"/>
        <v>158200</v>
      </c>
      <c r="O212" s="91" t="s">
        <v>23</v>
      </c>
      <c r="Q212" s="91" t="s">
        <v>40</v>
      </c>
      <c r="R212" s="17"/>
      <c r="S212" s="204"/>
      <c r="T212" s="17"/>
      <c r="U212" s="17"/>
      <c r="V212" s="17"/>
      <c r="W212" s="17"/>
    </row>
    <row r="213" spans="1:23" s="20" customFormat="1" ht="15.6">
      <c r="A213" s="199">
        <v>44217</v>
      </c>
      <c r="B213" s="91" t="s">
        <v>23</v>
      </c>
      <c r="C213" s="123" t="s">
        <v>870</v>
      </c>
      <c r="D213" s="173" t="s">
        <v>871</v>
      </c>
      <c r="E213" s="161" t="s">
        <v>872</v>
      </c>
      <c r="F213" s="161" t="s">
        <v>873</v>
      </c>
      <c r="G213" s="187">
        <v>1</v>
      </c>
      <c r="H213" s="175">
        <v>136000</v>
      </c>
      <c r="I213" s="202">
        <f t="shared" si="19"/>
        <v>136000</v>
      </c>
      <c r="K213" s="203">
        <f t="shared" si="17"/>
        <v>136000</v>
      </c>
      <c r="L213" s="20">
        <v>37000</v>
      </c>
      <c r="N213" s="92">
        <f t="shared" si="18"/>
        <v>173000</v>
      </c>
      <c r="O213" s="91" t="s">
        <v>23</v>
      </c>
      <c r="Q213" s="91" t="s">
        <v>54</v>
      </c>
      <c r="R213" s="17"/>
      <c r="S213" s="17"/>
      <c r="T213" s="17"/>
      <c r="U213" s="17"/>
      <c r="V213" s="17"/>
      <c r="W213" s="17"/>
    </row>
    <row r="214" spans="1:23" s="20" customFormat="1" ht="15.6">
      <c r="A214" s="199">
        <v>44217</v>
      </c>
      <c r="B214" s="91" t="s">
        <v>23</v>
      </c>
      <c r="C214" s="91" t="s">
        <v>874</v>
      </c>
      <c r="D214" s="173" t="s">
        <v>875</v>
      </c>
      <c r="E214" s="22" t="s">
        <v>876</v>
      </c>
      <c r="F214" s="22" t="s">
        <v>877</v>
      </c>
      <c r="G214" s="187">
        <v>1</v>
      </c>
      <c r="H214" s="175">
        <v>98500</v>
      </c>
      <c r="I214" s="202">
        <f t="shared" si="19"/>
        <v>98500</v>
      </c>
      <c r="K214" s="203">
        <f t="shared" si="17"/>
        <v>98500</v>
      </c>
      <c r="L214" s="20">
        <v>8000</v>
      </c>
      <c r="N214" s="92">
        <f t="shared" si="18"/>
        <v>106500</v>
      </c>
      <c r="O214" s="91" t="s">
        <v>23</v>
      </c>
      <c r="Q214" s="91" t="s">
        <v>54</v>
      </c>
      <c r="R214" s="17"/>
      <c r="S214" s="17"/>
      <c r="T214" s="17"/>
      <c r="U214" s="17"/>
      <c r="V214" s="17"/>
      <c r="W214" s="17"/>
    </row>
    <row r="215" spans="1:23" s="20" customFormat="1" ht="15.6">
      <c r="A215" s="199">
        <v>44217</v>
      </c>
      <c r="B215" s="91" t="s">
        <v>23</v>
      </c>
      <c r="C215" s="123" t="s">
        <v>878</v>
      </c>
      <c r="D215" s="173" t="s">
        <v>879</v>
      </c>
      <c r="E215" s="24" t="s">
        <v>860</v>
      </c>
      <c r="F215" s="205" t="s">
        <v>861</v>
      </c>
      <c r="G215" s="187">
        <v>1</v>
      </c>
      <c r="H215" s="175">
        <v>86000</v>
      </c>
      <c r="I215" s="202">
        <f t="shared" si="19"/>
        <v>86000</v>
      </c>
      <c r="K215" s="203">
        <f t="shared" si="17"/>
        <v>86000</v>
      </c>
      <c r="L215" s="20">
        <v>6000</v>
      </c>
      <c r="N215" s="92">
        <f t="shared" si="18"/>
        <v>92000</v>
      </c>
      <c r="O215" s="91" t="s">
        <v>23</v>
      </c>
      <c r="Q215" s="91" t="s">
        <v>28</v>
      </c>
      <c r="R215" s="17"/>
      <c r="S215" s="204"/>
      <c r="T215" s="17"/>
      <c r="U215" s="17"/>
      <c r="V215" s="17"/>
      <c r="W215" s="17"/>
    </row>
    <row r="216" spans="1:23" s="20" customFormat="1" ht="15.6">
      <c r="A216" s="199">
        <v>44217</v>
      </c>
      <c r="B216" s="91" t="s">
        <v>23</v>
      </c>
      <c r="C216" s="123" t="s">
        <v>878</v>
      </c>
      <c r="D216" s="173" t="s">
        <v>879</v>
      </c>
      <c r="E216" s="206" t="s">
        <v>880</v>
      </c>
      <c r="F216" s="207" t="s">
        <v>881</v>
      </c>
      <c r="G216" s="187">
        <v>1</v>
      </c>
      <c r="H216" s="175">
        <v>81000</v>
      </c>
      <c r="I216" s="202">
        <f t="shared" si="19"/>
        <v>81000</v>
      </c>
      <c r="K216" s="203">
        <f t="shared" si="17"/>
        <v>81000</v>
      </c>
      <c r="L216" s="17"/>
      <c r="M216" s="17"/>
      <c r="N216" s="92">
        <f t="shared" si="18"/>
        <v>81000</v>
      </c>
      <c r="O216" s="91" t="s">
        <v>23</v>
      </c>
      <c r="P216" s="189"/>
      <c r="Q216" s="91" t="s">
        <v>28</v>
      </c>
      <c r="R216" s="17"/>
      <c r="S216" s="204"/>
      <c r="T216" s="17"/>
      <c r="U216" s="17"/>
      <c r="V216" s="17"/>
      <c r="W216" s="17"/>
    </row>
    <row r="217" spans="1:23" s="20" customFormat="1" ht="15.6">
      <c r="A217" s="199">
        <v>44217</v>
      </c>
      <c r="B217" s="91" t="s">
        <v>23</v>
      </c>
      <c r="C217" s="123" t="s">
        <v>882</v>
      </c>
      <c r="D217" s="173" t="s">
        <v>883</v>
      </c>
      <c r="E217" s="22" t="s">
        <v>884</v>
      </c>
      <c r="F217" s="22" t="s">
        <v>885</v>
      </c>
      <c r="G217" s="187">
        <v>1</v>
      </c>
      <c r="H217" s="175">
        <v>200000</v>
      </c>
      <c r="I217" s="202">
        <f t="shared" si="19"/>
        <v>200000</v>
      </c>
      <c r="K217" s="203">
        <f t="shared" si="17"/>
        <v>200000</v>
      </c>
      <c r="L217" s="17">
        <v>30000</v>
      </c>
      <c r="M217" s="17"/>
      <c r="N217" s="92">
        <f>K217+L217+M217</f>
        <v>230000</v>
      </c>
      <c r="O217" s="91" t="s">
        <v>23</v>
      </c>
      <c r="P217" s="189"/>
      <c r="Q217" s="91" t="s">
        <v>54</v>
      </c>
      <c r="R217" s="17"/>
      <c r="S217" s="204"/>
      <c r="T217" s="17"/>
      <c r="U217" s="17"/>
      <c r="V217" s="17"/>
      <c r="W217" s="17"/>
    </row>
    <row r="218" spans="1:23" s="20" customFormat="1" ht="28.8">
      <c r="A218" s="199">
        <v>44217</v>
      </c>
      <c r="B218" s="72" t="s">
        <v>23</v>
      </c>
      <c r="C218" s="208" t="s">
        <v>886</v>
      </c>
      <c r="D218" s="1092" t="s">
        <v>9408</v>
      </c>
      <c r="E218" s="20" t="s">
        <v>887</v>
      </c>
      <c r="F218" s="193" t="s">
        <v>32</v>
      </c>
      <c r="G218" s="209">
        <v>1</v>
      </c>
      <c r="H218" s="20">
        <f>40000-24500</f>
        <v>15500</v>
      </c>
      <c r="I218" s="20">
        <f>40000-24500</f>
        <v>15500</v>
      </c>
      <c r="K218" s="20">
        <f>40000-24500</f>
        <v>15500</v>
      </c>
      <c r="L218" s="17"/>
      <c r="M218" s="17"/>
      <c r="N218" s="20">
        <f>40000-24500</f>
        <v>15500</v>
      </c>
      <c r="O218" s="72" t="s">
        <v>23</v>
      </c>
      <c r="P218" s="189"/>
      <c r="Q218" s="72" t="s">
        <v>40</v>
      </c>
      <c r="R218" s="17"/>
      <c r="S218" s="204"/>
      <c r="T218" s="17"/>
      <c r="U218" s="17"/>
      <c r="V218" s="17"/>
      <c r="W218" s="17"/>
    </row>
    <row r="219" spans="1:23" s="29" customFormat="1" ht="15.75" customHeight="1">
      <c r="A219" s="199">
        <v>44217</v>
      </c>
      <c r="B219" s="72" t="s">
        <v>23</v>
      </c>
      <c r="C219" s="208" t="s">
        <v>888</v>
      </c>
      <c r="D219" s="173" t="s">
        <v>889</v>
      </c>
      <c r="E219" s="210" t="s">
        <v>890</v>
      </c>
      <c r="F219" s="156" t="s">
        <v>891</v>
      </c>
      <c r="G219" s="209">
        <v>55</v>
      </c>
      <c r="H219" s="175">
        <v>217000</v>
      </c>
      <c r="I219" s="202">
        <f>H219*G219</f>
        <v>11935000</v>
      </c>
      <c r="J219" s="29">
        <f>I219*30%</f>
        <v>3580500</v>
      </c>
      <c r="K219" s="119">
        <f>I219-J219-354500</f>
        <v>8000000</v>
      </c>
      <c r="L219" s="92"/>
      <c r="N219" s="20">
        <f>K219</f>
        <v>8000000</v>
      </c>
      <c r="O219" s="72" t="s">
        <v>23</v>
      </c>
      <c r="P219" s="189"/>
      <c r="Q219" s="72" t="s">
        <v>40</v>
      </c>
      <c r="S219" s="204"/>
    </row>
    <row r="220" spans="1:23" s="29" customFormat="1" ht="15.6" hidden="1">
      <c r="A220" s="211">
        <v>44218</v>
      </c>
      <c r="B220" s="91" t="s">
        <v>206</v>
      </c>
      <c r="C220" s="68" t="s">
        <v>892</v>
      </c>
      <c r="D220" s="23" t="s">
        <v>893</v>
      </c>
      <c r="E220" s="160" t="s">
        <v>773</v>
      </c>
      <c r="F220" s="160" t="s">
        <v>774</v>
      </c>
      <c r="G220" s="187">
        <v>1</v>
      </c>
      <c r="H220" s="175">
        <v>96000</v>
      </c>
      <c r="I220" s="202">
        <f t="shared" ref="I220:I222" si="20">H220*G220</f>
        <v>96000</v>
      </c>
      <c r="K220" s="119">
        <f>I220-J220</f>
        <v>96000</v>
      </c>
      <c r="L220" s="92">
        <v>17500</v>
      </c>
      <c r="N220" s="17">
        <f>K220+L220+M220</f>
        <v>113500</v>
      </c>
      <c r="O220" s="91" t="s">
        <v>206</v>
      </c>
      <c r="P220" s="212" t="s">
        <v>894</v>
      </c>
      <c r="Q220" s="213" t="s">
        <v>895</v>
      </c>
      <c r="R220" s="195" t="s">
        <v>896</v>
      </c>
      <c r="S220" s="212"/>
    </row>
    <row r="221" spans="1:23" s="29" customFormat="1" ht="15.6" hidden="1">
      <c r="A221" s="211">
        <v>44218</v>
      </c>
      <c r="B221" s="91" t="s">
        <v>170</v>
      </c>
      <c r="C221" s="123" t="s">
        <v>897</v>
      </c>
      <c r="D221" s="23" t="s">
        <v>898</v>
      </c>
      <c r="E221" s="14" t="s">
        <v>899</v>
      </c>
      <c r="F221" s="14" t="s">
        <v>900</v>
      </c>
      <c r="G221" s="187">
        <v>1</v>
      </c>
      <c r="H221" s="175">
        <v>78000</v>
      </c>
      <c r="I221" s="202">
        <f t="shared" si="20"/>
        <v>78000</v>
      </c>
      <c r="K221" s="119">
        <f t="shared" ref="K221:K222" si="21">I221-J221</f>
        <v>78000</v>
      </c>
      <c r="L221" s="92">
        <f>16000-16000</f>
        <v>0</v>
      </c>
      <c r="N221" s="17">
        <f t="shared" ref="N221:N222" si="22">K221+L221+M221</f>
        <v>78000</v>
      </c>
      <c r="O221" s="91" t="s">
        <v>170</v>
      </c>
      <c r="P221" s="214" t="s">
        <v>901</v>
      </c>
      <c r="Q221" s="213" t="s">
        <v>40</v>
      </c>
      <c r="R221" s="214" t="s">
        <v>901</v>
      </c>
    </row>
    <row r="222" spans="1:23" s="29" customFormat="1" ht="15.6" hidden="1">
      <c r="A222" s="211">
        <v>44218</v>
      </c>
      <c r="B222" s="91" t="s">
        <v>313</v>
      </c>
      <c r="C222" s="91" t="s">
        <v>902</v>
      </c>
      <c r="D222" s="173" t="s">
        <v>903</v>
      </c>
      <c r="E222" s="22" t="s">
        <v>904</v>
      </c>
      <c r="F222" s="22" t="s">
        <v>905</v>
      </c>
      <c r="G222" s="187">
        <v>1</v>
      </c>
      <c r="H222" s="175">
        <v>81000</v>
      </c>
      <c r="I222" s="202">
        <f t="shared" si="20"/>
        <v>81000</v>
      </c>
      <c r="K222" s="119">
        <f t="shared" si="21"/>
        <v>81000</v>
      </c>
      <c r="L222" s="92">
        <v>17015</v>
      </c>
      <c r="N222" s="17">
        <f t="shared" si="22"/>
        <v>98015</v>
      </c>
      <c r="O222" s="91" t="s">
        <v>313</v>
      </c>
      <c r="Q222" s="91" t="s">
        <v>40</v>
      </c>
    </row>
    <row r="223" spans="1:23" hidden="1">
      <c r="G223">
        <f>SUM(G2:G222)</f>
        <v>303</v>
      </c>
      <c r="K223">
        <f>SUM(K2:K222)</f>
        <v>28322850</v>
      </c>
    </row>
  </sheetData>
  <autoFilter ref="A1:W223" xr:uid="{00000000-0009-0000-0000-000000000000}">
    <filterColumn colId="1">
      <filters>
        <filter val="wa"/>
      </filters>
    </filterColumn>
  </autoFilter>
  <hyperlinks>
    <hyperlink ref="F164" r:id="rId1" display="https://penerbitbukudeepublish.com/authors/sulistyowati/" xr:uid="{00000000-0004-0000-0000-000000000000}"/>
    <hyperlink ref="F138"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99"/>
  <sheetViews>
    <sheetView topLeftCell="A250" workbookViewId="0">
      <selection activeCell="D256" sqref="D256"/>
    </sheetView>
  </sheetViews>
  <sheetFormatPr defaultRowHeight="14.4"/>
  <sheetData>
    <row r="1" spans="1:23" s="879" customFormat="1" ht="14.25" customHeight="1">
      <c r="A1" s="411" t="s">
        <v>0</v>
      </c>
      <c r="B1" s="412" t="s">
        <v>4666</v>
      </c>
      <c r="C1" s="412" t="s">
        <v>4667</v>
      </c>
      <c r="D1" s="412" t="s">
        <v>3</v>
      </c>
      <c r="E1" s="412" t="s">
        <v>4</v>
      </c>
      <c r="F1" s="412" t="s">
        <v>5</v>
      </c>
      <c r="G1" s="414" t="s">
        <v>4668</v>
      </c>
      <c r="H1" s="416" t="s">
        <v>6</v>
      </c>
      <c r="I1" s="735" t="s">
        <v>8</v>
      </c>
      <c r="J1" s="416" t="s">
        <v>9</v>
      </c>
      <c r="K1" s="416" t="s">
        <v>10</v>
      </c>
      <c r="L1" s="416" t="s">
        <v>11</v>
      </c>
      <c r="M1" s="416" t="s">
        <v>12</v>
      </c>
      <c r="N1" s="416" t="s">
        <v>13</v>
      </c>
      <c r="O1" s="418" t="s">
        <v>14</v>
      </c>
      <c r="P1" s="419" t="s">
        <v>15</v>
      </c>
      <c r="Q1" s="412" t="s">
        <v>16</v>
      </c>
      <c r="R1" s="412" t="s">
        <v>17</v>
      </c>
      <c r="S1" s="414" t="s">
        <v>18</v>
      </c>
      <c r="T1" s="416" t="s">
        <v>19</v>
      </c>
      <c r="U1" s="416" t="s">
        <v>20</v>
      </c>
      <c r="V1" s="416" t="s">
        <v>21</v>
      </c>
      <c r="W1" s="418" t="s">
        <v>22</v>
      </c>
    </row>
    <row r="2" spans="1:23" s="20" customFormat="1" ht="14.25" customHeight="1">
      <c r="A2" s="880">
        <v>44463</v>
      </c>
      <c r="B2" s="76" t="s">
        <v>177</v>
      </c>
      <c r="C2" s="739" t="s">
        <v>6738</v>
      </c>
      <c r="D2" s="92" t="s">
        <v>6739</v>
      </c>
      <c r="E2" s="739" t="s">
        <v>2390</v>
      </c>
      <c r="F2" s="739" t="s">
        <v>2391</v>
      </c>
      <c r="G2" s="30">
        <v>1</v>
      </c>
      <c r="H2" s="17">
        <v>94000</v>
      </c>
      <c r="I2" s="17">
        <f>H2*G2</f>
        <v>94000</v>
      </c>
      <c r="J2" s="17"/>
      <c r="K2" s="17">
        <f>I2-J2</f>
        <v>94000</v>
      </c>
      <c r="L2" s="17">
        <v>9500</v>
      </c>
      <c r="M2" s="17"/>
      <c r="N2" s="17">
        <f>K2+L2+M2</f>
        <v>103500</v>
      </c>
      <c r="O2" s="76" t="s">
        <v>177</v>
      </c>
      <c r="P2" s="183"/>
      <c r="Q2" s="76" t="s">
        <v>54</v>
      </c>
      <c r="R2" s="17"/>
      <c r="S2" s="17"/>
      <c r="T2" s="17"/>
      <c r="U2" s="17"/>
      <c r="V2" s="17"/>
      <c r="W2" s="17"/>
    </row>
    <row r="3" spans="1:23" s="20" customFormat="1" ht="14.25" customHeight="1">
      <c r="A3" s="880">
        <v>44463</v>
      </c>
      <c r="B3" s="76" t="s">
        <v>313</v>
      </c>
      <c r="C3" s="739" t="s">
        <v>6740</v>
      </c>
      <c r="D3" s="881" t="s">
        <v>6741</v>
      </c>
      <c r="E3" s="76" t="s">
        <v>6742</v>
      </c>
      <c r="F3" s="76" t="s">
        <v>6743</v>
      </c>
      <c r="G3" s="30">
        <v>1</v>
      </c>
      <c r="H3" s="17">
        <v>103000</v>
      </c>
      <c r="I3" s="17">
        <f t="shared" ref="I3:I66" si="0">H3*G3</f>
        <v>103000</v>
      </c>
      <c r="J3" s="17"/>
      <c r="K3" s="17">
        <f t="shared" ref="K3:K66" si="1">I3-J3</f>
        <v>103000</v>
      </c>
      <c r="L3" s="17">
        <v>17011</v>
      </c>
      <c r="M3" s="17"/>
      <c r="N3" s="17">
        <f t="shared" ref="N3:N66" si="2">K3+L3+M3</f>
        <v>120011</v>
      </c>
      <c r="O3" s="76" t="s">
        <v>313</v>
      </c>
      <c r="P3" s="72"/>
      <c r="Q3" s="76" t="s">
        <v>40</v>
      </c>
      <c r="R3" s="17"/>
      <c r="S3" s="17"/>
      <c r="T3" s="17"/>
      <c r="U3" s="17"/>
      <c r="V3" s="17"/>
      <c r="W3" s="17"/>
    </row>
    <row r="4" spans="1:23" s="20" customFormat="1" ht="14.25" customHeight="1">
      <c r="A4" s="880">
        <v>44463</v>
      </c>
      <c r="B4" s="76" t="s">
        <v>23</v>
      </c>
      <c r="C4" s="76" t="s">
        <v>6744</v>
      </c>
      <c r="D4" s="92" t="s">
        <v>6745</v>
      </c>
      <c r="E4" s="76" t="s">
        <v>5677</v>
      </c>
      <c r="F4" s="76" t="s">
        <v>5678</v>
      </c>
      <c r="G4" s="30">
        <v>1</v>
      </c>
      <c r="H4" s="17">
        <v>98000</v>
      </c>
      <c r="I4" s="17">
        <f t="shared" si="0"/>
        <v>98000</v>
      </c>
      <c r="J4" s="17"/>
      <c r="K4" s="17">
        <f t="shared" si="1"/>
        <v>98000</v>
      </c>
      <c r="L4" s="17">
        <v>17000</v>
      </c>
      <c r="M4" s="17"/>
      <c r="N4" s="17">
        <f t="shared" si="2"/>
        <v>115000</v>
      </c>
      <c r="O4" s="76" t="s">
        <v>23</v>
      </c>
      <c r="P4" s="72"/>
      <c r="Q4" s="76" t="s">
        <v>40</v>
      </c>
      <c r="R4" s="17"/>
      <c r="S4" s="17"/>
      <c r="T4" s="17"/>
      <c r="U4" s="17"/>
      <c r="V4" s="17"/>
      <c r="W4" s="17"/>
    </row>
    <row r="5" spans="1:23" s="20" customFormat="1" ht="14.25" customHeight="1">
      <c r="A5" s="880">
        <v>44463</v>
      </c>
      <c r="B5" s="76" t="s">
        <v>313</v>
      </c>
      <c r="C5" s="739" t="s">
        <v>6746</v>
      </c>
      <c r="D5" s="881" t="s">
        <v>6747</v>
      </c>
      <c r="E5" s="739" t="s">
        <v>2050</v>
      </c>
      <c r="F5" s="739" t="s">
        <v>2051</v>
      </c>
      <c r="G5" s="30">
        <v>1</v>
      </c>
      <c r="H5" s="17">
        <v>133000</v>
      </c>
      <c r="I5" s="17">
        <f t="shared" si="0"/>
        <v>133000</v>
      </c>
      <c r="J5" s="17"/>
      <c r="K5" s="17">
        <f t="shared" si="1"/>
        <v>133000</v>
      </c>
      <c r="L5" s="17">
        <v>26085</v>
      </c>
      <c r="M5" s="17"/>
      <c r="N5" s="17">
        <f t="shared" si="2"/>
        <v>159085</v>
      </c>
      <c r="O5" s="76" t="s">
        <v>313</v>
      </c>
      <c r="P5" s="72"/>
      <c r="Q5" s="76" t="s">
        <v>40</v>
      </c>
      <c r="R5" s="17"/>
      <c r="S5" s="13"/>
      <c r="T5" s="17"/>
      <c r="U5" s="17"/>
      <c r="V5" s="17"/>
      <c r="W5" s="17"/>
    </row>
    <row r="6" spans="1:23" s="20" customFormat="1" ht="14.25" customHeight="1">
      <c r="A6" s="880">
        <v>44463</v>
      </c>
      <c r="B6" s="76" t="s">
        <v>23</v>
      </c>
      <c r="C6" s="739" t="s">
        <v>6748</v>
      </c>
      <c r="D6" s="881" t="s">
        <v>9448</v>
      </c>
      <c r="E6" s="76" t="s">
        <v>6749</v>
      </c>
      <c r="F6" s="76" t="s">
        <v>2986</v>
      </c>
      <c r="G6" s="30">
        <v>1</v>
      </c>
      <c r="H6" s="17">
        <v>90000</v>
      </c>
      <c r="I6" s="17">
        <f t="shared" si="0"/>
        <v>90000</v>
      </c>
      <c r="J6" s="17"/>
      <c r="K6" s="17">
        <f t="shared" si="1"/>
        <v>90000</v>
      </c>
      <c r="L6" s="17">
        <v>51000</v>
      </c>
      <c r="M6" s="17"/>
      <c r="N6" s="17">
        <f t="shared" si="2"/>
        <v>141000</v>
      </c>
      <c r="O6" s="76" t="s">
        <v>23</v>
      </c>
      <c r="P6" s="72"/>
      <c r="Q6" s="76" t="s">
        <v>40</v>
      </c>
      <c r="R6" s="17"/>
      <c r="S6" s="17"/>
      <c r="T6" s="17"/>
      <c r="U6" s="17"/>
      <c r="V6" s="17"/>
      <c r="W6" s="17"/>
    </row>
    <row r="7" spans="1:23" s="20" customFormat="1" ht="14.25" customHeight="1">
      <c r="A7" s="880">
        <v>44463</v>
      </c>
      <c r="B7" s="76" t="s">
        <v>23</v>
      </c>
      <c r="C7" s="76" t="s">
        <v>6750</v>
      </c>
      <c r="D7" s="881" t="s">
        <v>6751</v>
      </c>
      <c r="E7" s="76" t="s">
        <v>5380</v>
      </c>
      <c r="F7" s="76" t="s">
        <v>5381</v>
      </c>
      <c r="G7" s="30">
        <v>1</v>
      </c>
      <c r="H7" s="17">
        <v>286000</v>
      </c>
      <c r="I7" s="17">
        <f t="shared" si="0"/>
        <v>286000</v>
      </c>
      <c r="J7" s="17"/>
      <c r="K7" s="17">
        <f t="shared" si="1"/>
        <v>286000</v>
      </c>
      <c r="L7" s="17">
        <v>16000</v>
      </c>
      <c r="M7" s="17"/>
      <c r="N7" s="17">
        <f t="shared" si="2"/>
        <v>302000</v>
      </c>
      <c r="O7" s="76" t="s">
        <v>23</v>
      </c>
      <c r="P7" s="72"/>
      <c r="Q7" s="76" t="s">
        <v>54</v>
      </c>
      <c r="R7" s="17"/>
      <c r="S7" s="17"/>
      <c r="T7" s="17"/>
      <c r="U7" s="17"/>
      <c r="V7" s="17"/>
      <c r="W7" s="17"/>
    </row>
    <row r="8" spans="1:23" s="20" customFormat="1" ht="14.25" customHeight="1">
      <c r="A8" s="880">
        <v>44463</v>
      </c>
      <c r="B8" s="10" t="s">
        <v>23</v>
      </c>
      <c r="C8" s="10" t="s">
        <v>6752</v>
      </c>
      <c r="D8" s="881" t="s">
        <v>6753</v>
      </c>
      <c r="E8" s="76" t="s">
        <v>6754</v>
      </c>
      <c r="F8" s="76" t="s">
        <v>6755</v>
      </c>
      <c r="G8" s="30">
        <v>1</v>
      </c>
      <c r="H8" s="17">
        <v>113000</v>
      </c>
      <c r="I8" s="17">
        <f t="shared" si="0"/>
        <v>113000</v>
      </c>
      <c r="J8" s="17"/>
      <c r="K8" s="17">
        <f t="shared" si="1"/>
        <v>113000</v>
      </c>
      <c r="L8" s="17">
        <v>16000</v>
      </c>
      <c r="M8" s="17"/>
      <c r="N8" s="17">
        <f t="shared" si="2"/>
        <v>129000</v>
      </c>
      <c r="O8" s="10" t="s">
        <v>23</v>
      </c>
      <c r="P8" s="72"/>
      <c r="Q8" s="10" t="s">
        <v>40</v>
      </c>
      <c r="R8" s="17"/>
      <c r="S8" s="17"/>
      <c r="T8" s="17"/>
      <c r="U8" s="17"/>
      <c r="V8" s="17"/>
      <c r="W8" s="17"/>
    </row>
    <row r="9" spans="1:23" s="20" customFormat="1" ht="14.25" customHeight="1">
      <c r="A9" s="880">
        <v>44466</v>
      </c>
      <c r="B9" s="10" t="s">
        <v>43</v>
      </c>
      <c r="C9" s="10" t="s">
        <v>6756</v>
      </c>
      <c r="D9" s="881" t="s">
        <v>6757</v>
      </c>
      <c r="E9" s="739" t="s">
        <v>1648</v>
      </c>
      <c r="F9" s="739" t="s">
        <v>1649</v>
      </c>
      <c r="G9" s="30">
        <v>1</v>
      </c>
      <c r="H9" s="17">
        <v>145000</v>
      </c>
      <c r="I9" s="17">
        <f t="shared" si="0"/>
        <v>145000</v>
      </c>
      <c r="J9" s="17">
        <f>I9*10%</f>
        <v>14500</v>
      </c>
      <c r="K9" s="17">
        <f t="shared" si="1"/>
        <v>130500</v>
      </c>
      <c r="L9" s="17"/>
      <c r="M9" s="17">
        <v>-7308</v>
      </c>
      <c r="N9" s="17">
        <f t="shared" si="2"/>
        <v>123192</v>
      </c>
      <c r="O9" s="10" t="s">
        <v>43</v>
      </c>
      <c r="P9" s="72"/>
      <c r="Q9" s="76" t="s">
        <v>54</v>
      </c>
      <c r="R9" s="17"/>
      <c r="S9" s="17"/>
      <c r="T9" s="17"/>
      <c r="U9" s="17"/>
      <c r="V9" s="17"/>
      <c r="W9" s="17"/>
    </row>
    <row r="10" spans="1:23" s="20" customFormat="1" ht="14.25" customHeight="1">
      <c r="A10" s="880">
        <v>44466</v>
      </c>
      <c r="B10" s="10" t="s">
        <v>43</v>
      </c>
      <c r="C10" s="10" t="s">
        <v>6758</v>
      </c>
      <c r="D10" s="881" t="s">
        <v>6759</v>
      </c>
      <c r="E10" s="76" t="s">
        <v>6760</v>
      </c>
      <c r="F10" s="76" t="s">
        <v>6761</v>
      </c>
      <c r="G10" s="30">
        <v>1</v>
      </c>
      <c r="H10" s="17">
        <v>92500</v>
      </c>
      <c r="I10" s="17">
        <f t="shared" si="0"/>
        <v>92500</v>
      </c>
      <c r="J10" s="17"/>
      <c r="K10" s="17">
        <f t="shared" si="1"/>
        <v>92500</v>
      </c>
      <c r="L10" s="17"/>
      <c r="M10" s="17">
        <v>-5180</v>
      </c>
      <c r="N10" s="17">
        <f t="shared" si="2"/>
        <v>87320</v>
      </c>
      <c r="O10" s="10" t="s">
        <v>43</v>
      </c>
      <c r="P10" s="72"/>
      <c r="Q10" s="76" t="s">
        <v>54</v>
      </c>
      <c r="R10" s="17"/>
      <c r="S10" s="17"/>
      <c r="T10" s="17"/>
      <c r="U10" s="17"/>
      <c r="V10" s="17"/>
      <c r="W10" s="17"/>
    </row>
    <row r="11" spans="1:23" s="20" customFormat="1" ht="14.25" customHeight="1">
      <c r="A11" s="880">
        <v>44466</v>
      </c>
      <c r="B11" s="10" t="s">
        <v>43</v>
      </c>
      <c r="C11" s="10" t="s">
        <v>6762</v>
      </c>
      <c r="D11" s="881" t="s">
        <v>6763</v>
      </c>
      <c r="E11" s="781" t="s">
        <v>1802</v>
      </c>
      <c r="F11" s="781" t="s">
        <v>1803</v>
      </c>
      <c r="G11" s="882">
        <v>1</v>
      </c>
      <c r="H11" s="17">
        <v>68000</v>
      </c>
      <c r="I11" s="17">
        <f t="shared" si="0"/>
        <v>68000</v>
      </c>
      <c r="J11" s="17">
        <f>I11*10%</f>
        <v>6800</v>
      </c>
      <c r="K11" s="17">
        <f t="shared" si="1"/>
        <v>61200</v>
      </c>
      <c r="L11" s="17"/>
      <c r="M11" s="17">
        <v>-4889</v>
      </c>
      <c r="N11" s="17">
        <f t="shared" si="2"/>
        <v>56311</v>
      </c>
      <c r="O11" s="10" t="s">
        <v>43</v>
      </c>
      <c r="P11" s="183"/>
      <c r="Q11" s="76" t="s">
        <v>54</v>
      </c>
      <c r="R11" s="17"/>
      <c r="S11" s="17"/>
      <c r="T11" s="17"/>
      <c r="U11" s="17"/>
      <c r="V11" s="17"/>
      <c r="W11" s="17"/>
    </row>
    <row r="12" spans="1:23" s="20" customFormat="1" ht="14.25" customHeight="1">
      <c r="A12" s="880">
        <v>44466</v>
      </c>
      <c r="B12" s="10" t="s">
        <v>43</v>
      </c>
      <c r="C12" s="10" t="s">
        <v>6762</v>
      </c>
      <c r="D12" s="881" t="s">
        <v>6764</v>
      </c>
      <c r="E12" s="781" t="s">
        <v>6217</v>
      </c>
      <c r="F12" s="781" t="s">
        <v>6218</v>
      </c>
      <c r="G12" s="30">
        <v>1</v>
      </c>
      <c r="H12" s="17">
        <v>29000</v>
      </c>
      <c r="I12" s="17">
        <f t="shared" si="0"/>
        <v>29000</v>
      </c>
      <c r="J12" s="17">
        <f>I12*10%</f>
        <v>2900</v>
      </c>
      <c r="K12" s="17">
        <f t="shared" si="1"/>
        <v>26100</v>
      </c>
      <c r="L12" s="17"/>
      <c r="M12" s="17"/>
      <c r="N12" s="17">
        <f t="shared" si="2"/>
        <v>26100</v>
      </c>
      <c r="O12" s="10" t="s">
        <v>43</v>
      </c>
      <c r="P12" s="72"/>
      <c r="Q12" s="76" t="s">
        <v>54</v>
      </c>
      <c r="R12" s="17"/>
      <c r="S12" s="17"/>
      <c r="T12" s="17"/>
      <c r="U12" s="17"/>
      <c r="V12" s="17"/>
      <c r="W12" s="17"/>
    </row>
    <row r="13" spans="1:23" s="20" customFormat="1" ht="14.25" customHeight="1">
      <c r="A13" s="880">
        <v>44466</v>
      </c>
      <c r="B13" s="10" t="s">
        <v>43</v>
      </c>
      <c r="C13" s="10" t="s">
        <v>6765</v>
      </c>
      <c r="D13" s="881" t="s">
        <v>6719</v>
      </c>
      <c r="E13" s="76" t="s">
        <v>6399</v>
      </c>
      <c r="F13" s="76" t="s">
        <v>6400</v>
      </c>
      <c r="G13" s="30">
        <v>1</v>
      </c>
      <c r="H13" s="17">
        <v>26000</v>
      </c>
      <c r="I13" s="17">
        <f t="shared" si="0"/>
        <v>26000</v>
      </c>
      <c r="J13" s="17"/>
      <c r="K13" s="17">
        <f t="shared" si="1"/>
        <v>26000</v>
      </c>
      <c r="L13" s="17"/>
      <c r="M13" s="17">
        <v>-1456</v>
      </c>
      <c r="N13" s="17">
        <f t="shared" si="2"/>
        <v>24544</v>
      </c>
      <c r="O13" s="10" t="s">
        <v>43</v>
      </c>
      <c r="P13" s="183"/>
      <c r="Q13" s="76" t="s">
        <v>54</v>
      </c>
      <c r="R13" s="17"/>
      <c r="S13" s="13"/>
      <c r="T13" s="17"/>
      <c r="U13" s="17"/>
      <c r="V13" s="17"/>
      <c r="W13" s="17"/>
    </row>
    <row r="14" spans="1:23" s="20" customFormat="1" ht="14.25" customHeight="1">
      <c r="A14" s="880">
        <v>44466</v>
      </c>
      <c r="B14" s="10" t="s">
        <v>43</v>
      </c>
      <c r="C14" s="10" t="s">
        <v>6766</v>
      </c>
      <c r="D14" s="881" t="s">
        <v>6767</v>
      </c>
      <c r="E14" s="76" t="s">
        <v>6768</v>
      </c>
      <c r="F14" s="76" t="s">
        <v>6769</v>
      </c>
      <c r="G14" s="30">
        <v>1</v>
      </c>
      <c r="H14" s="17">
        <v>57000</v>
      </c>
      <c r="I14" s="17">
        <f t="shared" si="0"/>
        <v>57000</v>
      </c>
      <c r="J14" s="17"/>
      <c r="K14" s="17">
        <f t="shared" si="1"/>
        <v>57000</v>
      </c>
      <c r="L14" s="17"/>
      <c r="M14" s="17">
        <v>-3192</v>
      </c>
      <c r="N14" s="17">
        <f t="shared" si="2"/>
        <v>53808</v>
      </c>
      <c r="O14" s="10" t="s">
        <v>43</v>
      </c>
      <c r="P14" s="183"/>
      <c r="Q14" s="76" t="s">
        <v>54</v>
      </c>
      <c r="R14" s="17"/>
      <c r="S14" s="13"/>
      <c r="T14" s="17"/>
      <c r="U14" s="17"/>
      <c r="V14" s="17"/>
      <c r="W14" s="17"/>
    </row>
    <row r="15" spans="1:23" s="20" customFormat="1" ht="14.25" customHeight="1">
      <c r="A15" s="880">
        <v>44466</v>
      </c>
      <c r="B15" s="10" t="s">
        <v>43</v>
      </c>
      <c r="C15" s="10" t="s">
        <v>6770</v>
      </c>
      <c r="D15" s="881" t="s">
        <v>6771</v>
      </c>
      <c r="E15" s="739" t="s">
        <v>2667</v>
      </c>
      <c r="F15" s="739" t="s">
        <v>2668</v>
      </c>
      <c r="G15" s="30">
        <v>1</v>
      </c>
      <c r="H15" s="17">
        <v>112000</v>
      </c>
      <c r="I15" s="17">
        <f t="shared" si="0"/>
        <v>112000</v>
      </c>
      <c r="J15" s="17">
        <f>I15*10%</f>
        <v>11200</v>
      </c>
      <c r="K15" s="17">
        <f t="shared" si="1"/>
        <v>100800</v>
      </c>
      <c r="L15" s="17">
        <v>-5645</v>
      </c>
      <c r="M15" s="17"/>
      <c r="N15" s="17">
        <f t="shared" si="2"/>
        <v>95155</v>
      </c>
      <c r="O15" s="10" t="s">
        <v>43</v>
      </c>
      <c r="P15" s="183"/>
      <c r="Q15" s="76" t="s">
        <v>54</v>
      </c>
      <c r="R15" s="17"/>
      <c r="S15" s="13"/>
      <c r="T15" s="17"/>
      <c r="U15" s="17"/>
      <c r="V15" s="17"/>
      <c r="W15" s="17"/>
    </row>
    <row r="16" spans="1:23" s="20" customFormat="1" ht="14.25" customHeight="1">
      <c r="A16" s="880">
        <v>44466</v>
      </c>
      <c r="B16" s="10" t="s">
        <v>206</v>
      </c>
      <c r="C16" s="10" t="s">
        <v>6772</v>
      </c>
      <c r="D16" s="881" t="s">
        <v>6773</v>
      </c>
      <c r="E16" s="739" t="s">
        <v>5923</v>
      </c>
      <c r="F16" s="739" t="s">
        <v>5924</v>
      </c>
      <c r="G16" s="30">
        <v>1</v>
      </c>
      <c r="H16" s="17">
        <v>48000</v>
      </c>
      <c r="I16" s="17">
        <f t="shared" si="0"/>
        <v>48000</v>
      </c>
      <c r="J16" s="17"/>
      <c r="K16" s="17">
        <f t="shared" si="1"/>
        <v>48000</v>
      </c>
      <c r="L16" s="17">
        <v>73000</v>
      </c>
      <c r="M16" s="17"/>
      <c r="N16" s="17">
        <f t="shared" si="2"/>
        <v>121000</v>
      </c>
      <c r="O16" s="10" t="s">
        <v>206</v>
      </c>
      <c r="P16" s="72"/>
      <c r="Q16" s="76" t="s">
        <v>28</v>
      </c>
      <c r="R16" s="17"/>
      <c r="S16" s="17"/>
      <c r="T16" s="17"/>
      <c r="U16" s="17"/>
      <c r="V16" s="17"/>
      <c r="W16" s="17"/>
    </row>
    <row r="17" spans="1:23" s="20" customFormat="1" ht="14.25" customHeight="1">
      <c r="A17" s="880">
        <v>44466</v>
      </c>
      <c r="B17" s="10" t="s">
        <v>206</v>
      </c>
      <c r="C17" s="10" t="s">
        <v>6774</v>
      </c>
      <c r="D17" s="881" t="s">
        <v>6775</v>
      </c>
      <c r="E17" s="739" t="s">
        <v>6776</v>
      </c>
      <c r="F17" s="739" t="s">
        <v>6777</v>
      </c>
      <c r="G17" s="30">
        <v>1</v>
      </c>
      <c r="H17" s="17">
        <v>108000</v>
      </c>
      <c r="I17" s="17">
        <f t="shared" si="0"/>
        <v>108000</v>
      </c>
      <c r="J17" s="17"/>
      <c r="K17" s="17">
        <f t="shared" si="1"/>
        <v>108000</v>
      </c>
      <c r="L17" s="17">
        <f>45700-45000</f>
        <v>700</v>
      </c>
      <c r="M17" s="17"/>
      <c r="N17" s="17">
        <f t="shared" si="2"/>
        <v>108700</v>
      </c>
      <c r="O17" s="10" t="s">
        <v>206</v>
      </c>
      <c r="P17" s="183"/>
      <c r="Q17" s="76" t="s">
        <v>328</v>
      </c>
      <c r="R17" s="17"/>
      <c r="S17" s="17"/>
      <c r="T17" s="17"/>
      <c r="U17" s="17"/>
      <c r="V17" s="17"/>
      <c r="W17" s="17"/>
    </row>
    <row r="18" spans="1:23" s="20" customFormat="1" ht="14.25" customHeight="1">
      <c r="A18" s="880">
        <v>44466</v>
      </c>
      <c r="B18" s="10" t="s">
        <v>177</v>
      </c>
      <c r="C18" s="10" t="s">
        <v>6778</v>
      </c>
      <c r="D18" s="881" t="s">
        <v>6779</v>
      </c>
      <c r="E18" s="76" t="s">
        <v>6780</v>
      </c>
      <c r="F18" s="76" t="s">
        <v>6781</v>
      </c>
      <c r="G18" s="30">
        <v>1</v>
      </c>
      <c r="H18" s="17">
        <v>82500</v>
      </c>
      <c r="I18" s="17">
        <f t="shared" si="0"/>
        <v>82500</v>
      </c>
      <c r="J18" s="17"/>
      <c r="K18" s="17">
        <f t="shared" si="1"/>
        <v>82500</v>
      </c>
      <c r="L18" s="17">
        <v>9000</v>
      </c>
      <c r="M18" s="17"/>
      <c r="N18" s="17">
        <f t="shared" si="2"/>
        <v>91500</v>
      </c>
      <c r="O18" s="10" t="s">
        <v>177</v>
      </c>
      <c r="P18" s="183"/>
      <c r="Q18" s="76" t="s">
        <v>54</v>
      </c>
      <c r="R18" s="17"/>
      <c r="S18" s="17"/>
      <c r="T18" s="17"/>
      <c r="U18" s="17"/>
      <c r="V18" s="17"/>
      <c r="W18" s="17"/>
    </row>
    <row r="19" spans="1:23" s="20" customFormat="1" ht="14.25" customHeight="1">
      <c r="A19" s="880">
        <v>44466</v>
      </c>
      <c r="B19" s="10" t="s">
        <v>43</v>
      </c>
      <c r="C19" s="10" t="s">
        <v>6782</v>
      </c>
      <c r="D19" s="881" t="s">
        <v>6783</v>
      </c>
      <c r="E19" s="76" t="s">
        <v>489</v>
      </c>
      <c r="F19" s="76" t="s">
        <v>490</v>
      </c>
      <c r="G19" s="861">
        <v>4</v>
      </c>
      <c r="H19" s="17">
        <v>72000</v>
      </c>
      <c r="I19" s="17">
        <f t="shared" si="0"/>
        <v>288000</v>
      </c>
      <c r="J19" s="17">
        <f>I19*10%</f>
        <v>28800</v>
      </c>
      <c r="K19" s="17">
        <f t="shared" si="1"/>
        <v>259200</v>
      </c>
      <c r="L19" s="17"/>
      <c r="M19" s="17">
        <v>-14515</v>
      </c>
      <c r="N19" s="17">
        <f t="shared" si="2"/>
        <v>244685</v>
      </c>
      <c r="O19" s="10" t="s">
        <v>43</v>
      </c>
      <c r="P19" s="183"/>
      <c r="Q19" s="76" t="s">
        <v>54</v>
      </c>
      <c r="R19" s="17"/>
      <c r="S19" s="17"/>
      <c r="T19" s="17"/>
      <c r="U19" s="17"/>
      <c r="V19" s="17"/>
      <c r="W19" s="17"/>
    </row>
    <row r="20" spans="1:23" s="20" customFormat="1" ht="14.25" customHeight="1">
      <c r="A20" s="880">
        <v>44466</v>
      </c>
      <c r="B20" s="76" t="s">
        <v>43</v>
      </c>
      <c r="C20" s="739" t="s">
        <v>6784</v>
      </c>
      <c r="D20" s="881" t="s">
        <v>6785</v>
      </c>
      <c r="E20" s="739" t="s">
        <v>6786</v>
      </c>
      <c r="F20" s="739" t="s">
        <v>6787</v>
      </c>
      <c r="G20" s="30">
        <v>1</v>
      </c>
      <c r="H20" s="17">
        <v>58000</v>
      </c>
      <c r="I20" s="17">
        <f t="shared" si="0"/>
        <v>58000</v>
      </c>
      <c r="J20" s="17"/>
      <c r="K20" s="17">
        <f t="shared" si="1"/>
        <v>58000</v>
      </c>
      <c r="L20" s="17"/>
      <c r="M20" s="17">
        <v>-3248</v>
      </c>
      <c r="N20" s="17">
        <f t="shared" si="2"/>
        <v>54752</v>
      </c>
      <c r="O20" s="76" t="s">
        <v>43</v>
      </c>
      <c r="P20" s="183"/>
      <c r="Q20" s="76" t="s">
        <v>54</v>
      </c>
      <c r="R20" s="17"/>
      <c r="S20" s="17"/>
      <c r="T20" s="17"/>
      <c r="U20" s="17"/>
      <c r="V20" s="17"/>
      <c r="W20" s="17"/>
    </row>
    <row r="21" spans="1:23" s="20" customFormat="1" ht="14.25" customHeight="1">
      <c r="A21" s="880">
        <v>44466</v>
      </c>
      <c r="B21" s="76" t="s">
        <v>23</v>
      </c>
      <c r="C21" s="76" t="s">
        <v>6788</v>
      </c>
      <c r="D21" s="881" t="s">
        <v>6789</v>
      </c>
      <c r="E21" s="76" t="s">
        <v>6790</v>
      </c>
      <c r="F21" s="76" t="s">
        <v>6791</v>
      </c>
      <c r="G21" s="30">
        <v>1</v>
      </c>
      <c r="H21" s="17">
        <v>60000</v>
      </c>
      <c r="I21" s="17">
        <f t="shared" si="0"/>
        <v>60000</v>
      </c>
      <c r="J21" s="17"/>
      <c r="K21" s="17">
        <f t="shared" si="1"/>
        <v>60000</v>
      </c>
      <c r="L21" s="17">
        <v>57000</v>
      </c>
      <c r="M21" s="17"/>
      <c r="N21" s="17">
        <f t="shared" si="2"/>
        <v>117000</v>
      </c>
      <c r="O21" s="76" t="s">
        <v>23</v>
      </c>
      <c r="P21" s="183"/>
      <c r="Q21" s="76" t="s">
        <v>40</v>
      </c>
      <c r="R21" s="17"/>
      <c r="S21" s="17"/>
      <c r="T21" s="17"/>
      <c r="U21" s="17"/>
      <c r="V21" s="17"/>
      <c r="W21" s="17"/>
    </row>
    <row r="22" spans="1:23" s="20" customFormat="1" ht="14.25" customHeight="1">
      <c r="A22" s="880">
        <v>44466</v>
      </c>
      <c r="B22" s="76" t="s">
        <v>23</v>
      </c>
      <c r="C22" s="739" t="s">
        <v>6792</v>
      </c>
      <c r="D22" s="881" t="s">
        <v>6793</v>
      </c>
      <c r="E22" s="739" t="s">
        <v>2547</v>
      </c>
      <c r="F22" s="739" t="s">
        <v>2548</v>
      </c>
      <c r="G22" s="30">
        <v>1</v>
      </c>
      <c r="H22" s="17">
        <v>70700</v>
      </c>
      <c r="I22" s="17">
        <f t="shared" si="0"/>
        <v>70700</v>
      </c>
      <c r="J22" s="17"/>
      <c r="K22" s="17">
        <f t="shared" si="1"/>
        <v>70700</v>
      </c>
      <c r="L22" s="17">
        <v>20000</v>
      </c>
      <c r="M22" s="17"/>
      <c r="N22" s="17">
        <f t="shared" si="2"/>
        <v>90700</v>
      </c>
      <c r="O22" s="76" t="s">
        <v>23</v>
      </c>
      <c r="P22" s="183"/>
      <c r="Q22" s="76" t="s">
        <v>54</v>
      </c>
      <c r="R22" s="17"/>
      <c r="S22" s="17"/>
      <c r="T22" s="17"/>
      <c r="U22" s="17"/>
      <c r="V22" s="17"/>
      <c r="W22" s="17"/>
    </row>
    <row r="23" spans="1:23" s="20" customFormat="1" ht="14.25" customHeight="1">
      <c r="A23" s="880">
        <v>44466</v>
      </c>
      <c r="B23" s="10" t="s">
        <v>23</v>
      </c>
      <c r="C23" s="10" t="s">
        <v>6794</v>
      </c>
      <c r="D23" s="881" t="s">
        <v>4743</v>
      </c>
      <c r="E23" s="883" t="s">
        <v>1455</v>
      </c>
      <c r="F23" s="883" t="s">
        <v>1456</v>
      </c>
      <c r="G23" s="30">
        <v>2</v>
      </c>
      <c r="H23" s="17">
        <v>95000</v>
      </c>
      <c r="I23" s="17">
        <f t="shared" si="0"/>
        <v>190000</v>
      </c>
      <c r="J23" s="17">
        <f>I23*25%</f>
        <v>47500</v>
      </c>
      <c r="K23" s="17">
        <f t="shared" si="1"/>
        <v>142500</v>
      </c>
      <c r="L23" s="17">
        <v>51000</v>
      </c>
      <c r="M23" s="17"/>
      <c r="N23" s="17">
        <f t="shared" si="2"/>
        <v>193500</v>
      </c>
      <c r="O23" s="10" t="s">
        <v>23</v>
      </c>
      <c r="P23" s="183"/>
      <c r="Q23" s="10" t="s">
        <v>40</v>
      </c>
      <c r="R23" s="17"/>
      <c r="S23" s="17"/>
      <c r="T23" s="17"/>
      <c r="U23" s="17"/>
      <c r="V23" s="17"/>
      <c r="W23" s="17"/>
    </row>
    <row r="24" spans="1:23" s="20" customFormat="1" ht="14.25" customHeight="1">
      <c r="A24" s="880">
        <v>44466</v>
      </c>
      <c r="B24" s="10" t="s">
        <v>23</v>
      </c>
      <c r="C24" s="10" t="s">
        <v>6794</v>
      </c>
      <c r="D24" s="881" t="s">
        <v>6795</v>
      </c>
      <c r="E24" s="884" t="s">
        <v>1272</v>
      </c>
      <c r="F24" s="884" t="s">
        <v>1273</v>
      </c>
      <c r="G24" s="30">
        <v>2</v>
      </c>
      <c r="H24" s="17">
        <v>50000</v>
      </c>
      <c r="I24" s="17">
        <f t="shared" si="0"/>
        <v>100000</v>
      </c>
      <c r="J24" s="17">
        <f t="shared" ref="J24:J26" si="3">I24*25%</f>
        <v>25000</v>
      </c>
      <c r="K24" s="17">
        <f t="shared" si="1"/>
        <v>75000</v>
      </c>
      <c r="L24" s="17"/>
      <c r="M24" s="17"/>
      <c r="N24" s="17">
        <f t="shared" si="2"/>
        <v>75000</v>
      </c>
      <c r="O24" s="10" t="s">
        <v>23</v>
      </c>
      <c r="P24" s="183"/>
      <c r="Q24" s="10" t="s">
        <v>40</v>
      </c>
      <c r="R24" s="17"/>
      <c r="S24" s="17"/>
      <c r="T24" s="17"/>
      <c r="U24" s="17"/>
      <c r="V24" s="17"/>
      <c r="W24" s="17"/>
    </row>
    <row r="25" spans="1:23" s="20" customFormat="1" ht="14.25" customHeight="1">
      <c r="A25" s="880">
        <v>44466</v>
      </c>
      <c r="B25" s="10" t="s">
        <v>23</v>
      </c>
      <c r="C25" s="10" t="s">
        <v>6794</v>
      </c>
      <c r="D25" s="881" t="s">
        <v>6796</v>
      </c>
      <c r="E25" s="883" t="s">
        <v>4991</v>
      </c>
      <c r="F25" s="883" t="s">
        <v>4992</v>
      </c>
      <c r="G25" s="30">
        <v>2</v>
      </c>
      <c r="H25" s="17">
        <v>90000</v>
      </c>
      <c r="I25" s="17">
        <f t="shared" si="0"/>
        <v>180000</v>
      </c>
      <c r="J25" s="17">
        <f t="shared" si="3"/>
        <v>45000</v>
      </c>
      <c r="K25" s="17">
        <f t="shared" si="1"/>
        <v>135000</v>
      </c>
      <c r="L25" s="17"/>
      <c r="M25" s="17"/>
      <c r="N25" s="17">
        <f t="shared" si="2"/>
        <v>135000</v>
      </c>
      <c r="O25" s="10" t="s">
        <v>23</v>
      </c>
      <c r="P25" s="183"/>
      <c r="Q25" s="10" t="s">
        <v>40</v>
      </c>
      <c r="R25" s="17"/>
      <c r="S25" s="17"/>
      <c r="T25" s="17"/>
      <c r="U25" s="17"/>
      <c r="V25" s="17"/>
      <c r="W25" s="17"/>
    </row>
    <row r="26" spans="1:23" s="20" customFormat="1" ht="14.25" customHeight="1">
      <c r="A26" s="880">
        <v>44466</v>
      </c>
      <c r="B26" s="10" t="s">
        <v>23</v>
      </c>
      <c r="C26" s="10" t="s">
        <v>6794</v>
      </c>
      <c r="D26" s="881" t="s">
        <v>6797</v>
      </c>
      <c r="E26" s="884" t="s">
        <v>1403</v>
      </c>
      <c r="F26" s="884" t="s">
        <v>1404</v>
      </c>
      <c r="G26" s="30">
        <v>2</v>
      </c>
      <c r="H26" s="17">
        <v>43000</v>
      </c>
      <c r="I26" s="17">
        <f t="shared" si="0"/>
        <v>86000</v>
      </c>
      <c r="J26" s="17">
        <f t="shared" si="3"/>
        <v>21500</v>
      </c>
      <c r="K26" s="17">
        <f t="shared" si="1"/>
        <v>64500</v>
      </c>
      <c r="L26" s="17"/>
      <c r="M26" s="17"/>
      <c r="N26" s="17">
        <f t="shared" si="2"/>
        <v>64500</v>
      </c>
      <c r="O26" s="10" t="s">
        <v>23</v>
      </c>
      <c r="P26" s="183"/>
      <c r="Q26" s="10" t="s">
        <v>40</v>
      </c>
      <c r="R26" s="17"/>
      <c r="S26" s="17"/>
      <c r="T26" s="17"/>
      <c r="U26" s="17"/>
      <c r="V26" s="17"/>
      <c r="W26" s="17"/>
    </row>
    <row r="27" spans="1:23" s="20" customFormat="1" ht="14.25" customHeight="1">
      <c r="A27" s="880">
        <v>44467</v>
      </c>
      <c r="B27" s="76" t="s">
        <v>43</v>
      </c>
      <c r="C27" s="76" t="s">
        <v>6798</v>
      </c>
      <c r="D27" s="881" t="s">
        <v>6799</v>
      </c>
      <c r="E27" s="76" t="s">
        <v>3796</v>
      </c>
      <c r="F27" s="76" t="s">
        <v>1025</v>
      </c>
      <c r="G27" s="30">
        <v>1</v>
      </c>
      <c r="H27" s="17">
        <v>58500</v>
      </c>
      <c r="I27" s="17">
        <f t="shared" si="0"/>
        <v>58500</v>
      </c>
      <c r="J27" s="17"/>
      <c r="K27" s="17">
        <f t="shared" si="1"/>
        <v>58500</v>
      </c>
      <c r="L27" s="17"/>
      <c r="M27" s="17">
        <v>-3276</v>
      </c>
      <c r="N27" s="17">
        <f t="shared" si="2"/>
        <v>55224</v>
      </c>
      <c r="O27" s="76" t="s">
        <v>43</v>
      </c>
      <c r="P27" s="282"/>
      <c r="Q27" s="76" t="s">
        <v>54</v>
      </c>
      <c r="R27" s="17"/>
      <c r="S27" s="17"/>
      <c r="T27" s="17"/>
      <c r="U27" s="17"/>
      <c r="V27" s="17"/>
      <c r="W27" s="17"/>
    </row>
    <row r="28" spans="1:23" s="20" customFormat="1" ht="14.25" customHeight="1">
      <c r="A28" s="880">
        <v>44467</v>
      </c>
      <c r="B28" s="76" t="s">
        <v>313</v>
      </c>
      <c r="C28" s="76" t="s">
        <v>6800</v>
      </c>
      <c r="D28" s="770" t="s">
        <v>6801</v>
      </c>
      <c r="E28" s="885" t="s">
        <v>4319</v>
      </c>
      <c r="F28" s="885" t="s">
        <v>4320</v>
      </c>
      <c r="G28" s="30">
        <v>1</v>
      </c>
      <c r="H28" s="17">
        <v>131000</v>
      </c>
      <c r="I28" s="17">
        <f t="shared" si="0"/>
        <v>131000</v>
      </c>
      <c r="J28" s="17"/>
      <c r="K28" s="17">
        <f t="shared" si="1"/>
        <v>131000</v>
      </c>
      <c r="L28" s="17">
        <v>46067</v>
      </c>
      <c r="M28" s="17"/>
      <c r="N28" s="17">
        <f t="shared" si="2"/>
        <v>177067</v>
      </c>
      <c r="O28" s="76" t="s">
        <v>313</v>
      </c>
      <c r="P28" s="72"/>
      <c r="Q28" s="76" t="s">
        <v>40</v>
      </c>
      <c r="R28" s="17"/>
      <c r="S28" s="17"/>
      <c r="T28" s="17"/>
      <c r="U28" s="17"/>
      <c r="V28" s="17"/>
      <c r="W28" s="17"/>
    </row>
    <row r="29" spans="1:23" s="20" customFormat="1" ht="14.25" customHeight="1">
      <c r="A29" s="880">
        <v>44467</v>
      </c>
      <c r="B29" s="76" t="s">
        <v>313</v>
      </c>
      <c r="C29" s="76" t="s">
        <v>6800</v>
      </c>
      <c r="D29" s="770" t="s">
        <v>6802</v>
      </c>
      <c r="E29" s="777" t="s">
        <v>512</v>
      </c>
      <c r="F29" s="777" t="s">
        <v>513</v>
      </c>
      <c r="G29" s="30">
        <v>1</v>
      </c>
      <c r="H29" s="17">
        <v>99000</v>
      </c>
      <c r="I29" s="17">
        <f t="shared" si="0"/>
        <v>99000</v>
      </c>
      <c r="J29" s="17"/>
      <c r="K29" s="17">
        <f t="shared" si="1"/>
        <v>99000</v>
      </c>
      <c r="L29" s="17"/>
      <c r="M29" s="17"/>
      <c r="N29" s="17">
        <f t="shared" si="2"/>
        <v>99000</v>
      </c>
      <c r="O29" s="76" t="s">
        <v>313</v>
      </c>
      <c r="P29" s="72"/>
      <c r="Q29" s="76" t="s">
        <v>40</v>
      </c>
      <c r="R29" s="17"/>
      <c r="S29" s="17"/>
      <c r="T29" s="17"/>
      <c r="U29" s="17"/>
      <c r="V29" s="17"/>
      <c r="W29" s="17"/>
    </row>
    <row r="30" spans="1:23" s="20" customFormat="1" ht="14.25" customHeight="1">
      <c r="A30" s="880">
        <v>44467</v>
      </c>
      <c r="B30" s="76" t="s">
        <v>23</v>
      </c>
      <c r="C30" s="739" t="s">
        <v>6803</v>
      </c>
      <c r="D30" s="29" t="s">
        <v>6804</v>
      </c>
      <c r="E30" s="739" t="s">
        <v>6164</v>
      </c>
      <c r="F30" s="739" t="s">
        <v>6165</v>
      </c>
      <c r="G30" s="30">
        <v>1</v>
      </c>
      <c r="H30" s="17">
        <v>168000</v>
      </c>
      <c r="I30" s="17">
        <f t="shared" si="0"/>
        <v>168000</v>
      </c>
      <c r="J30" s="17"/>
      <c r="K30" s="17">
        <f t="shared" si="1"/>
        <v>168000</v>
      </c>
      <c r="L30" s="17">
        <v>17000</v>
      </c>
      <c r="M30" s="17"/>
      <c r="N30" s="17">
        <f t="shared" si="2"/>
        <v>185000</v>
      </c>
      <c r="O30" s="76" t="s">
        <v>23</v>
      </c>
      <c r="P30" s="183"/>
      <c r="Q30" s="76" t="s">
        <v>40</v>
      </c>
      <c r="R30" s="17"/>
      <c r="S30" s="17"/>
      <c r="T30" s="17"/>
      <c r="U30" s="17"/>
      <c r="V30" s="17"/>
      <c r="W30" s="17"/>
    </row>
    <row r="31" spans="1:23" s="20" customFormat="1" ht="14.25" customHeight="1">
      <c r="A31" s="880">
        <v>44467</v>
      </c>
      <c r="B31" s="76" t="s">
        <v>313</v>
      </c>
      <c r="C31" s="739" t="s">
        <v>6805</v>
      </c>
      <c r="D31" s="770" t="s">
        <v>6806</v>
      </c>
      <c r="E31" s="739" t="s">
        <v>6807</v>
      </c>
      <c r="F31" s="739" t="s">
        <v>6808</v>
      </c>
      <c r="G31" s="30">
        <v>1</v>
      </c>
      <c r="H31" s="17">
        <v>65000</v>
      </c>
      <c r="I31" s="17">
        <f t="shared" si="0"/>
        <v>65000</v>
      </c>
      <c r="J31" s="17"/>
      <c r="K31" s="17">
        <f t="shared" si="1"/>
        <v>65000</v>
      </c>
      <c r="L31" s="17">
        <v>17010</v>
      </c>
      <c r="M31" s="17"/>
      <c r="N31" s="17">
        <f t="shared" si="2"/>
        <v>82010</v>
      </c>
      <c r="O31" s="76" t="s">
        <v>313</v>
      </c>
      <c r="P31" s="72"/>
      <c r="Q31" s="76" t="s">
        <v>40</v>
      </c>
      <c r="R31" s="17"/>
      <c r="S31" s="17"/>
      <c r="T31" s="17"/>
      <c r="U31" s="17"/>
      <c r="V31" s="17"/>
      <c r="W31" s="17"/>
    </row>
    <row r="32" spans="1:23" s="20" customFormat="1" ht="14.25" customHeight="1">
      <c r="A32" s="880">
        <v>44467</v>
      </c>
      <c r="B32" s="76" t="s">
        <v>23</v>
      </c>
      <c r="C32" s="76" t="s">
        <v>6809</v>
      </c>
      <c r="D32" s="770" t="s">
        <v>6810</v>
      </c>
      <c r="E32" s="76" t="s">
        <v>773</v>
      </c>
      <c r="F32" s="76" t="s">
        <v>774</v>
      </c>
      <c r="G32" s="30">
        <v>5</v>
      </c>
      <c r="H32" s="17">
        <v>96000</v>
      </c>
      <c r="I32" s="17">
        <f t="shared" si="0"/>
        <v>480000</v>
      </c>
      <c r="J32" s="17"/>
      <c r="K32" s="17">
        <f t="shared" si="1"/>
        <v>480000</v>
      </c>
      <c r="L32" s="17">
        <v>20000</v>
      </c>
      <c r="M32" s="17"/>
      <c r="N32" s="17">
        <f t="shared" si="2"/>
        <v>500000</v>
      </c>
      <c r="O32" s="76" t="s">
        <v>23</v>
      </c>
      <c r="P32" s="282"/>
      <c r="Q32" s="76" t="s">
        <v>40</v>
      </c>
      <c r="R32" s="17"/>
      <c r="S32" s="17"/>
      <c r="T32" s="17"/>
      <c r="U32" s="17"/>
      <c r="V32" s="17"/>
      <c r="W32" s="17"/>
    </row>
    <row r="33" spans="1:23" s="20" customFormat="1" ht="14.25" customHeight="1">
      <c r="A33" s="880">
        <v>44467</v>
      </c>
      <c r="B33" s="76" t="s">
        <v>313</v>
      </c>
      <c r="C33" s="739" t="s">
        <v>6811</v>
      </c>
      <c r="D33" s="770" t="s">
        <v>6812</v>
      </c>
      <c r="E33" s="76" t="s">
        <v>6813</v>
      </c>
      <c r="F33" s="76" t="s">
        <v>6814</v>
      </c>
      <c r="G33" s="30">
        <v>1</v>
      </c>
      <c r="H33" s="17">
        <v>147000</v>
      </c>
      <c r="I33" s="17">
        <f t="shared" si="0"/>
        <v>147000</v>
      </c>
      <c r="J33" s="17"/>
      <c r="K33" s="17">
        <f t="shared" si="1"/>
        <v>147000</v>
      </c>
      <c r="L33" s="17">
        <v>55040</v>
      </c>
      <c r="M33" s="17"/>
      <c r="N33" s="17">
        <f t="shared" si="2"/>
        <v>202040</v>
      </c>
      <c r="O33" s="76" t="s">
        <v>313</v>
      </c>
      <c r="P33" s="183"/>
      <c r="Q33" s="76" t="s">
        <v>40</v>
      </c>
      <c r="R33" s="17"/>
      <c r="S33" s="17"/>
      <c r="T33" s="17"/>
      <c r="U33" s="17"/>
      <c r="V33" s="17"/>
      <c r="W33" s="17"/>
    </row>
    <row r="34" spans="1:23" s="20" customFormat="1" ht="14.25" customHeight="1">
      <c r="A34" s="880">
        <v>44467</v>
      </c>
      <c r="B34" s="76" t="s">
        <v>313</v>
      </c>
      <c r="C34" s="739" t="s">
        <v>6815</v>
      </c>
      <c r="D34" s="770" t="s">
        <v>6816</v>
      </c>
      <c r="E34" s="739" t="s">
        <v>3334</v>
      </c>
      <c r="F34" s="739" t="s">
        <v>3335</v>
      </c>
      <c r="G34" s="30">
        <v>1</v>
      </c>
      <c r="H34" s="17">
        <v>73000</v>
      </c>
      <c r="I34" s="17">
        <f t="shared" si="0"/>
        <v>73000</v>
      </c>
      <c r="J34" s="17"/>
      <c r="K34" s="17">
        <f t="shared" si="1"/>
        <v>73000</v>
      </c>
      <c r="L34" s="17">
        <v>6055</v>
      </c>
      <c r="M34" s="17"/>
      <c r="N34" s="17">
        <f t="shared" si="2"/>
        <v>79055</v>
      </c>
      <c r="O34" s="76" t="s">
        <v>313</v>
      </c>
      <c r="P34" s="183"/>
      <c r="Q34" s="76" t="s">
        <v>28</v>
      </c>
      <c r="R34" s="17"/>
      <c r="S34" s="17"/>
      <c r="T34" s="17"/>
      <c r="U34" s="17"/>
      <c r="V34" s="17"/>
      <c r="W34" s="17"/>
    </row>
    <row r="35" spans="1:23" s="20" customFormat="1" ht="14.25" customHeight="1">
      <c r="A35" s="880">
        <v>44468</v>
      </c>
      <c r="B35" s="76" t="s">
        <v>43</v>
      </c>
      <c r="C35" s="76" t="s">
        <v>6817</v>
      </c>
      <c r="D35" s="770" t="s">
        <v>6818</v>
      </c>
      <c r="E35" s="76" t="s">
        <v>579</v>
      </c>
      <c r="F35" s="76" t="s">
        <v>72</v>
      </c>
      <c r="G35" s="886">
        <v>2</v>
      </c>
      <c r="H35" s="17">
        <v>108000</v>
      </c>
      <c r="I35" s="17">
        <f t="shared" si="0"/>
        <v>216000</v>
      </c>
      <c r="J35" s="17"/>
      <c r="K35" s="17">
        <f t="shared" si="1"/>
        <v>216000</v>
      </c>
      <c r="L35" s="17"/>
      <c r="M35" s="17">
        <v>-12096</v>
      </c>
      <c r="N35" s="17">
        <f t="shared" si="2"/>
        <v>203904</v>
      </c>
      <c r="O35" s="76" t="s">
        <v>43</v>
      </c>
      <c r="P35" s="72"/>
      <c r="Q35" s="76" t="s">
        <v>54</v>
      </c>
      <c r="R35" s="17"/>
      <c r="S35" s="17"/>
      <c r="T35" s="17"/>
      <c r="U35" s="17"/>
      <c r="V35" s="17"/>
      <c r="W35" s="17"/>
    </row>
    <row r="36" spans="1:23" s="20" customFormat="1" ht="14.25" customHeight="1">
      <c r="A36" s="880">
        <v>44468</v>
      </c>
      <c r="B36" s="76" t="s">
        <v>43</v>
      </c>
      <c r="C36" s="739" t="s">
        <v>6819</v>
      </c>
      <c r="D36" s="770" t="s">
        <v>9440</v>
      </c>
      <c r="E36" s="76" t="s">
        <v>4306</v>
      </c>
      <c r="F36" s="76" t="s">
        <v>4307</v>
      </c>
      <c r="G36" s="30">
        <v>1</v>
      </c>
      <c r="H36" s="17">
        <v>99000</v>
      </c>
      <c r="I36" s="17">
        <f t="shared" si="0"/>
        <v>99000</v>
      </c>
      <c r="J36" s="17">
        <f>I36*10%</f>
        <v>9900</v>
      </c>
      <c r="K36" s="17">
        <f t="shared" si="1"/>
        <v>89100</v>
      </c>
      <c r="L36" s="17"/>
      <c r="M36" s="17">
        <v>-4990</v>
      </c>
      <c r="N36" s="17">
        <f t="shared" si="2"/>
        <v>84110</v>
      </c>
      <c r="O36" s="76" t="s">
        <v>43</v>
      </c>
      <c r="P36" s="282"/>
      <c r="Q36" s="76" t="s">
        <v>54</v>
      </c>
      <c r="R36" s="17"/>
      <c r="S36" s="17"/>
      <c r="T36" s="17"/>
      <c r="U36" s="17"/>
      <c r="V36" s="17"/>
      <c r="W36" s="17"/>
    </row>
    <row r="37" spans="1:23" s="20" customFormat="1" ht="14.25" customHeight="1">
      <c r="A37" s="880">
        <v>44468</v>
      </c>
      <c r="B37" s="76" t="s">
        <v>43</v>
      </c>
      <c r="C37" s="76" t="s">
        <v>6820</v>
      </c>
      <c r="D37" s="770" t="s">
        <v>6821</v>
      </c>
      <c r="E37" s="76" t="s">
        <v>1802</v>
      </c>
      <c r="F37" s="76" t="s">
        <v>1803</v>
      </c>
      <c r="G37" s="30">
        <v>1</v>
      </c>
      <c r="H37" s="17">
        <v>68000</v>
      </c>
      <c r="I37" s="17">
        <f t="shared" si="0"/>
        <v>68000</v>
      </c>
      <c r="J37" s="17"/>
      <c r="K37" s="17">
        <f t="shared" si="1"/>
        <v>68000</v>
      </c>
      <c r="L37" s="17"/>
      <c r="M37" s="17">
        <v>-3808</v>
      </c>
      <c r="N37" s="17">
        <f t="shared" si="2"/>
        <v>64192</v>
      </c>
      <c r="O37" s="76" t="s">
        <v>43</v>
      </c>
      <c r="P37" s="72"/>
      <c r="Q37" s="76" t="s">
        <v>54</v>
      </c>
      <c r="R37" s="17"/>
      <c r="S37" s="17"/>
      <c r="T37" s="17"/>
      <c r="U37" s="17"/>
      <c r="V37" s="17"/>
      <c r="W37" s="17"/>
    </row>
    <row r="38" spans="1:23" s="20" customFormat="1" ht="14.25" customHeight="1">
      <c r="A38" s="880">
        <v>44468</v>
      </c>
      <c r="B38" s="76" t="s">
        <v>43</v>
      </c>
      <c r="C38" s="739" t="s">
        <v>6822</v>
      </c>
      <c r="D38" s="770" t="s">
        <v>6823</v>
      </c>
      <c r="E38" s="76" t="s">
        <v>4238</v>
      </c>
      <c r="F38" s="76" t="s">
        <v>4239</v>
      </c>
      <c r="G38" s="30">
        <v>1</v>
      </c>
      <c r="H38" s="17">
        <v>97000</v>
      </c>
      <c r="I38" s="17">
        <f t="shared" si="0"/>
        <v>97000</v>
      </c>
      <c r="J38" s="17">
        <f>I38*10%</f>
        <v>9700</v>
      </c>
      <c r="K38" s="17">
        <f t="shared" si="1"/>
        <v>87300</v>
      </c>
      <c r="L38" s="17"/>
      <c r="M38" s="17">
        <v>-4889</v>
      </c>
      <c r="N38" s="17">
        <f t="shared" si="2"/>
        <v>82411</v>
      </c>
      <c r="O38" s="76" t="s">
        <v>43</v>
      </c>
      <c r="P38" s="72"/>
      <c r="Q38" s="76" t="s">
        <v>54</v>
      </c>
      <c r="R38" s="17"/>
      <c r="S38" s="17"/>
      <c r="T38" s="17"/>
      <c r="U38" s="17"/>
      <c r="V38" s="17"/>
      <c r="W38" s="17"/>
    </row>
    <row r="39" spans="1:23" s="20" customFormat="1" ht="14.25" customHeight="1">
      <c r="A39" s="880">
        <v>44468</v>
      </c>
      <c r="B39" s="76" t="s">
        <v>177</v>
      </c>
      <c r="C39" s="76" t="s">
        <v>6824</v>
      </c>
      <c r="D39" s="770" t="s">
        <v>6825</v>
      </c>
      <c r="E39" s="739" t="s">
        <v>3830</v>
      </c>
      <c r="F39" s="739" t="s">
        <v>3831</v>
      </c>
      <c r="G39" s="30">
        <v>1</v>
      </c>
      <c r="H39" s="17">
        <v>68000</v>
      </c>
      <c r="I39" s="17">
        <f t="shared" si="0"/>
        <v>68000</v>
      </c>
      <c r="J39" s="17"/>
      <c r="K39" s="17">
        <f t="shared" si="1"/>
        <v>68000</v>
      </c>
      <c r="L39" s="17">
        <v>7000</v>
      </c>
      <c r="M39" s="17"/>
      <c r="N39" s="17">
        <f t="shared" si="2"/>
        <v>75000</v>
      </c>
      <c r="O39" s="76" t="s">
        <v>177</v>
      </c>
      <c r="P39" s="72"/>
      <c r="Q39" s="76" t="s">
        <v>54</v>
      </c>
      <c r="R39" s="17"/>
      <c r="S39" s="17"/>
      <c r="T39" s="17"/>
      <c r="U39" s="17"/>
      <c r="V39" s="17"/>
      <c r="W39" s="17"/>
    </row>
    <row r="40" spans="1:23" s="20" customFormat="1" ht="14.25" customHeight="1">
      <c r="A40" s="880">
        <v>44468</v>
      </c>
      <c r="B40" s="76" t="s">
        <v>313</v>
      </c>
      <c r="C40" s="739" t="s">
        <v>6826</v>
      </c>
      <c r="D40" s="770" t="s">
        <v>6827</v>
      </c>
      <c r="E40" s="76" t="s">
        <v>2641</v>
      </c>
      <c r="F40" s="76" t="s">
        <v>2642</v>
      </c>
      <c r="G40" s="30">
        <v>1</v>
      </c>
      <c r="H40" s="17">
        <v>91000</v>
      </c>
      <c r="I40" s="17">
        <f t="shared" si="0"/>
        <v>91000</v>
      </c>
      <c r="J40" s="17"/>
      <c r="K40" s="17">
        <f t="shared" si="1"/>
        <v>91000</v>
      </c>
      <c r="L40" s="17">
        <v>17040</v>
      </c>
      <c r="M40" s="17"/>
      <c r="N40" s="17">
        <f t="shared" si="2"/>
        <v>108040</v>
      </c>
      <c r="O40" s="76" t="s">
        <v>313</v>
      </c>
      <c r="P40" s="72"/>
      <c r="Q40" s="76" t="s">
        <v>40</v>
      </c>
      <c r="R40" s="17"/>
      <c r="S40" s="17"/>
      <c r="T40" s="17"/>
      <c r="U40" s="17"/>
      <c r="V40" s="17"/>
      <c r="W40" s="17"/>
    </row>
    <row r="41" spans="1:23" s="20" customFormat="1" ht="14.25" customHeight="1">
      <c r="A41" s="880">
        <v>44468</v>
      </c>
      <c r="B41" s="76" t="s">
        <v>23</v>
      </c>
      <c r="C41" s="76" t="s">
        <v>6828</v>
      </c>
      <c r="D41" s="770" t="s">
        <v>6829</v>
      </c>
      <c r="E41" s="76" t="s">
        <v>830</v>
      </c>
      <c r="F41" s="76" t="s">
        <v>831</v>
      </c>
      <c r="G41" s="645">
        <v>3</v>
      </c>
      <c r="H41" s="17">
        <v>89000</v>
      </c>
      <c r="I41" s="17">
        <f t="shared" si="0"/>
        <v>267000</v>
      </c>
      <c r="J41" s="17"/>
      <c r="K41" s="17">
        <f t="shared" si="1"/>
        <v>267000</v>
      </c>
      <c r="L41" s="17">
        <v>46000</v>
      </c>
      <c r="M41" s="17"/>
      <c r="N41" s="17">
        <f t="shared" si="2"/>
        <v>313000</v>
      </c>
      <c r="O41" s="76" t="s">
        <v>23</v>
      </c>
      <c r="P41" s="72"/>
      <c r="Q41" s="76" t="s">
        <v>54</v>
      </c>
      <c r="R41" s="17"/>
      <c r="S41" s="17"/>
      <c r="T41" s="17"/>
      <c r="U41" s="17"/>
      <c r="V41" s="17"/>
      <c r="W41" s="17"/>
    </row>
    <row r="42" spans="1:23" s="20" customFormat="1" ht="14.25" customHeight="1">
      <c r="A42" s="880">
        <v>44468</v>
      </c>
      <c r="B42" s="76" t="s">
        <v>23</v>
      </c>
      <c r="C42" s="739" t="s">
        <v>6830</v>
      </c>
      <c r="D42" s="29" t="s">
        <v>6831</v>
      </c>
      <c r="E42" s="76" t="s">
        <v>830</v>
      </c>
      <c r="F42" s="76" t="s">
        <v>831</v>
      </c>
      <c r="G42" s="645">
        <v>1</v>
      </c>
      <c r="H42" s="17">
        <v>89000</v>
      </c>
      <c r="I42" s="17">
        <f t="shared" si="0"/>
        <v>89000</v>
      </c>
      <c r="J42" s="17"/>
      <c r="K42" s="17">
        <f t="shared" si="1"/>
        <v>89000</v>
      </c>
      <c r="L42" s="17">
        <v>17000</v>
      </c>
      <c r="M42" s="17"/>
      <c r="N42" s="17">
        <f t="shared" si="2"/>
        <v>106000</v>
      </c>
      <c r="O42" s="76" t="s">
        <v>23</v>
      </c>
      <c r="P42" s="72"/>
      <c r="Q42" s="76" t="s">
        <v>40</v>
      </c>
      <c r="R42" s="17"/>
      <c r="S42" s="17"/>
      <c r="T42" s="17"/>
      <c r="U42" s="17"/>
      <c r="V42" s="17"/>
      <c r="W42" s="17"/>
    </row>
    <row r="43" spans="1:23" s="20" customFormat="1" ht="14.25" customHeight="1">
      <c r="A43" s="880">
        <v>44468</v>
      </c>
      <c r="B43" s="76" t="s">
        <v>23</v>
      </c>
      <c r="C43" s="76" t="s">
        <v>6832</v>
      </c>
      <c r="D43" s="770" t="s">
        <v>31</v>
      </c>
      <c r="E43" s="76" t="s">
        <v>6833</v>
      </c>
      <c r="F43" s="76" t="s">
        <v>6834</v>
      </c>
      <c r="G43" s="30">
        <v>1</v>
      </c>
      <c r="H43" s="17">
        <v>65000</v>
      </c>
      <c r="I43" s="17">
        <f t="shared" si="0"/>
        <v>65000</v>
      </c>
      <c r="J43" s="17">
        <f>I43*45%</f>
        <v>29250</v>
      </c>
      <c r="K43" s="17">
        <f t="shared" si="1"/>
        <v>35750</v>
      </c>
      <c r="L43" s="17"/>
      <c r="M43" s="17"/>
      <c r="N43" s="17">
        <f t="shared" si="2"/>
        <v>35750</v>
      </c>
      <c r="O43" s="76" t="s">
        <v>23</v>
      </c>
      <c r="P43" s="72"/>
      <c r="Q43" s="76" t="s">
        <v>35</v>
      </c>
      <c r="R43" s="17"/>
      <c r="S43" s="17"/>
      <c r="T43" s="17"/>
      <c r="U43" s="17"/>
      <c r="V43" s="17"/>
      <c r="W43" s="17"/>
    </row>
    <row r="44" spans="1:23" s="20" customFormat="1" ht="14.25" customHeight="1">
      <c r="A44" s="880">
        <v>44468</v>
      </c>
      <c r="B44" s="76" t="s">
        <v>170</v>
      </c>
      <c r="C44" s="76" t="s">
        <v>6835</v>
      </c>
      <c r="D44" s="770" t="s">
        <v>9446</v>
      </c>
      <c r="E44" s="876" t="s">
        <v>6836</v>
      </c>
      <c r="F44" s="876" t="s">
        <v>6837</v>
      </c>
      <c r="G44" s="30">
        <v>1</v>
      </c>
      <c r="H44" s="17">
        <v>83200</v>
      </c>
      <c r="I44" s="17">
        <f t="shared" si="0"/>
        <v>83200</v>
      </c>
      <c r="J44" s="17"/>
      <c r="K44" s="17">
        <f t="shared" si="1"/>
        <v>83200</v>
      </c>
      <c r="L44" s="17">
        <f>35000-35000</f>
        <v>0</v>
      </c>
      <c r="M44" s="17"/>
      <c r="N44" s="17">
        <f t="shared" si="2"/>
        <v>83200</v>
      </c>
      <c r="O44" s="76" t="s">
        <v>170</v>
      </c>
      <c r="P44" s="72"/>
      <c r="Q44" s="76" t="s">
        <v>54</v>
      </c>
      <c r="R44" s="17"/>
      <c r="S44" s="17"/>
      <c r="T44" s="17"/>
      <c r="U44" s="17"/>
      <c r="V44" s="17"/>
      <c r="W44" s="17"/>
    </row>
    <row r="45" spans="1:23" s="20" customFormat="1" ht="14.25" customHeight="1">
      <c r="A45" s="880">
        <v>44468</v>
      </c>
      <c r="B45" s="76" t="s">
        <v>170</v>
      </c>
      <c r="C45" s="76" t="s">
        <v>6835</v>
      </c>
      <c r="D45" s="770" t="s">
        <v>9447</v>
      </c>
      <c r="E45" s="876" t="s">
        <v>6838</v>
      </c>
      <c r="F45" s="876" t="s">
        <v>6839</v>
      </c>
      <c r="G45" s="30">
        <v>1</v>
      </c>
      <c r="H45" s="17">
        <v>82000</v>
      </c>
      <c r="I45" s="17">
        <f t="shared" si="0"/>
        <v>82000</v>
      </c>
      <c r="J45" s="17"/>
      <c r="K45" s="17">
        <f t="shared" si="1"/>
        <v>82000</v>
      </c>
      <c r="L45" s="17"/>
      <c r="M45" s="17"/>
      <c r="N45" s="17">
        <f t="shared" si="2"/>
        <v>82000</v>
      </c>
      <c r="O45" s="76" t="s">
        <v>170</v>
      </c>
      <c r="P45" s="72"/>
      <c r="Q45" s="76" t="s">
        <v>54</v>
      </c>
      <c r="R45" s="17"/>
      <c r="S45" s="17"/>
      <c r="T45" s="17"/>
      <c r="U45" s="17"/>
      <c r="V45" s="17"/>
      <c r="W45" s="17"/>
    </row>
    <row r="46" spans="1:23" s="20" customFormat="1" ht="14.25" customHeight="1">
      <c r="A46" s="880">
        <v>44469</v>
      </c>
      <c r="B46" s="76" t="s">
        <v>43</v>
      </c>
      <c r="C46" s="76" t="s">
        <v>5347</v>
      </c>
      <c r="D46" s="770" t="s">
        <v>6840</v>
      </c>
      <c r="E46" s="739" t="s">
        <v>88</v>
      </c>
      <c r="F46" s="739" t="s">
        <v>111</v>
      </c>
      <c r="G46" s="16">
        <v>1</v>
      </c>
      <c r="H46" s="17">
        <v>37000</v>
      </c>
      <c r="I46" s="17">
        <f t="shared" si="0"/>
        <v>37000</v>
      </c>
      <c r="J46" s="17"/>
      <c r="K46" s="17">
        <f t="shared" si="1"/>
        <v>37000</v>
      </c>
      <c r="L46" s="17"/>
      <c r="M46" s="17">
        <v>-2072</v>
      </c>
      <c r="N46" s="17">
        <f t="shared" si="2"/>
        <v>34928</v>
      </c>
      <c r="O46" s="76" t="s">
        <v>43</v>
      </c>
      <c r="P46" s="183"/>
      <c r="Q46" s="76" t="s">
        <v>54</v>
      </c>
      <c r="R46" s="17"/>
      <c r="S46" s="13"/>
      <c r="T46" s="17"/>
      <c r="U46" s="17"/>
      <c r="V46" s="17"/>
      <c r="W46" s="17"/>
    </row>
    <row r="47" spans="1:23" s="20" customFormat="1" ht="14.25" customHeight="1">
      <c r="A47" s="880">
        <v>44469</v>
      </c>
      <c r="B47" s="76" t="s">
        <v>43</v>
      </c>
      <c r="C47" s="76" t="s">
        <v>6841</v>
      </c>
      <c r="D47" s="770" t="s">
        <v>6842</v>
      </c>
      <c r="E47" s="76" t="s">
        <v>6843</v>
      </c>
      <c r="F47" s="76" t="s">
        <v>6844</v>
      </c>
      <c r="G47" s="16">
        <v>1</v>
      </c>
      <c r="H47" s="17">
        <v>50000</v>
      </c>
      <c r="I47" s="17">
        <f t="shared" si="0"/>
        <v>50000</v>
      </c>
      <c r="J47" s="17"/>
      <c r="K47" s="17">
        <f t="shared" si="1"/>
        <v>50000</v>
      </c>
      <c r="L47" s="17"/>
      <c r="M47" s="17">
        <v>-7140</v>
      </c>
      <c r="N47" s="17">
        <f t="shared" si="2"/>
        <v>42860</v>
      </c>
      <c r="O47" s="76" t="s">
        <v>43</v>
      </c>
      <c r="P47" s="72"/>
      <c r="Q47" s="76" t="s">
        <v>54</v>
      </c>
      <c r="R47" s="17"/>
      <c r="S47" s="17"/>
      <c r="T47" s="17"/>
      <c r="U47" s="17"/>
      <c r="V47" s="17"/>
      <c r="W47" s="17"/>
    </row>
    <row r="48" spans="1:23" s="20" customFormat="1" ht="14.25" customHeight="1">
      <c r="A48" s="880">
        <v>44469</v>
      </c>
      <c r="B48" s="76" t="s">
        <v>43</v>
      </c>
      <c r="C48" s="76" t="s">
        <v>6841</v>
      </c>
      <c r="D48" s="770" t="s">
        <v>6845</v>
      </c>
      <c r="E48" s="76" t="s">
        <v>2169</v>
      </c>
      <c r="F48" s="76" t="s">
        <v>128</v>
      </c>
      <c r="G48" s="16">
        <v>1</v>
      </c>
      <c r="H48" s="17">
        <v>77500</v>
      </c>
      <c r="I48" s="17">
        <f t="shared" si="0"/>
        <v>77500</v>
      </c>
      <c r="J48" s="17"/>
      <c r="K48" s="17">
        <f t="shared" si="1"/>
        <v>77500</v>
      </c>
      <c r="L48" s="17"/>
      <c r="M48" s="17"/>
      <c r="N48" s="17">
        <f t="shared" si="2"/>
        <v>77500</v>
      </c>
      <c r="O48" s="76" t="s">
        <v>43</v>
      </c>
      <c r="P48" s="92"/>
      <c r="Q48" s="76" t="s">
        <v>54</v>
      </c>
      <c r="R48" s="17"/>
      <c r="S48" s="17"/>
      <c r="T48" s="17"/>
      <c r="U48" s="17"/>
      <c r="V48" s="17"/>
      <c r="W48" s="17"/>
    </row>
    <row r="49" spans="1:23" s="20" customFormat="1" ht="14.25" customHeight="1">
      <c r="A49" s="880">
        <v>44469</v>
      </c>
      <c r="B49" s="76" t="s">
        <v>23</v>
      </c>
      <c r="C49" s="76" t="s">
        <v>6846</v>
      </c>
      <c r="D49" s="770" t="s">
        <v>6847</v>
      </c>
      <c r="E49" s="76" t="s">
        <v>6848</v>
      </c>
      <c r="F49" s="76" t="s">
        <v>6849</v>
      </c>
      <c r="G49" s="16">
        <v>1</v>
      </c>
      <c r="H49" s="17">
        <v>60000</v>
      </c>
      <c r="I49" s="17">
        <f t="shared" si="0"/>
        <v>60000</v>
      </c>
      <c r="J49" s="17"/>
      <c r="K49" s="17">
        <f t="shared" si="1"/>
        <v>60000</v>
      </c>
      <c r="L49" s="17">
        <v>53000</v>
      </c>
      <c r="M49" s="17"/>
      <c r="N49" s="17">
        <f t="shared" si="2"/>
        <v>113000</v>
      </c>
      <c r="O49" s="76" t="s">
        <v>23</v>
      </c>
      <c r="P49" s="183"/>
      <c r="Q49" s="76" t="s">
        <v>54</v>
      </c>
      <c r="R49" s="17"/>
      <c r="S49" s="17"/>
      <c r="T49" s="17"/>
      <c r="U49" s="17"/>
      <c r="V49" s="17"/>
      <c r="W49" s="17"/>
    </row>
    <row r="50" spans="1:23" s="20" customFormat="1" ht="14.25" customHeight="1">
      <c r="A50" s="880">
        <v>44469</v>
      </c>
      <c r="B50" s="76" t="s">
        <v>23</v>
      </c>
      <c r="C50" s="739" t="s">
        <v>6850</v>
      </c>
      <c r="D50" s="770" t="s">
        <v>6851</v>
      </c>
      <c r="E50" s="739" t="s">
        <v>6852</v>
      </c>
      <c r="F50" s="739" t="s">
        <v>6853</v>
      </c>
      <c r="G50" s="16">
        <v>1</v>
      </c>
      <c r="H50" s="17">
        <v>182000</v>
      </c>
      <c r="I50" s="17">
        <f t="shared" si="0"/>
        <v>182000</v>
      </c>
      <c r="J50" s="17"/>
      <c r="K50" s="17">
        <f t="shared" si="1"/>
        <v>182000</v>
      </c>
      <c r="L50" s="17">
        <v>17000</v>
      </c>
      <c r="M50" s="17"/>
      <c r="N50" s="17">
        <f t="shared" si="2"/>
        <v>199000</v>
      </c>
      <c r="O50" s="76" t="s">
        <v>23</v>
      </c>
      <c r="P50" s="183"/>
      <c r="Q50" s="76" t="s">
        <v>40</v>
      </c>
      <c r="R50" s="17"/>
      <c r="S50" s="17"/>
      <c r="T50" s="17"/>
      <c r="U50" s="17"/>
      <c r="V50" s="17"/>
      <c r="W50" s="17"/>
    </row>
    <row r="51" spans="1:23" s="20" customFormat="1" ht="14.25" customHeight="1">
      <c r="A51" s="880">
        <v>44469</v>
      </c>
      <c r="B51" s="76" t="s">
        <v>23</v>
      </c>
      <c r="C51" s="739" t="s">
        <v>6854</v>
      </c>
      <c r="D51" s="770" t="s">
        <v>6855</v>
      </c>
      <c r="E51" s="76" t="s">
        <v>6856</v>
      </c>
      <c r="F51" s="76" t="s">
        <v>6857</v>
      </c>
      <c r="G51" s="16">
        <v>4</v>
      </c>
      <c r="H51" s="17">
        <v>54000</v>
      </c>
      <c r="I51" s="17">
        <f t="shared" si="0"/>
        <v>216000</v>
      </c>
      <c r="J51" s="17">
        <f>I51*20%</f>
        <v>43200</v>
      </c>
      <c r="K51" s="17">
        <f t="shared" si="1"/>
        <v>172800</v>
      </c>
      <c r="L51" s="17">
        <v>60000</v>
      </c>
      <c r="M51" s="17"/>
      <c r="N51" s="17">
        <f t="shared" si="2"/>
        <v>232800</v>
      </c>
      <c r="O51" s="76" t="s">
        <v>23</v>
      </c>
      <c r="P51" s="183"/>
      <c r="Q51" s="76" t="s">
        <v>54</v>
      </c>
      <c r="R51" s="17"/>
      <c r="S51" s="17"/>
      <c r="T51" s="17"/>
      <c r="U51" s="17"/>
      <c r="V51" s="17"/>
      <c r="W51" s="17"/>
    </row>
    <row r="52" spans="1:23" s="20" customFormat="1" ht="14.25" customHeight="1">
      <c r="A52" s="880">
        <v>44470</v>
      </c>
      <c r="B52" s="76" t="s">
        <v>43</v>
      </c>
      <c r="C52" s="76" t="s">
        <v>6858</v>
      </c>
      <c r="D52" s="770" t="s">
        <v>6859</v>
      </c>
      <c r="E52" s="76" t="s">
        <v>6860</v>
      </c>
      <c r="F52" s="76" t="s">
        <v>6861</v>
      </c>
      <c r="G52" s="30">
        <v>1</v>
      </c>
      <c r="H52" s="17"/>
      <c r="I52" s="17">
        <f t="shared" si="0"/>
        <v>0</v>
      </c>
      <c r="J52" s="17"/>
      <c r="K52" s="17">
        <f t="shared" si="1"/>
        <v>0</v>
      </c>
      <c r="L52" s="17"/>
      <c r="M52" s="17"/>
      <c r="N52" s="17">
        <f t="shared" si="2"/>
        <v>0</v>
      </c>
      <c r="O52" s="76" t="s">
        <v>43</v>
      </c>
      <c r="P52" s="183"/>
      <c r="Q52" s="76" t="s">
        <v>54</v>
      </c>
      <c r="R52" s="17"/>
      <c r="S52" s="17"/>
      <c r="T52" s="17"/>
      <c r="U52" s="17"/>
      <c r="V52" s="17"/>
      <c r="W52" s="17"/>
    </row>
    <row r="53" spans="1:23" s="20" customFormat="1" ht="14.25" customHeight="1">
      <c r="A53" s="916">
        <v>44470</v>
      </c>
      <c r="B53" s="917" t="s">
        <v>43</v>
      </c>
      <c r="C53" s="917" t="s">
        <v>6862</v>
      </c>
      <c r="D53" s="918" t="s">
        <v>6863</v>
      </c>
      <c r="E53" s="919" t="s">
        <v>6864</v>
      </c>
      <c r="F53" s="919" t="s">
        <v>6865</v>
      </c>
      <c r="G53" s="920">
        <v>1</v>
      </c>
      <c r="H53" s="888">
        <v>63000</v>
      </c>
      <c r="I53" s="17">
        <f t="shared" si="0"/>
        <v>63000</v>
      </c>
      <c r="J53" s="888"/>
      <c r="K53" s="17">
        <f t="shared" si="1"/>
        <v>63000</v>
      </c>
      <c r="L53" s="888"/>
      <c r="M53" s="888">
        <v>-5834</v>
      </c>
      <c r="N53" s="17">
        <f t="shared" si="2"/>
        <v>57166</v>
      </c>
      <c r="O53" s="917" t="s">
        <v>43</v>
      </c>
      <c r="P53" s="921"/>
      <c r="Q53" s="917" t="s">
        <v>54</v>
      </c>
      <c r="R53" s="888"/>
      <c r="S53" s="888"/>
      <c r="T53" s="888"/>
      <c r="U53" s="888"/>
      <c r="V53" s="888"/>
      <c r="W53" s="888"/>
    </row>
    <row r="54" spans="1:23" s="20" customFormat="1" ht="14.25" customHeight="1">
      <c r="A54" s="916">
        <v>44470</v>
      </c>
      <c r="B54" s="917" t="s">
        <v>43</v>
      </c>
      <c r="C54" s="917" t="s">
        <v>6862</v>
      </c>
      <c r="D54" s="918" t="s">
        <v>6866</v>
      </c>
      <c r="E54" s="919" t="s">
        <v>6867</v>
      </c>
      <c r="F54" s="919" t="s">
        <v>6865</v>
      </c>
      <c r="G54" s="920">
        <v>1</v>
      </c>
      <c r="H54" s="888">
        <v>61500</v>
      </c>
      <c r="I54" s="17">
        <f t="shared" si="0"/>
        <v>61500</v>
      </c>
      <c r="J54" s="888"/>
      <c r="K54" s="17">
        <f t="shared" si="1"/>
        <v>61500</v>
      </c>
      <c r="L54" s="888"/>
      <c r="M54" s="888"/>
      <c r="N54" s="17">
        <f t="shared" si="2"/>
        <v>61500</v>
      </c>
      <c r="O54" s="917" t="s">
        <v>43</v>
      </c>
      <c r="P54" s="922"/>
      <c r="Q54" s="917" t="s">
        <v>54</v>
      </c>
      <c r="R54" s="888"/>
      <c r="S54" s="888"/>
      <c r="T54" s="888"/>
      <c r="U54" s="888"/>
      <c r="V54" s="888"/>
      <c r="W54" s="888"/>
    </row>
    <row r="55" spans="1:23" s="20" customFormat="1" ht="14.25" customHeight="1">
      <c r="A55" s="916">
        <v>44470</v>
      </c>
      <c r="B55" s="917" t="s">
        <v>206</v>
      </c>
      <c r="C55" s="923" t="s">
        <v>6868</v>
      </c>
      <c r="D55" s="918" t="s">
        <v>6869</v>
      </c>
      <c r="E55" s="917" t="s">
        <v>6870</v>
      </c>
      <c r="F55" s="917" t="s">
        <v>6871</v>
      </c>
      <c r="G55" s="920">
        <v>1</v>
      </c>
      <c r="H55" s="888">
        <v>81500</v>
      </c>
      <c r="I55" s="17">
        <f t="shared" si="0"/>
        <v>81500</v>
      </c>
      <c r="J55" s="888"/>
      <c r="K55" s="17">
        <f t="shared" si="1"/>
        <v>81500</v>
      </c>
      <c r="L55" s="888">
        <v>0</v>
      </c>
      <c r="M55" s="888"/>
      <c r="N55" s="17">
        <f t="shared" si="2"/>
        <v>81500</v>
      </c>
      <c r="O55" s="917" t="s">
        <v>206</v>
      </c>
      <c r="P55" s="922"/>
      <c r="Q55" s="917" t="s">
        <v>328</v>
      </c>
      <c r="R55" s="888"/>
      <c r="S55" s="924"/>
      <c r="T55" s="888"/>
      <c r="U55" s="888"/>
      <c r="V55" s="888"/>
      <c r="W55" s="888"/>
    </row>
    <row r="56" spans="1:23" s="20" customFormat="1" ht="14.25" customHeight="1">
      <c r="A56" s="916">
        <v>44470</v>
      </c>
      <c r="B56" s="917" t="s">
        <v>170</v>
      </c>
      <c r="C56" s="923" t="s">
        <v>6872</v>
      </c>
      <c r="D56" s="918" t="s">
        <v>6873</v>
      </c>
      <c r="E56" s="917" t="s">
        <v>213</v>
      </c>
      <c r="F56" s="917" t="s">
        <v>191</v>
      </c>
      <c r="G56" s="920">
        <v>1</v>
      </c>
      <c r="H56" s="888">
        <v>92500</v>
      </c>
      <c r="I56" s="17">
        <f t="shared" si="0"/>
        <v>92500</v>
      </c>
      <c r="J56" s="888"/>
      <c r="K56" s="17">
        <f t="shared" si="1"/>
        <v>92500</v>
      </c>
      <c r="L56" s="888">
        <v>0</v>
      </c>
      <c r="M56" s="888">
        <v>-463</v>
      </c>
      <c r="N56" s="17">
        <f t="shared" si="2"/>
        <v>92037</v>
      </c>
      <c r="O56" s="917" t="s">
        <v>170</v>
      </c>
      <c r="P56" s="922"/>
      <c r="Q56" s="917" t="s">
        <v>54</v>
      </c>
      <c r="R56" s="888"/>
      <c r="S56" s="924"/>
      <c r="T56" s="888"/>
      <c r="U56" s="888"/>
      <c r="V56" s="888"/>
      <c r="W56" s="888"/>
    </row>
    <row r="57" spans="1:23" s="20" customFormat="1" ht="14.25" customHeight="1">
      <c r="A57" s="916">
        <v>44470</v>
      </c>
      <c r="B57" s="917" t="s">
        <v>177</v>
      </c>
      <c r="C57" s="917" t="s">
        <v>6874</v>
      </c>
      <c r="D57" s="918" t="s">
        <v>6875</v>
      </c>
      <c r="E57" s="917" t="s">
        <v>6187</v>
      </c>
      <c r="F57" s="917" t="s">
        <v>6188</v>
      </c>
      <c r="G57" s="920">
        <v>1</v>
      </c>
      <c r="H57" s="888">
        <v>34000</v>
      </c>
      <c r="I57" s="17">
        <f t="shared" si="0"/>
        <v>34000</v>
      </c>
      <c r="J57" s="888"/>
      <c r="K57" s="17">
        <f t="shared" si="1"/>
        <v>34000</v>
      </c>
      <c r="L57" s="888">
        <v>9000</v>
      </c>
      <c r="M57" s="888"/>
      <c r="N57" s="17">
        <f t="shared" si="2"/>
        <v>43000</v>
      </c>
      <c r="O57" s="917" t="s">
        <v>177</v>
      </c>
      <c r="P57" s="922"/>
      <c r="Q57" s="917" t="s">
        <v>54</v>
      </c>
      <c r="R57" s="888"/>
      <c r="S57" s="888"/>
      <c r="T57" s="888"/>
      <c r="U57" s="888"/>
      <c r="V57" s="888"/>
      <c r="W57" s="888"/>
    </row>
    <row r="58" spans="1:23" s="20" customFormat="1" ht="14.25" customHeight="1">
      <c r="A58" s="916">
        <v>44470</v>
      </c>
      <c r="B58" s="917" t="s">
        <v>23</v>
      </c>
      <c r="C58" s="923" t="s">
        <v>6876</v>
      </c>
      <c r="D58" s="918" t="s">
        <v>6877</v>
      </c>
      <c r="E58" s="923" t="s">
        <v>4500</v>
      </c>
      <c r="F58" s="923" t="s">
        <v>4501</v>
      </c>
      <c r="G58" s="920">
        <v>5</v>
      </c>
      <c r="H58" s="888">
        <v>42000</v>
      </c>
      <c r="I58" s="17">
        <f t="shared" si="0"/>
        <v>210000</v>
      </c>
      <c r="J58" s="888">
        <f>I58*40%</f>
        <v>84000</v>
      </c>
      <c r="K58" s="17">
        <f t="shared" si="1"/>
        <v>126000</v>
      </c>
      <c r="L58" s="888">
        <v>30000</v>
      </c>
      <c r="M58" s="888"/>
      <c r="N58" s="17">
        <f t="shared" si="2"/>
        <v>156000</v>
      </c>
      <c r="O58" s="917" t="s">
        <v>23</v>
      </c>
      <c r="P58" s="921"/>
      <c r="Q58" s="917" t="s">
        <v>28</v>
      </c>
      <c r="R58" s="888"/>
      <c r="S58" s="888"/>
      <c r="T58" s="888"/>
      <c r="U58" s="888"/>
      <c r="V58" s="888"/>
      <c r="W58" s="888"/>
    </row>
    <row r="59" spans="1:23" s="20" customFormat="1" ht="14.25" customHeight="1">
      <c r="A59" s="916">
        <v>44470</v>
      </c>
      <c r="B59" s="917" t="s">
        <v>313</v>
      </c>
      <c r="C59" s="923" t="s">
        <v>6878</v>
      </c>
      <c r="D59" s="887" t="s">
        <v>6879</v>
      </c>
      <c r="E59" s="917" t="s">
        <v>6880</v>
      </c>
      <c r="F59" s="917" t="s">
        <v>2628</v>
      </c>
      <c r="G59" s="920">
        <v>1</v>
      </c>
      <c r="H59" s="888">
        <v>60000</v>
      </c>
      <c r="I59" s="17">
        <f t="shared" si="0"/>
        <v>60000</v>
      </c>
      <c r="J59" s="888"/>
      <c r="K59" s="17">
        <f t="shared" si="1"/>
        <v>60000</v>
      </c>
      <c r="L59" s="888">
        <v>14013</v>
      </c>
      <c r="M59" s="888"/>
      <c r="N59" s="17">
        <f t="shared" si="2"/>
        <v>74013</v>
      </c>
      <c r="O59" s="917" t="s">
        <v>313</v>
      </c>
      <c r="P59" s="921"/>
      <c r="Q59" s="917" t="s">
        <v>40</v>
      </c>
      <c r="R59" s="888"/>
      <c r="S59" s="888"/>
      <c r="T59" s="888"/>
      <c r="U59" s="888"/>
      <c r="V59" s="888"/>
      <c r="W59" s="888"/>
    </row>
    <row r="60" spans="1:23" s="20" customFormat="1" ht="14.25" customHeight="1">
      <c r="A60" s="916">
        <v>44470</v>
      </c>
      <c r="B60" s="917" t="s">
        <v>23</v>
      </c>
      <c r="C60" s="923" t="s">
        <v>6881</v>
      </c>
      <c r="D60" s="918" t="s">
        <v>6882</v>
      </c>
      <c r="E60" s="923" t="s">
        <v>6883</v>
      </c>
      <c r="F60" s="923" t="s">
        <v>3843</v>
      </c>
      <c r="G60" s="920">
        <v>1</v>
      </c>
      <c r="H60" s="888">
        <v>145000</v>
      </c>
      <c r="I60" s="17">
        <f t="shared" si="0"/>
        <v>145000</v>
      </c>
      <c r="J60" s="888"/>
      <c r="K60" s="17">
        <f t="shared" si="1"/>
        <v>145000</v>
      </c>
      <c r="L60" s="888">
        <v>17000</v>
      </c>
      <c r="M60" s="888"/>
      <c r="N60" s="17">
        <f t="shared" si="2"/>
        <v>162000</v>
      </c>
      <c r="O60" s="917" t="s">
        <v>23</v>
      </c>
      <c r="P60" s="922"/>
      <c r="Q60" s="917" t="s">
        <v>40</v>
      </c>
      <c r="R60" s="888"/>
      <c r="S60" s="888"/>
      <c r="T60" s="888"/>
      <c r="U60" s="888"/>
      <c r="V60" s="888"/>
      <c r="W60" s="888"/>
    </row>
    <row r="61" spans="1:23" s="20" customFormat="1" ht="14.25" customHeight="1">
      <c r="A61" s="916">
        <v>44470</v>
      </c>
      <c r="B61" s="917" t="s">
        <v>313</v>
      </c>
      <c r="C61" s="923" t="s">
        <v>6884</v>
      </c>
      <c r="D61" s="918" t="s">
        <v>9441</v>
      </c>
      <c r="E61" s="917" t="s">
        <v>5677</v>
      </c>
      <c r="F61" s="917" t="s">
        <v>5678</v>
      </c>
      <c r="G61" s="920">
        <v>1</v>
      </c>
      <c r="H61" s="888">
        <v>98000</v>
      </c>
      <c r="I61" s="17">
        <f t="shared" si="0"/>
        <v>98000</v>
      </c>
      <c r="J61" s="888"/>
      <c r="K61" s="17">
        <f t="shared" si="1"/>
        <v>98000</v>
      </c>
      <c r="L61" s="888">
        <v>17019</v>
      </c>
      <c r="M61" s="888"/>
      <c r="N61" s="17">
        <f t="shared" si="2"/>
        <v>115019</v>
      </c>
      <c r="O61" s="917" t="s">
        <v>313</v>
      </c>
      <c r="P61" s="922"/>
      <c r="Q61" s="917" t="s">
        <v>40</v>
      </c>
      <c r="R61" s="888"/>
      <c r="S61" s="924"/>
      <c r="T61" s="888"/>
      <c r="U61" s="888"/>
      <c r="V61" s="888"/>
      <c r="W61" s="888"/>
    </row>
    <row r="62" spans="1:23" s="20" customFormat="1" ht="14.25" customHeight="1">
      <c r="A62" s="916">
        <v>44470</v>
      </c>
      <c r="B62" s="917" t="s">
        <v>23</v>
      </c>
      <c r="C62" s="917" t="s">
        <v>6885</v>
      </c>
      <c r="D62" s="918" t="s">
        <v>31</v>
      </c>
      <c r="E62" s="917" t="s">
        <v>4225</v>
      </c>
      <c r="F62" s="917" t="s">
        <v>4226</v>
      </c>
      <c r="G62" s="920">
        <v>1</v>
      </c>
      <c r="H62" s="888">
        <v>126000</v>
      </c>
      <c r="I62" s="17">
        <f t="shared" si="0"/>
        <v>126000</v>
      </c>
      <c r="J62" s="888"/>
      <c r="K62" s="17">
        <f t="shared" si="1"/>
        <v>126000</v>
      </c>
      <c r="L62" s="888"/>
      <c r="M62" s="888"/>
      <c r="N62" s="17">
        <f t="shared" si="2"/>
        <v>126000</v>
      </c>
      <c r="O62" s="917" t="s">
        <v>23</v>
      </c>
      <c r="P62" s="922"/>
      <c r="Q62" s="917" t="s">
        <v>283</v>
      </c>
      <c r="R62" s="888"/>
      <c r="S62" s="888"/>
      <c r="T62" s="888"/>
      <c r="U62" s="888"/>
      <c r="V62" s="888"/>
      <c r="W62" s="888"/>
    </row>
    <row r="63" spans="1:23" s="20" customFormat="1" ht="14.25" customHeight="1">
      <c r="A63" s="916">
        <v>44470</v>
      </c>
      <c r="B63" s="917" t="s">
        <v>23</v>
      </c>
      <c r="C63" s="917" t="s">
        <v>6886</v>
      </c>
      <c r="D63" s="918" t="s">
        <v>6887</v>
      </c>
      <c r="E63" s="923" t="s">
        <v>5349</v>
      </c>
      <c r="F63" s="923" t="s">
        <v>5350</v>
      </c>
      <c r="G63" s="920">
        <v>1</v>
      </c>
      <c r="H63" s="888">
        <v>124000</v>
      </c>
      <c r="I63" s="17">
        <f t="shared" si="0"/>
        <v>124000</v>
      </c>
      <c r="J63" s="888"/>
      <c r="K63" s="17">
        <f t="shared" si="1"/>
        <v>124000</v>
      </c>
      <c r="L63" s="888">
        <v>16000</v>
      </c>
      <c r="M63" s="888"/>
      <c r="N63" s="17">
        <f t="shared" si="2"/>
        <v>140000</v>
      </c>
      <c r="O63" s="917" t="s">
        <v>23</v>
      </c>
      <c r="P63" s="922"/>
      <c r="Q63" s="917" t="s">
        <v>40</v>
      </c>
      <c r="R63" s="888"/>
      <c r="S63" s="888"/>
      <c r="T63" s="888"/>
      <c r="U63" s="888"/>
      <c r="V63" s="888"/>
      <c r="W63" s="888"/>
    </row>
    <row r="64" spans="1:23" s="20" customFormat="1" ht="14.25" customHeight="1">
      <c r="A64" s="916">
        <v>44470</v>
      </c>
      <c r="B64" s="917" t="s">
        <v>23</v>
      </c>
      <c r="C64" s="917" t="s">
        <v>6888</v>
      </c>
      <c r="D64" s="918" t="s">
        <v>6889</v>
      </c>
      <c r="E64" s="923" t="s">
        <v>5349</v>
      </c>
      <c r="F64" s="923" t="s">
        <v>5350</v>
      </c>
      <c r="G64" s="920">
        <v>1</v>
      </c>
      <c r="H64" s="888">
        <v>124000</v>
      </c>
      <c r="I64" s="17">
        <f t="shared" si="0"/>
        <v>124000</v>
      </c>
      <c r="J64" s="888"/>
      <c r="K64" s="17">
        <f t="shared" si="1"/>
        <v>124000</v>
      </c>
      <c r="L64" s="888">
        <v>19000</v>
      </c>
      <c r="M64" s="888"/>
      <c r="N64" s="17">
        <f t="shared" si="2"/>
        <v>143000</v>
      </c>
      <c r="O64" s="917" t="s">
        <v>23</v>
      </c>
      <c r="P64" s="922"/>
      <c r="Q64" s="917" t="s">
        <v>54</v>
      </c>
      <c r="R64" s="888"/>
      <c r="S64" s="888"/>
      <c r="T64" s="888"/>
      <c r="U64" s="888"/>
      <c r="V64" s="888"/>
      <c r="W64" s="888"/>
    </row>
    <row r="65" spans="1:23" s="20" customFormat="1" ht="14.25" customHeight="1">
      <c r="A65" s="880">
        <v>44473</v>
      </c>
      <c r="B65" s="76" t="s">
        <v>43</v>
      </c>
      <c r="C65" s="739" t="s">
        <v>6890</v>
      </c>
      <c r="D65" s="887" t="s">
        <v>6891</v>
      </c>
      <c r="E65" s="781" t="s">
        <v>2278</v>
      </c>
      <c r="F65" s="781" t="s">
        <v>5157</v>
      </c>
      <c r="G65" s="30">
        <v>1</v>
      </c>
      <c r="H65" s="888">
        <v>122000</v>
      </c>
      <c r="I65" s="17">
        <f t="shared" si="0"/>
        <v>122000</v>
      </c>
      <c r="J65" s="17"/>
      <c r="K65" s="17">
        <f t="shared" si="1"/>
        <v>122000</v>
      </c>
      <c r="L65" s="17"/>
      <c r="M65" s="17">
        <v>-36092</v>
      </c>
      <c r="N65" s="17">
        <f t="shared" si="2"/>
        <v>85908</v>
      </c>
      <c r="O65" s="76" t="s">
        <v>43</v>
      </c>
      <c r="P65" s="72"/>
      <c r="Q65" s="76" t="s">
        <v>176</v>
      </c>
      <c r="R65" s="17"/>
      <c r="S65" s="17"/>
      <c r="T65" s="17"/>
      <c r="U65" s="17"/>
      <c r="V65" s="17"/>
      <c r="W65" s="17"/>
    </row>
    <row r="66" spans="1:23" s="20" customFormat="1" ht="14.25" customHeight="1">
      <c r="A66" s="880">
        <v>44473</v>
      </c>
      <c r="B66" s="76" t="s">
        <v>43</v>
      </c>
      <c r="C66" s="739" t="s">
        <v>6890</v>
      </c>
      <c r="D66" s="887" t="s">
        <v>6892</v>
      </c>
      <c r="E66" s="781" t="s">
        <v>2385</v>
      </c>
      <c r="F66" s="781" t="s">
        <v>2386</v>
      </c>
      <c r="G66" s="30">
        <v>1</v>
      </c>
      <c r="H66" s="888">
        <v>84500</v>
      </c>
      <c r="I66" s="17">
        <f t="shared" si="0"/>
        <v>84500</v>
      </c>
      <c r="J66" s="17"/>
      <c r="K66" s="17">
        <f t="shared" si="1"/>
        <v>84500</v>
      </c>
      <c r="L66" s="17"/>
      <c r="M66" s="17"/>
      <c r="N66" s="17">
        <f t="shared" si="2"/>
        <v>84500</v>
      </c>
      <c r="O66" s="76" t="s">
        <v>43</v>
      </c>
      <c r="P66" s="72"/>
      <c r="Q66" s="76" t="s">
        <v>176</v>
      </c>
      <c r="R66" s="17"/>
      <c r="S66" s="17"/>
      <c r="T66" s="17"/>
      <c r="U66" s="17"/>
      <c r="V66" s="17"/>
      <c r="W66" s="17"/>
    </row>
    <row r="67" spans="1:23" s="20" customFormat="1" ht="14.25" customHeight="1">
      <c r="A67" s="880">
        <v>44473</v>
      </c>
      <c r="B67" s="76" t="s">
        <v>43</v>
      </c>
      <c r="C67" s="739" t="s">
        <v>6890</v>
      </c>
      <c r="D67" s="887" t="s">
        <v>6893</v>
      </c>
      <c r="E67" s="781" t="s">
        <v>6894</v>
      </c>
      <c r="F67" s="781" t="s">
        <v>6895</v>
      </c>
      <c r="G67" s="30">
        <v>1</v>
      </c>
      <c r="H67" s="888">
        <v>74500</v>
      </c>
      <c r="I67" s="17">
        <f t="shared" ref="I67:I130" si="4">H67*G67</f>
        <v>74500</v>
      </c>
      <c r="J67" s="17"/>
      <c r="K67" s="17">
        <f t="shared" ref="K67:K130" si="5">I67-J67</f>
        <v>74500</v>
      </c>
      <c r="L67" s="17"/>
      <c r="M67" s="17"/>
      <c r="N67" s="17">
        <f t="shared" ref="N67:N130" si="6">K67+L67+M67</f>
        <v>74500</v>
      </c>
      <c r="O67" s="76" t="s">
        <v>43</v>
      </c>
      <c r="P67" s="72"/>
      <c r="Q67" s="76" t="s">
        <v>176</v>
      </c>
      <c r="R67" s="17"/>
      <c r="S67" s="17"/>
      <c r="T67" s="17"/>
      <c r="U67" s="17"/>
      <c r="V67" s="17"/>
      <c r="W67" s="17"/>
    </row>
    <row r="68" spans="1:23" s="20" customFormat="1" ht="14.25" customHeight="1">
      <c r="A68" s="880">
        <v>44473</v>
      </c>
      <c r="B68" s="76" t="s">
        <v>43</v>
      </c>
      <c r="C68" s="739" t="s">
        <v>6890</v>
      </c>
      <c r="D68" s="887" t="s">
        <v>6896</v>
      </c>
      <c r="E68" s="781" t="s">
        <v>6897</v>
      </c>
      <c r="F68" s="781" t="s">
        <v>6898</v>
      </c>
      <c r="G68" s="30">
        <v>1</v>
      </c>
      <c r="H68" s="888">
        <v>77000</v>
      </c>
      <c r="I68" s="17">
        <f t="shared" si="4"/>
        <v>77000</v>
      </c>
      <c r="J68" s="17"/>
      <c r="K68" s="17">
        <f t="shared" si="5"/>
        <v>77000</v>
      </c>
      <c r="L68" s="17"/>
      <c r="M68" s="17"/>
      <c r="N68" s="17">
        <f t="shared" si="6"/>
        <v>77000</v>
      </c>
      <c r="O68" s="76" t="s">
        <v>43</v>
      </c>
      <c r="P68" s="72"/>
      <c r="Q68" s="76" t="s">
        <v>176</v>
      </c>
      <c r="R68" s="17"/>
      <c r="S68" s="17"/>
      <c r="T68" s="17"/>
      <c r="U68" s="17"/>
      <c r="V68" s="17"/>
      <c r="W68" s="17"/>
    </row>
    <row r="69" spans="1:23" s="20" customFormat="1">
      <c r="A69" s="880">
        <v>44473</v>
      </c>
      <c r="B69" s="76" t="s">
        <v>43</v>
      </c>
      <c r="C69" s="739" t="s">
        <v>6890</v>
      </c>
      <c r="D69" s="887" t="s">
        <v>6899</v>
      </c>
      <c r="E69" s="781" t="s">
        <v>6900</v>
      </c>
      <c r="F69" s="781" t="s">
        <v>4514</v>
      </c>
      <c r="G69" s="30">
        <v>1</v>
      </c>
      <c r="H69" s="888">
        <v>89500</v>
      </c>
      <c r="I69" s="17">
        <f t="shared" si="4"/>
        <v>89500</v>
      </c>
      <c r="J69" s="17"/>
      <c r="K69" s="17">
        <f t="shared" si="5"/>
        <v>89500</v>
      </c>
      <c r="L69" s="17"/>
      <c r="M69" s="17"/>
      <c r="N69" s="17">
        <f t="shared" si="6"/>
        <v>89500</v>
      </c>
      <c r="O69" s="76" t="s">
        <v>43</v>
      </c>
      <c r="P69" s="72"/>
      <c r="Q69" s="76" t="s">
        <v>176</v>
      </c>
      <c r="R69" s="17"/>
      <c r="S69" s="17"/>
      <c r="T69" s="17"/>
      <c r="U69" s="17"/>
      <c r="V69" s="17"/>
      <c r="W69" s="17"/>
    </row>
    <row r="70" spans="1:23" s="20" customFormat="1">
      <c r="A70" s="880">
        <v>44473</v>
      </c>
      <c r="B70" s="76" t="s">
        <v>43</v>
      </c>
      <c r="C70" s="739" t="s">
        <v>6890</v>
      </c>
      <c r="D70" s="887" t="s">
        <v>6901</v>
      </c>
      <c r="E70" s="781" t="s">
        <v>6902</v>
      </c>
      <c r="F70" s="781" t="s">
        <v>6903</v>
      </c>
      <c r="G70" s="30">
        <v>1</v>
      </c>
      <c r="H70" s="888">
        <v>109500</v>
      </c>
      <c r="I70" s="17">
        <f t="shared" si="4"/>
        <v>109500</v>
      </c>
      <c r="J70" s="17"/>
      <c r="K70" s="17">
        <f t="shared" si="5"/>
        <v>109500</v>
      </c>
      <c r="L70" s="17"/>
      <c r="M70" s="17"/>
      <c r="N70" s="17">
        <f t="shared" si="6"/>
        <v>109500</v>
      </c>
      <c r="O70" s="76" t="s">
        <v>43</v>
      </c>
      <c r="P70" s="72"/>
      <c r="Q70" s="76" t="s">
        <v>176</v>
      </c>
      <c r="R70" s="17"/>
      <c r="S70" s="13"/>
      <c r="T70" s="17"/>
      <c r="U70" s="17"/>
      <c r="V70" s="17"/>
      <c r="W70" s="17"/>
    </row>
    <row r="71" spans="1:23" s="20" customFormat="1">
      <c r="A71" s="880">
        <v>44473</v>
      </c>
      <c r="B71" s="76" t="s">
        <v>43</v>
      </c>
      <c r="C71" s="739" t="s">
        <v>6890</v>
      </c>
      <c r="D71" s="887" t="s">
        <v>6904</v>
      </c>
      <c r="E71" s="781" t="s">
        <v>3755</v>
      </c>
      <c r="F71" s="781" t="s">
        <v>3756</v>
      </c>
      <c r="G71" s="30">
        <v>1</v>
      </c>
      <c r="H71" s="888">
        <v>87500</v>
      </c>
      <c r="I71" s="17">
        <f t="shared" si="4"/>
        <v>87500</v>
      </c>
      <c r="J71" s="17"/>
      <c r="K71" s="17">
        <f t="shared" si="5"/>
        <v>87500</v>
      </c>
      <c r="L71" s="17"/>
      <c r="M71" s="17"/>
      <c r="N71" s="17">
        <f t="shared" si="6"/>
        <v>87500</v>
      </c>
      <c r="O71" s="76" t="s">
        <v>43</v>
      </c>
      <c r="P71" s="183"/>
      <c r="Q71" s="76" t="s">
        <v>176</v>
      </c>
      <c r="R71" s="17"/>
      <c r="S71" s="17"/>
      <c r="T71" s="17"/>
      <c r="U71" s="17"/>
      <c r="V71" s="17"/>
      <c r="W71" s="17"/>
    </row>
    <row r="72" spans="1:23" s="20" customFormat="1">
      <c r="A72" s="880">
        <v>44473</v>
      </c>
      <c r="B72" s="76" t="s">
        <v>43</v>
      </c>
      <c r="C72" s="76" t="s">
        <v>6905</v>
      </c>
      <c r="D72" s="887" t="s">
        <v>6906</v>
      </c>
      <c r="E72" s="76" t="s">
        <v>1889</v>
      </c>
      <c r="F72" s="76" t="s">
        <v>1890</v>
      </c>
      <c r="G72" s="30">
        <v>1</v>
      </c>
      <c r="H72" s="888">
        <v>155000</v>
      </c>
      <c r="I72" s="17">
        <f t="shared" si="4"/>
        <v>155000</v>
      </c>
      <c r="J72" s="17"/>
      <c r="K72" s="17">
        <f t="shared" si="5"/>
        <v>155000</v>
      </c>
      <c r="L72" s="17"/>
      <c r="M72" s="17">
        <v>-8680</v>
      </c>
      <c r="N72" s="17">
        <f t="shared" si="6"/>
        <v>146320</v>
      </c>
      <c r="O72" s="76" t="s">
        <v>43</v>
      </c>
      <c r="P72" s="183"/>
      <c r="Q72" s="76" t="s">
        <v>176</v>
      </c>
      <c r="R72" s="17"/>
      <c r="S72" s="17"/>
      <c r="T72" s="17"/>
      <c r="U72" s="17"/>
      <c r="V72" s="17"/>
      <c r="W72" s="17"/>
    </row>
    <row r="73" spans="1:23" s="20" customFormat="1">
      <c r="A73" s="880">
        <v>44473</v>
      </c>
      <c r="B73" s="76" t="s">
        <v>43</v>
      </c>
      <c r="C73" s="76" t="s">
        <v>6708</v>
      </c>
      <c r="D73" s="887" t="s">
        <v>6907</v>
      </c>
      <c r="E73" s="76" t="s">
        <v>6908</v>
      </c>
      <c r="F73" s="76" t="s">
        <v>6909</v>
      </c>
      <c r="G73" s="30">
        <v>1</v>
      </c>
      <c r="H73" s="888">
        <v>76500</v>
      </c>
      <c r="I73" s="17">
        <f t="shared" si="4"/>
        <v>76500</v>
      </c>
      <c r="J73" s="17"/>
      <c r="K73" s="17">
        <f t="shared" si="5"/>
        <v>76500</v>
      </c>
      <c r="L73" s="17"/>
      <c r="M73" s="17">
        <v>-4284</v>
      </c>
      <c r="N73" s="17">
        <f t="shared" si="6"/>
        <v>72216</v>
      </c>
      <c r="O73" s="76" t="s">
        <v>43</v>
      </c>
      <c r="P73" s="183"/>
      <c r="Q73" s="76" t="s">
        <v>176</v>
      </c>
      <c r="R73" s="17"/>
      <c r="S73" s="17"/>
      <c r="T73" s="17"/>
      <c r="U73" s="17"/>
      <c r="V73" s="17"/>
      <c r="W73" s="17"/>
    </row>
    <row r="74" spans="1:23" s="20" customFormat="1">
      <c r="A74" s="880">
        <v>44473</v>
      </c>
      <c r="B74" s="76" t="s">
        <v>43</v>
      </c>
      <c r="C74" s="739" t="s">
        <v>6910</v>
      </c>
      <c r="D74" s="887" t="s">
        <v>6911</v>
      </c>
      <c r="E74" s="875" t="s">
        <v>6912</v>
      </c>
      <c r="F74" s="875" t="s">
        <v>905</v>
      </c>
      <c r="G74" s="30">
        <v>1</v>
      </c>
      <c r="H74" s="888">
        <v>130000</v>
      </c>
      <c r="I74" s="17">
        <f t="shared" si="4"/>
        <v>130000</v>
      </c>
      <c r="J74" s="17"/>
      <c r="K74" s="17">
        <f t="shared" si="5"/>
        <v>130000</v>
      </c>
      <c r="L74" s="17"/>
      <c r="M74" s="17">
        <v>-14224</v>
      </c>
      <c r="N74" s="17">
        <f t="shared" si="6"/>
        <v>115776</v>
      </c>
      <c r="O74" s="76" t="s">
        <v>43</v>
      </c>
      <c r="P74" s="183"/>
      <c r="Q74" s="76" t="s">
        <v>176</v>
      </c>
      <c r="R74" s="17"/>
      <c r="S74" s="17"/>
      <c r="T74" s="17"/>
      <c r="U74" s="17"/>
      <c r="V74" s="17"/>
      <c r="W74" s="17"/>
    </row>
    <row r="75" spans="1:23" s="20" customFormat="1">
      <c r="A75" s="880">
        <v>44473</v>
      </c>
      <c r="B75" s="76" t="s">
        <v>43</v>
      </c>
      <c r="C75" s="739" t="s">
        <v>6910</v>
      </c>
      <c r="D75" s="887" t="s">
        <v>6913</v>
      </c>
      <c r="E75" s="759" t="s">
        <v>5349</v>
      </c>
      <c r="F75" s="759" t="s">
        <v>5350</v>
      </c>
      <c r="G75" s="889">
        <v>1</v>
      </c>
      <c r="H75" s="888">
        <v>124000</v>
      </c>
      <c r="I75" s="17">
        <f t="shared" si="4"/>
        <v>124000</v>
      </c>
      <c r="J75" s="17"/>
      <c r="K75" s="17">
        <f t="shared" si="5"/>
        <v>124000</v>
      </c>
      <c r="L75" s="17"/>
      <c r="M75" s="17"/>
      <c r="N75" s="17">
        <f t="shared" si="6"/>
        <v>124000</v>
      </c>
      <c r="O75" s="76" t="s">
        <v>43</v>
      </c>
      <c r="P75" s="183"/>
      <c r="Q75" s="76" t="s">
        <v>176</v>
      </c>
      <c r="R75" s="17"/>
      <c r="S75" s="17"/>
      <c r="T75" s="17"/>
      <c r="U75" s="17"/>
      <c r="V75" s="17"/>
      <c r="W75" s="17"/>
    </row>
    <row r="76" spans="1:23" s="20" customFormat="1">
      <c r="A76" s="880">
        <v>44473</v>
      </c>
      <c r="B76" s="76" t="s">
        <v>43</v>
      </c>
      <c r="C76" s="76" t="s">
        <v>6914</v>
      </c>
      <c r="D76" s="887" t="s">
        <v>6915</v>
      </c>
      <c r="E76" s="739" t="s">
        <v>1648</v>
      </c>
      <c r="F76" s="739" t="s">
        <v>1649</v>
      </c>
      <c r="G76" s="30">
        <v>1</v>
      </c>
      <c r="H76" s="888">
        <v>145000</v>
      </c>
      <c r="I76" s="17">
        <f t="shared" si="4"/>
        <v>145000</v>
      </c>
      <c r="J76" s="17"/>
      <c r="K76" s="17">
        <f t="shared" si="5"/>
        <v>145000</v>
      </c>
      <c r="L76" s="17"/>
      <c r="M76" s="17">
        <v>-8120</v>
      </c>
      <c r="N76" s="17">
        <f t="shared" si="6"/>
        <v>136880</v>
      </c>
      <c r="O76" s="76" t="s">
        <v>43</v>
      </c>
      <c r="P76" s="72"/>
      <c r="Q76" s="76" t="s">
        <v>54</v>
      </c>
      <c r="R76" s="17"/>
      <c r="S76" s="17"/>
      <c r="T76" s="17"/>
      <c r="U76" s="17"/>
      <c r="V76" s="17"/>
      <c r="W76" s="17"/>
    </row>
    <row r="77" spans="1:23" s="29" customFormat="1">
      <c r="A77" s="880">
        <v>44473</v>
      </c>
      <c r="B77" s="76" t="s">
        <v>43</v>
      </c>
      <c r="C77" s="739" t="s">
        <v>6916</v>
      </c>
      <c r="D77" s="887" t="s">
        <v>6917</v>
      </c>
      <c r="E77" s="739" t="s">
        <v>6918</v>
      </c>
      <c r="F77" s="739" t="s">
        <v>6919</v>
      </c>
      <c r="G77" s="30">
        <v>1</v>
      </c>
      <c r="H77" s="888">
        <v>121000</v>
      </c>
      <c r="I77" s="17">
        <f t="shared" si="4"/>
        <v>121000</v>
      </c>
      <c r="J77" s="92"/>
      <c r="K77" s="17">
        <f t="shared" si="5"/>
        <v>121000</v>
      </c>
      <c r="L77" s="92"/>
      <c r="M77" s="92">
        <v>-6776</v>
      </c>
      <c r="N77" s="17">
        <f t="shared" si="6"/>
        <v>114224</v>
      </c>
      <c r="O77" s="76" t="s">
        <v>43</v>
      </c>
      <c r="P77" s="72"/>
      <c r="Q77" s="76" t="s">
        <v>176</v>
      </c>
      <c r="R77" s="92"/>
      <c r="S77" s="92"/>
      <c r="T77" s="92"/>
      <c r="U77" s="92"/>
      <c r="V77" s="92"/>
      <c r="W77" s="92"/>
    </row>
    <row r="78" spans="1:23" s="20" customFormat="1">
      <c r="A78" s="880">
        <v>44473</v>
      </c>
      <c r="B78" s="76" t="s">
        <v>206</v>
      </c>
      <c r="C78" s="76" t="s">
        <v>6920</v>
      </c>
      <c r="D78" s="29" t="s">
        <v>6921</v>
      </c>
      <c r="E78" s="76" t="s">
        <v>773</v>
      </c>
      <c r="F78" s="76" t="s">
        <v>774</v>
      </c>
      <c r="G78" s="30">
        <v>1</v>
      </c>
      <c r="H78" s="888">
        <v>96000</v>
      </c>
      <c r="I78" s="17">
        <f t="shared" si="4"/>
        <v>96000</v>
      </c>
      <c r="J78" s="17"/>
      <c r="K78" s="17">
        <f t="shared" si="5"/>
        <v>96000</v>
      </c>
      <c r="L78" s="17">
        <f>17500-17000</f>
        <v>500</v>
      </c>
      <c r="M78" s="17"/>
      <c r="N78" s="17">
        <f t="shared" si="6"/>
        <v>96500</v>
      </c>
      <c r="O78" s="76" t="s">
        <v>206</v>
      </c>
      <c r="P78" s="183"/>
      <c r="Q78" s="76" t="s">
        <v>328</v>
      </c>
      <c r="R78" s="17"/>
      <c r="S78" s="17"/>
      <c r="T78" s="17"/>
      <c r="U78" s="17"/>
      <c r="V78" s="17"/>
      <c r="W78" s="17"/>
    </row>
    <row r="79" spans="1:23" s="20" customFormat="1">
      <c r="A79" s="880">
        <v>44473</v>
      </c>
      <c r="B79" s="76" t="s">
        <v>206</v>
      </c>
      <c r="C79" s="739" t="s">
        <v>6922</v>
      </c>
      <c r="D79" s="29" t="s">
        <v>6923</v>
      </c>
      <c r="E79" s="739" t="s">
        <v>6924</v>
      </c>
      <c r="F79" s="739" t="s">
        <v>6925</v>
      </c>
      <c r="G79" s="30">
        <v>1</v>
      </c>
      <c r="H79" s="888">
        <v>101500</v>
      </c>
      <c r="I79" s="17">
        <f t="shared" si="4"/>
        <v>101500</v>
      </c>
      <c r="J79" s="17">
        <v>10000</v>
      </c>
      <c r="K79" s="17">
        <f t="shared" si="5"/>
        <v>91500</v>
      </c>
      <c r="L79" s="17">
        <f>16500-16000</f>
        <v>500</v>
      </c>
      <c r="M79" s="17"/>
      <c r="N79" s="17">
        <f t="shared" si="6"/>
        <v>92000</v>
      </c>
      <c r="O79" s="76" t="s">
        <v>206</v>
      </c>
      <c r="P79" s="72"/>
      <c r="Q79" s="76" t="s">
        <v>328</v>
      </c>
      <c r="R79" s="17"/>
      <c r="S79" s="17"/>
      <c r="T79" s="17"/>
      <c r="U79" s="17"/>
      <c r="V79" s="17"/>
      <c r="W79" s="17"/>
    </row>
    <row r="80" spans="1:23" s="20" customFormat="1">
      <c r="A80" s="880">
        <v>44473</v>
      </c>
      <c r="B80" s="76" t="s">
        <v>177</v>
      </c>
      <c r="C80" s="739" t="s">
        <v>6926</v>
      </c>
      <c r="D80" s="887" t="s">
        <v>6927</v>
      </c>
      <c r="E80" s="76" t="s">
        <v>5448</v>
      </c>
      <c r="F80" s="76" t="s">
        <v>72</v>
      </c>
      <c r="G80" s="30">
        <v>1</v>
      </c>
      <c r="H80" s="888">
        <v>117000</v>
      </c>
      <c r="I80" s="17">
        <f t="shared" si="4"/>
        <v>117000</v>
      </c>
      <c r="J80" s="17"/>
      <c r="K80" s="17">
        <f t="shared" si="5"/>
        <v>117000</v>
      </c>
      <c r="L80" s="17">
        <v>8000</v>
      </c>
      <c r="M80" s="17"/>
      <c r="N80" s="17">
        <f t="shared" si="6"/>
        <v>125000</v>
      </c>
      <c r="O80" s="76" t="s">
        <v>177</v>
      </c>
      <c r="P80" s="183"/>
      <c r="Q80" s="76" t="s">
        <v>54</v>
      </c>
      <c r="R80" s="17"/>
      <c r="S80" s="17"/>
      <c r="T80" s="17"/>
      <c r="U80" s="17"/>
      <c r="V80" s="17"/>
      <c r="W80" s="17"/>
    </row>
    <row r="81" spans="1:23" s="20" customFormat="1">
      <c r="A81" s="880">
        <v>44473</v>
      </c>
      <c r="B81" s="76" t="s">
        <v>177</v>
      </c>
      <c r="C81" s="76" t="s">
        <v>6928</v>
      </c>
      <c r="D81" s="887" t="s">
        <v>6929</v>
      </c>
      <c r="E81" s="76" t="s">
        <v>6930</v>
      </c>
      <c r="F81" s="76" t="s">
        <v>6931</v>
      </c>
      <c r="G81" s="30">
        <v>1</v>
      </c>
      <c r="H81" s="888">
        <v>77000</v>
      </c>
      <c r="I81" s="17">
        <f t="shared" si="4"/>
        <v>77000</v>
      </c>
      <c r="J81" s="17"/>
      <c r="K81" s="17">
        <f t="shared" si="5"/>
        <v>77000</v>
      </c>
      <c r="L81" s="17">
        <v>9000</v>
      </c>
      <c r="M81" s="17"/>
      <c r="N81" s="17">
        <f t="shared" si="6"/>
        <v>86000</v>
      </c>
      <c r="O81" s="76" t="s">
        <v>177</v>
      </c>
      <c r="P81" s="183"/>
      <c r="Q81" s="76" t="s">
        <v>54</v>
      </c>
      <c r="R81" s="17"/>
      <c r="S81" s="17"/>
      <c r="T81" s="17"/>
      <c r="U81" s="17"/>
      <c r="V81" s="17"/>
      <c r="W81" s="17"/>
    </row>
    <row r="82" spans="1:23" s="20" customFormat="1">
      <c r="A82" s="880">
        <v>44473</v>
      </c>
      <c r="B82" s="10" t="s">
        <v>23</v>
      </c>
      <c r="C82" s="10" t="s">
        <v>431</v>
      </c>
      <c r="D82" s="887" t="s">
        <v>31</v>
      </c>
      <c r="E82" s="767" t="s">
        <v>3881</v>
      </c>
      <c r="F82" s="767" t="s">
        <v>3882</v>
      </c>
      <c r="G82" s="890">
        <v>1</v>
      </c>
      <c r="H82" s="888">
        <v>59000</v>
      </c>
      <c r="I82" s="17">
        <f t="shared" si="4"/>
        <v>59000</v>
      </c>
      <c r="J82" s="17">
        <f>I82*25%</f>
        <v>14750</v>
      </c>
      <c r="K82" s="17">
        <f t="shared" si="5"/>
        <v>44250</v>
      </c>
      <c r="L82" s="17"/>
      <c r="M82" s="17"/>
      <c r="N82" s="17">
        <f t="shared" si="6"/>
        <v>44250</v>
      </c>
      <c r="O82" s="10" t="s">
        <v>23</v>
      </c>
      <c r="P82" s="72"/>
      <c r="Q82" s="10" t="s">
        <v>35</v>
      </c>
      <c r="R82" s="17"/>
      <c r="S82" s="17"/>
      <c r="T82" s="17"/>
      <c r="U82" s="17"/>
      <c r="V82" s="17"/>
      <c r="W82" s="17"/>
    </row>
    <row r="83" spans="1:23" s="20" customFormat="1">
      <c r="A83" s="880">
        <v>44473</v>
      </c>
      <c r="B83" s="10" t="s">
        <v>23</v>
      </c>
      <c r="C83" s="10" t="s">
        <v>431</v>
      </c>
      <c r="D83" s="887" t="s">
        <v>31</v>
      </c>
      <c r="E83" s="767" t="s">
        <v>5617</v>
      </c>
      <c r="F83" s="767" t="s">
        <v>5618</v>
      </c>
      <c r="G83" s="30">
        <v>1</v>
      </c>
      <c r="H83" s="888">
        <v>90000</v>
      </c>
      <c r="I83" s="17">
        <f t="shared" si="4"/>
        <v>90000</v>
      </c>
      <c r="J83" s="17">
        <f>I83*25%+40000</f>
        <v>62500</v>
      </c>
      <c r="K83" s="17">
        <f t="shared" si="5"/>
        <v>27500</v>
      </c>
      <c r="L83" s="17"/>
      <c r="M83" s="17"/>
      <c r="N83" s="17">
        <f t="shared" si="6"/>
        <v>27500</v>
      </c>
      <c r="O83" s="10" t="s">
        <v>23</v>
      </c>
      <c r="P83" s="72"/>
      <c r="Q83" s="10" t="s">
        <v>35</v>
      </c>
      <c r="R83" s="17"/>
      <c r="S83" s="17"/>
      <c r="T83" s="17"/>
      <c r="U83" s="17"/>
      <c r="V83" s="17"/>
      <c r="W83" s="17"/>
    </row>
    <row r="84" spans="1:23" s="20" customFormat="1">
      <c r="A84" s="880">
        <v>44473</v>
      </c>
      <c r="B84" s="10" t="s">
        <v>23</v>
      </c>
      <c r="C84" s="10" t="s">
        <v>431</v>
      </c>
      <c r="D84" s="887" t="s">
        <v>31</v>
      </c>
      <c r="E84" s="767" t="s">
        <v>5420</v>
      </c>
      <c r="F84" s="767" t="s">
        <v>5421</v>
      </c>
      <c r="G84" s="30">
        <v>1</v>
      </c>
      <c r="H84" s="888">
        <v>83000</v>
      </c>
      <c r="I84" s="17">
        <f t="shared" si="4"/>
        <v>83000</v>
      </c>
      <c r="J84" s="17">
        <f t="shared" ref="J84:J93" si="7">I84*25%</f>
        <v>20750</v>
      </c>
      <c r="K84" s="17">
        <f t="shared" si="5"/>
        <v>62250</v>
      </c>
      <c r="L84" s="17"/>
      <c r="M84" s="17"/>
      <c r="N84" s="17">
        <f t="shared" si="6"/>
        <v>62250</v>
      </c>
      <c r="O84" s="10" t="s">
        <v>23</v>
      </c>
      <c r="P84" s="72"/>
      <c r="Q84" s="10" t="s">
        <v>35</v>
      </c>
      <c r="R84" s="17"/>
      <c r="S84" s="17"/>
      <c r="T84" s="17"/>
      <c r="U84" s="17"/>
      <c r="V84" s="17"/>
      <c r="W84" s="17"/>
    </row>
    <row r="85" spans="1:23" s="20" customFormat="1">
      <c r="A85" s="880">
        <v>44473</v>
      </c>
      <c r="B85" s="10" t="s">
        <v>23</v>
      </c>
      <c r="C85" s="10" t="s">
        <v>431</v>
      </c>
      <c r="D85" s="887" t="s">
        <v>31</v>
      </c>
      <c r="E85" s="767" t="s">
        <v>3348</v>
      </c>
      <c r="F85" s="767" t="s">
        <v>3349</v>
      </c>
      <c r="G85" s="30">
        <v>1</v>
      </c>
      <c r="H85" s="888">
        <v>88000</v>
      </c>
      <c r="I85" s="17">
        <f t="shared" si="4"/>
        <v>88000</v>
      </c>
      <c r="J85" s="17">
        <f t="shared" si="7"/>
        <v>22000</v>
      </c>
      <c r="K85" s="17">
        <f t="shared" si="5"/>
        <v>66000</v>
      </c>
      <c r="L85" s="17"/>
      <c r="M85" s="17"/>
      <c r="N85" s="17">
        <f t="shared" si="6"/>
        <v>66000</v>
      </c>
      <c r="O85" s="10" t="s">
        <v>23</v>
      </c>
      <c r="P85" s="72"/>
      <c r="Q85" s="10" t="s">
        <v>35</v>
      </c>
      <c r="R85" s="17"/>
      <c r="S85" s="17"/>
      <c r="T85" s="17"/>
      <c r="U85" s="17"/>
      <c r="V85" s="17"/>
      <c r="W85" s="17"/>
    </row>
    <row r="86" spans="1:23" s="20" customFormat="1">
      <c r="A86" s="880">
        <v>44473</v>
      </c>
      <c r="B86" s="10" t="s">
        <v>23</v>
      </c>
      <c r="C86" s="10" t="s">
        <v>431</v>
      </c>
      <c r="D86" s="887" t="s">
        <v>31</v>
      </c>
      <c r="E86" s="767" t="s">
        <v>5542</v>
      </c>
      <c r="F86" s="767" t="s">
        <v>5543</v>
      </c>
      <c r="G86" s="30">
        <v>1</v>
      </c>
      <c r="H86" s="888">
        <v>86000</v>
      </c>
      <c r="I86" s="17">
        <f t="shared" si="4"/>
        <v>86000</v>
      </c>
      <c r="J86" s="17">
        <f t="shared" si="7"/>
        <v>21500</v>
      </c>
      <c r="K86" s="17">
        <f t="shared" si="5"/>
        <v>64500</v>
      </c>
      <c r="L86" s="17"/>
      <c r="M86" s="17"/>
      <c r="N86" s="17">
        <f t="shared" si="6"/>
        <v>64500</v>
      </c>
      <c r="O86" s="10" t="s">
        <v>23</v>
      </c>
      <c r="P86" s="72"/>
      <c r="Q86" s="10" t="s">
        <v>35</v>
      </c>
      <c r="R86" s="17"/>
      <c r="S86" s="17"/>
      <c r="T86" s="17"/>
      <c r="U86" s="17"/>
      <c r="V86" s="17"/>
      <c r="W86" s="17"/>
    </row>
    <row r="87" spans="1:23" s="20" customFormat="1">
      <c r="A87" s="880">
        <v>44473</v>
      </c>
      <c r="B87" s="10" t="s">
        <v>23</v>
      </c>
      <c r="C87" s="10" t="s">
        <v>431</v>
      </c>
      <c r="D87" s="887" t="s">
        <v>31</v>
      </c>
      <c r="E87" s="891" t="s">
        <v>6932</v>
      </c>
      <c r="F87" s="891" t="s">
        <v>6933</v>
      </c>
      <c r="G87" s="30">
        <v>1</v>
      </c>
      <c r="H87" s="888">
        <v>88000</v>
      </c>
      <c r="I87" s="17">
        <f t="shared" si="4"/>
        <v>88000</v>
      </c>
      <c r="J87" s="17">
        <f t="shared" si="7"/>
        <v>22000</v>
      </c>
      <c r="K87" s="17">
        <f t="shared" si="5"/>
        <v>66000</v>
      </c>
      <c r="L87" s="17"/>
      <c r="M87" s="17"/>
      <c r="N87" s="17">
        <f t="shared" si="6"/>
        <v>66000</v>
      </c>
      <c r="O87" s="10" t="s">
        <v>23</v>
      </c>
      <c r="P87" s="183"/>
      <c r="Q87" s="10" t="s">
        <v>35</v>
      </c>
      <c r="R87" s="17"/>
      <c r="S87" s="17"/>
      <c r="T87" s="17"/>
      <c r="U87" s="17"/>
      <c r="V87" s="17"/>
      <c r="W87" s="17"/>
    </row>
    <row r="88" spans="1:23" s="29" customFormat="1" ht="17.25" customHeight="1">
      <c r="A88" s="880">
        <v>44473</v>
      </c>
      <c r="B88" s="10" t="s">
        <v>23</v>
      </c>
      <c r="C88" s="10" t="s">
        <v>431</v>
      </c>
      <c r="D88" s="887" t="s">
        <v>31</v>
      </c>
      <c r="E88" s="891" t="s">
        <v>5540</v>
      </c>
      <c r="F88" s="891" t="s">
        <v>5541</v>
      </c>
      <c r="G88" s="30">
        <v>1</v>
      </c>
      <c r="H88" s="888">
        <v>107000</v>
      </c>
      <c r="I88" s="17">
        <f t="shared" si="4"/>
        <v>107000</v>
      </c>
      <c r="J88" s="17">
        <f t="shared" si="7"/>
        <v>26750</v>
      </c>
      <c r="K88" s="17">
        <f t="shared" si="5"/>
        <v>80250</v>
      </c>
      <c r="L88" s="92"/>
      <c r="M88" s="92"/>
      <c r="N88" s="17">
        <f t="shared" si="6"/>
        <v>80250</v>
      </c>
      <c r="O88" s="10" t="s">
        <v>23</v>
      </c>
      <c r="P88" s="72"/>
      <c r="Q88" s="10" t="s">
        <v>35</v>
      </c>
      <c r="R88" s="92"/>
      <c r="S88" s="92"/>
      <c r="T88" s="92"/>
      <c r="U88" s="92"/>
      <c r="V88" s="92"/>
      <c r="W88" s="92"/>
    </row>
    <row r="89" spans="1:23" s="20" customFormat="1">
      <c r="A89" s="880">
        <v>44473</v>
      </c>
      <c r="B89" s="10" t="s">
        <v>23</v>
      </c>
      <c r="C89" s="10" t="s">
        <v>431</v>
      </c>
      <c r="D89" s="887" t="s">
        <v>31</v>
      </c>
      <c r="E89" s="767" t="s">
        <v>5989</v>
      </c>
      <c r="F89" s="767" t="s">
        <v>5990</v>
      </c>
      <c r="G89" s="30">
        <v>1</v>
      </c>
      <c r="H89" s="888">
        <v>113000</v>
      </c>
      <c r="I89" s="17">
        <f t="shared" si="4"/>
        <v>113000</v>
      </c>
      <c r="J89" s="17">
        <f t="shared" si="7"/>
        <v>28250</v>
      </c>
      <c r="K89" s="17">
        <f t="shared" si="5"/>
        <v>84750</v>
      </c>
      <c r="L89" s="92"/>
      <c r="M89" s="92"/>
      <c r="N89" s="17">
        <f t="shared" si="6"/>
        <v>84750</v>
      </c>
      <c r="O89" s="10" t="s">
        <v>23</v>
      </c>
      <c r="P89" s="72"/>
      <c r="Q89" s="10" t="s">
        <v>35</v>
      </c>
      <c r="R89" s="17"/>
      <c r="S89" s="17"/>
      <c r="T89" s="17"/>
      <c r="U89" s="17"/>
      <c r="V89" s="17"/>
      <c r="W89" s="17"/>
    </row>
    <row r="90" spans="1:23" s="20" customFormat="1">
      <c r="A90" s="880">
        <v>44473</v>
      </c>
      <c r="B90" s="10" t="s">
        <v>23</v>
      </c>
      <c r="C90" s="10" t="s">
        <v>431</v>
      </c>
      <c r="D90" s="887" t="s">
        <v>31</v>
      </c>
      <c r="E90" s="891" t="s">
        <v>5139</v>
      </c>
      <c r="F90" s="891" t="s">
        <v>5140</v>
      </c>
      <c r="G90" s="30">
        <v>1</v>
      </c>
      <c r="H90" s="888">
        <v>117000</v>
      </c>
      <c r="I90" s="17">
        <f t="shared" si="4"/>
        <v>117000</v>
      </c>
      <c r="J90" s="17">
        <f t="shared" si="7"/>
        <v>29250</v>
      </c>
      <c r="K90" s="17">
        <f t="shared" si="5"/>
        <v>87750</v>
      </c>
      <c r="L90" s="17"/>
      <c r="M90" s="17"/>
      <c r="N90" s="17">
        <f t="shared" si="6"/>
        <v>87750</v>
      </c>
      <c r="O90" s="10" t="s">
        <v>23</v>
      </c>
      <c r="P90" s="183"/>
      <c r="Q90" s="10" t="s">
        <v>35</v>
      </c>
      <c r="R90" s="17"/>
      <c r="S90" s="17"/>
      <c r="T90" s="17"/>
      <c r="U90" s="17"/>
      <c r="V90" s="17"/>
      <c r="W90" s="17"/>
    </row>
    <row r="91" spans="1:23" s="20" customFormat="1">
      <c r="A91" s="880">
        <v>44473</v>
      </c>
      <c r="B91" s="10" t="s">
        <v>23</v>
      </c>
      <c r="C91" s="10" t="s">
        <v>431</v>
      </c>
      <c r="D91" s="887" t="s">
        <v>31</v>
      </c>
      <c r="E91" s="891" t="s">
        <v>1060</v>
      </c>
      <c r="F91" s="891" t="s">
        <v>1061</v>
      </c>
      <c r="G91" s="30">
        <v>1</v>
      </c>
      <c r="H91" s="888">
        <v>121000</v>
      </c>
      <c r="I91" s="17">
        <f t="shared" si="4"/>
        <v>121000</v>
      </c>
      <c r="J91" s="17">
        <f t="shared" si="7"/>
        <v>30250</v>
      </c>
      <c r="K91" s="17">
        <f t="shared" si="5"/>
        <v>90750</v>
      </c>
      <c r="L91" s="17"/>
      <c r="M91" s="17"/>
      <c r="N91" s="17">
        <f t="shared" si="6"/>
        <v>90750</v>
      </c>
      <c r="O91" s="10" t="s">
        <v>23</v>
      </c>
      <c r="P91" s="72"/>
      <c r="Q91" s="10" t="s">
        <v>35</v>
      </c>
      <c r="R91" s="17"/>
      <c r="S91" s="17"/>
      <c r="T91" s="17"/>
      <c r="U91" s="17"/>
      <c r="V91" s="17"/>
      <c r="W91" s="17"/>
    </row>
    <row r="92" spans="1:23" s="20" customFormat="1">
      <c r="A92" s="880">
        <v>44473</v>
      </c>
      <c r="B92" s="10" t="s">
        <v>23</v>
      </c>
      <c r="C92" s="10" t="s">
        <v>431</v>
      </c>
      <c r="D92" s="887" t="s">
        <v>31</v>
      </c>
      <c r="E92" s="767" t="s">
        <v>735</v>
      </c>
      <c r="F92" s="767" t="s">
        <v>2302</v>
      </c>
      <c r="G92" s="30">
        <v>1</v>
      </c>
      <c r="H92" s="888">
        <v>126000</v>
      </c>
      <c r="I92" s="17">
        <f t="shared" si="4"/>
        <v>126000</v>
      </c>
      <c r="J92" s="17">
        <f t="shared" si="7"/>
        <v>31500</v>
      </c>
      <c r="K92" s="17">
        <f t="shared" si="5"/>
        <v>94500</v>
      </c>
      <c r="L92" s="17"/>
      <c r="M92" s="17"/>
      <c r="N92" s="17">
        <f t="shared" si="6"/>
        <v>94500</v>
      </c>
      <c r="O92" s="10" t="s">
        <v>23</v>
      </c>
      <c r="P92" s="183"/>
      <c r="Q92" s="10" t="s">
        <v>35</v>
      </c>
      <c r="R92" s="17"/>
      <c r="S92" s="17"/>
      <c r="T92" s="17"/>
      <c r="U92" s="17"/>
      <c r="V92" s="17"/>
      <c r="W92" s="17"/>
    </row>
    <row r="93" spans="1:23" s="20" customFormat="1">
      <c r="A93" s="880">
        <v>44473</v>
      </c>
      <c r="B93" s="10" t="s">
        <v>23</v>
      </c>
      <c r="C93" s="10" t="s">
        <v>431</v>
      </c>
      <c r="D93" s="887" t="s">
        <v>31</v>
      </c>
      <c r="E93" s="891" t="s">
        <v>6934</v>
      </c>
      <c r="F93" s="891" t="s">
        <v>6935</v>
      </c>
      <c r="G93" s="30">
        <v>1</v>
      </c>
      <c r="H93" s="888">
        <v>175000</v>
      </c>
      <c r="I93" s="17">
        <f t="shared" si="4"/>
        <v>175000</v>
      </c>
      <c r="J93" s="17">
        <f t="shared" si="7"/>
        <v>43750</v>
      </c>
      <c r="K93" s="17">
        <f t="shared" si="5"/>
        <v>131250</v>
      </c>
      <c r="L93" s="17"/>
      <c r="M93" s="17"/>
      <c r="N93" s="17">
        <f t="shared" si="6"/>
        <v>131250</v>
      </c>
      <c r="O93" s="10" t="s">
        <v>23</v>
      </c>
      <c r="P93" s="72"/>
      <c r="Q93" s="10" t="s">
        <v>35</v>
      </c>
      <c r="R93" s="17"/>
      <c r="S93" s="17"/>
      <c r="T93" s="17"/>
      <c r="U93" s="17"/>
      <c r="V93" s="17"/>
      <c r="W93" s="17"/>
    </row>
    <row r="94" spans="1:23" s="20" customFormat="1">
      <c r="A94" s="880">
        <v>44474</v>
      </c>
      <c r="B94" s="10" t="s">
        <v>23</v>
      </c>
      <c r="C94" s="10" t="s">
        <v>6936</v>
      </c>
      <c r="D94" s="887" t="s">
        <v>6937</v>
      </c>
      <c r="E94" s="76" t="s">
        <v>6938</v>
      </c>
      <c r="F94" s="76" t="s">
        <v>6939</v>
      </c>
      <c r="G94" s="30">
        <v>1</v>
      </c>
      <c r="H94" s="888">
        <v>82000</v>
      </c>
      <c r="I94" s="17">
        <f t="shared" si="4"/>
        <v>82000</v>
      </c>
      <c r="J94" s="17"/>
      <c r="K94" s="17">
        <f t="shared" si="5"/>
        <v>82000</v>
      </c>
      <c r="L94" s="17">
        <v>40000</v>
      </c>
      <c r="M94" s="17"/>
      <c r="N94" s="17">
        <f t="shared" si="6"/>
        <v>122000</v>
      </c>
      <c r="O94" s="10" t="s">
        <v>23</v>
      </c>
      <c r="P94" s="72"/>
      <c r="Q94" s="10" t="s">
        <v>40</v>
      </c>
      <c r="R94" s="17"/>
      <c r="S94" s="17"/>
      <c r="T94" s="17"/>
      <c r="U94" s="17"/>
      <c r="V94" s="17"/>
      <c r="W94" s="17"/>
    </row>
    <row r="95" spans="1:23" s="20" customFormat="1">
      <c r="A95" s="880">
        <v>44474</v>
      </c>
      <c r="B95" s="76" t="s">
        <v>43</v>
      </c>
      <c r="C95" s="739" t="s">
        <v>6940</v>
      </c>
      <c r="D95" s="887" t="s">
        <v>6941</v>
      </c>
      <c r="E95" s="76" t="s">
        <v>6942</v>
      </c>
      <c r="F95" s="76" t="s">
        <v>6943</v>
      </c>
      <c r="G95" s="30">
        <v>1</v>
      </c>
      <c r="H95" s="888">
        <v>101500</v>
      </c>
      <c r="I95" s="17">
        <f t="shared" si="4"/>
        <v>101500</v>
      </c>
      <c r="J95" s="17"/>
      <c r="K95" s="17">
        <f t="shared" si="5"/>
        <v>101500</v>
      </c>
      <c r="L95" s="17"/>
      <c r="M95" s="17">
        <v>-5684</v>
      </c>
      <c r="N95" s="17">
        <f t="shared" si="6"/>
        <v>95816</v>
      </c>
      <c r="O95" s="76" t="s">
        <v>43</v>
      </c>
      <c r="P95" s="72"/>
      <c r="Q95" s="76" t="s">
        <v>176</v>
      </c>
      <c r="R95" s="17"/>
      <c r="S95" s="17"/>
      <c r="T95" s="17"/>
      <c r="U95" s="17"/>
      <c r="V95" s="17"/>
      <c r="W95" s="17"/>
    </row>
    <row r="96" spans="1:23" s="20" customFormat="1">
      <c r="A96" s="880">
        <v>44474</v>
      </c>
      <c r="B96" s="76" t="s">
        <v>177</v>
      </c>
      <c r="C96" s="739" t="s">
        <v>6944</v>
      </c>
      <c r="D96" s="887" t="s">
        <v>6945</v>
      </c>
      <c r="E96" s="739" t="s">
        <v>899</v>
      </c>
      <c r="F96" s="739" t="s">
        <v>900</v>
      </c>
      <c r="G96" s="30">
        <v>1</v>
      </c>
      <c r="H96" s="888">
        <v>78000</v>
      </c>
      <c r="I96" s="17">
        <f t="shared" si="4"/>
        <v>78000</v>
      </c>
      <c r="J96" s="17"/>
      <c r="K96" s="17">
        <f t="shared" si="5"/>
        <v>78000</v>
      </c>
      <c r="L96" s="17">
        <v>9500</v>
      </c>
      <c r="M96" s="17"/>
      <c r="N96" s="17">
        <f t="shared" si="6"/>
        <v>87500</v>
      </c>
      <c r="O96" s="76" t="s">
        <v>177</v>
      </c>
      <c r="P96" s="72"/>
      <c r="Q96" s="76" t="s">
        <v>54</v>
      </c>
      <c r="R96" s="17"/>
      <c r="S96" s="17"/>
      <c r="T96" s="17"/>
      <c r="U96" s="17"/>
      <c r="V96" s="17"/>
      <c r="W96" s="17"/>
    </row>
    <row r="97" spans="1:23" s="20" customFormat="1">
      <c r="A97" s="880">
        <v>44474</v>
      </c>
      <c r="B97" s="76" t="s">
        <v>23</v>
      </c>
      <c r="C97" s="739" t="s">
        <v>6946</v>
      </c>
      <c r="D97" s="92" t="s">
        <v>6947</v>
      </c>
      <c r="E97" s="76" t="s">
        <v>1568</v>
      </c>
      <c r="F97" s="76" t="s">
        <v>1569</v>
      </c>
      <c r="G97" s="30">
        <v>1</v>
      </c>
      <c r="H97" s="888">
        <v>73500</v>
      </c>
      <c r="I97" s="17">
        <f t="shared" si="4"/>
        <v>73500</v>
      </c>
      <c r="J97" s="17"/>
      <c r="K97" s="17">
        <f t="shared" si="5"/>
        <v>73500</v>
      </c>
      <c r="L97" s="17">
        <v>17000</v>
      </c>
      <c r="M97" s="17"/>
      <c r="N97" s="17">
        <f t="shared" si="6"/>
        <v>90500</v>
      </c>
      <c r="O97" s="76" t="s">
        <v>23</v>
      </c>
      <c r="P97" s="72"/>
      <c r="Q97" s="76" t="s">
        <v>40</v>
      </c>
      <c r="R97" s="17"/>
      <c r="S97" s="17"/>
      <c r="T97" s="17"/>
      <c r="U97" s="17"/>
      <c r="V97" s="17"/>
      <c r="W97" s="17"/>
    </row>
    <row r="98" spans="1:23" s="20" customFormat="1">
      <c r="A98" s="880">
        <v>44474</v>
      </c>
      <c r="B98" s="76" t="s">
        <v>313</v>
      </c>
      <c r="C98" s="76" t="s">
        <v>6948</v>
      </c>
      <c r="D98" s="92" t="s">
        <v>6949</v>
      </c>
      <c r="E98" s="739" t="s">
        <v>345</v>
      </c>
      <c r="F98" s="739" t="s">
        <v>1352</v>
      </c>
      <c r="G98" s="30">
        <v>1</v>
      </c>
      <c r="H98" s="888">
        <v>66000</v>
      </c>
      <c r="I98" s="17">
        <f t="shared" si="4"/>
        <v>66000</v>
      </c>
      <c r="J98" s="17"/>
      <c r="K98" s="17">
        <f t="shared" si="5"/>
        <v>66000</v>
      </c>
      <c r="L98" s="17">
        <v>22071</v>
      </c>
      <c r="M98" s="17"/>
      <c r="N98" s="17">
        <f t="shared" si="6"/>
        <v>88071</v>
      </c>
      <c r="O98" s="76" t="s">
        <v>313</v>
      </c>
      <c r="P98" s="183"/>
      <c r="Q98" s="76" t="s">
        <v>40</v>
      </c>
      <c r="R98" s="17"/>
      <c r="S98" s="17"/>
      <c r="T98" s="17"/>
      <c r="U98" s="17"/>
      <c r="V98" s="17"/>
      <c r="W98" s="17"/>
    </row>
    <row r="99" spans="1:23" s="20" customFormat="1">
      <c r="A99" s="880">
        <v>44474</v>
      </c>
      <c r="B99" s="76" t="s">
        <v>313</v>
      </c>
      <c r="C99" s="739" t="s">
        <v>6950</v>
      </c>
      <c r="D99" s="29" t="s">
        <v>6951</v>
      </c>
      <c r="E99" s="892" t="s">
        <v>6952</v>
      </c>
      <c r="F99" s="892" t="s">
        <v>5818</v>
      </c>
      <c r="G99" s="30">
        <v>5</v>
      </c>
      <c r="H99" s="888">
        <v>96000</v>
      </c>
      <c r="I99" s="17">
        <f t="shared" si="4"/>
        <v>480000</v>
      </c>
      <c r="J99" s="17"/>
      <c r="K99" s="17">
        <f t="shared" si="5"/>
        <v>480000</v>
      </c>
      <c r="L99" s="17">
        <v>70044</v>
      </c>
      <c r="M99" s="17"/>
      <c r="N99" s="17">
        <f t="shared" si="6"/>
        <v>550044</v>
      </c>
      <c r="O99" s="76" t="s">
        <v>313</v>
      </c>
      <c r="P99" s="72"/>
      <c r="Q99" s="76" t="s">
        <v>40</v>
      </c>
      <c r="R99" s="17"/>
      <c r="S99" s="17"/>
      <c r="T99" s="17"/>
      <c r="U99" s="17"/>
      <c r="V99" s="17"/>
      <c r="W99" s="17"/>
    </row>
    <row r="100" spans="1:23" s="20" customFormat="1">
      <c r="A100" s="880">
        <v>44474</v>
      </c>
      <c r="B100" s="76" t="s">
        <v>313</v>
      </c>
      <c r="C100" s="739" t="s">
        <v>6950</v>
      </c>
      <c r="D100" s="29" t="s">
        <v>6951</v>
      </c>
      <c r="E100" s="892" t="s">
        <v>6953</v>
      </c>
      <c r="F100" s="892" t="s">
        <v>6954</v>
      </c>
      <c r="G100" s="30">
        <v>4</v>
      </c>
      <c r="H100" s="888">
        <v>106000</v>
      </c>
      <c r="I100" s="17">
        <f t="shared" si="4"/>
        <v>424000</v>
      </c>
      <c r="J100" s="17"/>
      <c r="K100" s="17">
        <f t="shared" si="5"/>
        <v>424000</v>
      </c>
      <c r="L100" s="17"/>
      <c r="M100" s="17"/>
      <c r="N100" s="17">
        <f t="shared" si="6"/>
        <v>424000</v>
      </c>
      <c r="O100" s="76" t="s">
        <v>313</v>
      </c>
      <c r="P100" s="183"/>
      <c r="Q100" s="76" t="s">
        <v>40</v>
      </c>
      <c r="R100" s="17"/>
      <c r="S100" s="17"/>
      <c r="T100" s="17"/>
      <c r="U100" s="17"/>
      <c r="V100" s="17"/>
      <c r="W100" s="17"/>
    </row>
    <row r="101" spans="1:23" s="20" customFormat="1">
      <c r="A101" s="880">
        <v>44474</v>
      </c>
      <c r="B101" s="76" t="s">
        <v>313</v>
      </c>
      <c r="C101" s="739" t="s">
        <v>6950</v>
      </c>
      <c r="D101" s="29" t="s">
        <v>6951</v>
      </c>
      <c r="E101" s="892" t="s">
        <v>6955</v>
      </c>
      <c r="F101" s="892" t="s">
        <v>6956</v>
      </c>
      <c r="G101" s="30">
        <v>5</v>
      </c>
      <c r="H101" s="888">
        <v>57500</v>
      </c>
      <c r="I101" s="17">
        <f t="shared" si="4"/>
        <v>287500</v>
      </c>
      <c r="J101" s="17"/>
      <c r="K101" s="17">
        <f t="shared" si="5"/>
        <v>287500</v>
      </c>
      <c r="L101" s="17"/>
      <c r="M101" s="17"/>
      <c r="N101" s="17">
        <f t="shared" si="6"/>
        <v>287500</v>
      </c>
      <c r="O101" s="76" t="s">
        <v>313</v>
      </c>
      <c r="P101" s="72"/>
      <c r="Q101" s="76" t="s">
        <v>40</v>
      </c>
      <c r="R101" s="17"/>
      <c r="S101" s="17"/>
      <c r="T101" s="17"/>
      <c r="U101" s="17"/>
      <c r="V101" s="17"/>
      <c r="W101" s="17"/>
    </row>
    <row r="102" spans="1:23" s="119" customFormat="1">
      <c r="A102" s="880">
        <v>44474</v>
      </c>
      <c r="B102" s="10" t="s">
        <v>670</v>
      </c>
      <c r="C102" s="10" t="s">
        <v>6957</v>
      </c>
      <c r="D102" s="119" t="s">
        <v>6958</v>
      </c>
      <c r="E102" s="782" t="s">
        <v>5908</v>
      </c>
      <c r="F102" s="782" t="s">
        <v>5909</v>
      </c>
      <c r="G102" s="30">
        <v>2</v>
      </c>
      <c r="H102" s="888">
        <v>102000</v>
      </c>
      <c r="I102" s="17">
        <f t="shared" si="4"/>
        <v>204000</v>
      </c>
      <c r="J102" s="86">
        <f>I102*35%</f>
        <v>71400</v>
      </c>
      <c r="K102" s="17">
        <f t="shared" si="5"/>
        <v>132600</v>
      </c>
      <c r="L102" s="86">
        <v>65000</v>
      </c>
      <c r="M102" s="86"/>
      <c r="N102" s="17">
        <f t="shared" si="6"/>
        <v>197600</v>
      </c>
      <c r="O102" s="10" t="s">
        <v>670</v>
      </c>
      <c r="P102" s="647"/>
      <c r="Q102" s="10" t="s">
        <v>895</v>
      </c>
      <c r="R102" s="86"/>
      <c r="S102" s="648"/>
      <c r="T102" s="86"/>
      <c r="U102" s="86"/>
      <c r="V102" s="86"/>
      <c r="W102" s="86"/>
    </row>
    <row r="103" spans="1:23" s="119" customFormat="1">
      <c r="A103" s="880">
        <v>44474</v>
      </c>
      <c r="B103" s="10" t="s">
        <v>670</v>
      </c>
      <c r="C103" s="10" t="s">
        <v>6957</v>
      </c>
      <c r="D103" s="119" t="s">
        <v>6958</v>
      </c>
      <c r="E103" s="782" t="s">
        <v>6959</v>
      </c>
      <c r="F103" s="782" t="s">
        <v>6960</v>
      </c>
      <c r="G103" s="30">
        <v>2</v>
      </c>
      <c r="H103" s="888">
        <v>71000</v>
      </c>
      <c r="I103" s="17">
        <f t="shared" si="4"/>
        <v>142000</v>
      </c>
      <c r="J103" s="86">
        <f t="shared" ref="J103:J138" si="8">I103*35%</f>
        <v>49700</v>
      </c>
      <c r="K103" s="17">
        <f t="shared" si="5"/>
        <v>92300</v>
      </c>
      <c r="L103" s="86"/>
      <c r="M103" s="86"/>
      <c r="N103" s="17">
        <f t="shared" si="6"/>
        <v>92300</v>
      </c>
      <c r="O103" s="10" t="s">
        <v>670</v>
      </c>
      <c r="P103" s="667"/>
      <c r="Q103" s="10" t="s">
        <v>895</v>
      </c>
      <c r="R103" s="86"/>
      <c r="S103" s="171"/>
      <c r="T103" s="86"/>
      <c r="U103" s="86"/>
      <c r="V103" s="86"/>
      <c r="W103" s="86"/>
    </row>
    <row r="104" spans="1:23" s="119" customFormat="1">
      <c r="A104" s="880">
        <v>44474</v>
      </c>
      <c r="B104" s="10" t="s">
        <v>670</v>
      </c>
      <c r="C104" s="10" t="s">
        <v>6957</v>
      </c>
      <c r="D104" s="119" t="s">
        <v>6958</v>
      </c>
      <c r="E104" s="782" t="s">
        <v>6961</v>
      </c>
      <c r="F104" s="782" t="s">
        <v>6962</v>
      </c>
      <c r="G104" s="30">
        <v>2</v>
      </c>
      <c r="H104" s="888">
        <v>99000</v>
      </c>
      <c r="I104" s="17">
        <f t="shared" si="4"/>
        <v>198000</v>
      </c>
      <c r="J104" s="86">
        <f t="shared" si="8"/>
        <v>69300</v>
      </c>
      <c r="K104" s="17">
        <f t="shared" si="5"/>
        <v>128700</v>
      </c>
      <c r="L104" s="86"/>
      <c r="M104" s="86"/>
      <c r="N104" s="17">
        <f t="shared" si="6"/>
        <v>128700</v>
      </c>
      <c r="O104" s="10" t="s">
        <v>670</v>
      </c>
      <c r="P104" s="667"/>
      <c r="Q104" s="10" t="s">
        <v>895</v>
      </c>
      <c r="R104" s="86"/>
      <c r="S104" s="171"/>
      <c r="T104" s="86"/>
      <c r="U104" s="86"/>
      <c r="V104" s="86"/>
      <c r="W104" s="86"/>
    </row>
    <row r="105" spans="1:23" s="119" customFormat="1">
      <c r="A105" s="880">
        <v>44474</v>
      </c>
      <c r="B105" s="10" t="s">
        <v>670</v>
      </c>
      <c r="C105" s="10" t="s">
        <v>6957</v>
      </c>
      <c r="D105" s="119" t="s">
        <v>6958</v>
      </c>
      <c r="E105" s="782" t="s">
        <v>6399</v>
      </c>
      <c r="F105" s="782" t="s">
        <v>6400</v>
      </c>
      <c r="G105" s="30">
        <v>2</v>
      </c>
      <c r="H105" s="888">
        <v>26000</v>
      </c>
      <c r="I105" s="17">
        <f t="shared" si="4"/>
        <v>52000</v>
      </c>
      <c r="J105" s="86">
        <f t="shared" si="8"/>
        <v>18200</v>
      </c>
      <c r="K105" s="17">
        <f t="shared" si="5"/>
        <v>33800</v>
      </c>
      <c r="L105" s="86"/>
      <c r="M105" s="86"/>
      <c r="N105" s="17">
        <f t="shared" si="6"/>
        <v>33800</v>
      </c>
      <c r="O105" s="10" t="s">
        <v>670</v>
      </c>
      <c r="P105" s="667"/>
      <c r="Q105" s="10" t="s">
        <v>895</v>
      </c>
      <c r="R105" s="86"/>
      <c r="S105" s="171"/>
      <c r="T105" s="86"/>
      <c r="U105" s="86"/>
      <c r="V105" s="86"/>
      <c r="W105" s="86"/>
    </row>
    <row r="106" spans="1:23" s="119" customFormat="1">
      <c r="A106" s="880">
        <v>44474</v>
      </c>
      <c r="B106" s="10" t="s">
        <v>670</v>
      </c>
      <c r="C106" s="10" t="s">
        <v>6957</v>
      </c>
      <c r="D106" s="119" t="s">
        <v>6958</v>
      </c>
      <c r="E106" s="782" t="s">
        <v>6963</v>
      </c>
      <c r="F106" s="782" t="s">
        <v>6964</v>
      </c>
      <c r="G106" s="30">
        <v>2</v>
      </c>
      <c r="H106" s="888">
        <v>126500</v>
      </c>
      <c r="I106" s="17">
        <f t="shared" si="4"/>
        <v>253000</v>
      </c>
      <c r="J106" s="86">
        <f t="shared" si="8"/>
        <v>88550</v>
      </c>
      <c r="K106" s="17">
        <f t="shared" si="5"/>
        <v>164450</v>
      </c>
      <c r="L106" s="86"/>
      <c r="M106" s="86"/>
      <c r="N106" s="17">
        <f t="shared" si="6"/>
        <v>164450</v>
      </c>
      <c r="O106" s="10" t="s">
        <v>670</v>
      </c>
      <c r="P106" s="86"/>
      <c r="Q106" s="10" t="s">
        <v>895</v>
      </c>
      <c r="R106" s="86"/>
      <c r="S106" s="499"/>
      <c r="T106" s="86"/>
      <c r="U106" s="86"/>
      <c r="V106" s="86"/>
      <c r="W106" s="86"/>
    </row>
    <row r="107" spans="1:23" s="119" customFormat="1">
      <c r="A107" s="880">
        <v>44474</v>
      </c>
      <c r="B107" s="10" t="s">
        <v>670</v>
      </c>
      <c r="C107" s="10" t="s">
        <v>6957</v>
      </c>
      <c r="D107" s="119" t="s">
        <v>6958</v>
      </c>
      <c r="E107" s="754" t="s">
        <v>5787</v>
      </c>
      <c r="F107" s="754" t="s">
        <v>5788</v>
      </c>
      <c r="G107" s="30">
        <v>2</v>
      </c>
      <c r="H107" s="888">
        <v>122000</v>
      </c>
      <c r="I107" s="17">
        <f t="shared" si="4"/>
        <v>244000</v>
      </c>
      <c r="J107" s="86">
        <f t="shared" si="8"/>
        <v>85400</v>
      </c>
      <c r="K107" s="17">
        <f t="shared" si="5"/>
        <v>158600</v>
      </c>
      <c r="L107" s="86"/>
      <c r="M107" s="86"/>
      <c r="N107" s="17">
        <f t="shared" si="6"/>
        <v>158600</v>
      </c>
      <c r="O107" s="10" t="s">
        <v>670</v>
      </c>
      <c r="P107" s="838"/>
      <c r="Q107" s="10" t="s">
        <v>895</v>
      </c>
      <c r="R107" s="86"/>
      <c r="S107" s="838"/>
      <c r="T107" s="86"/>
      <c r="U107" s="86"/>
      <c r="V107" s="86"/>
      <c r="W107" s="86"/>
    </row>
    <row r="108" spans="1:23" s="119" customFormat="1">
      <c r="A108" s="880">
        <v>44474</v>
      </c>
      <c r="B108" s="10" t="s">
        <v>670</v>
      </c>
      <c r="C108" s="10" t="s">
        <v>6957</v>
      </c>
      <c r="D108" s="119" t="s">
        <v>6958</v>
      </c>
      <c r="E108" s="754" t="s">
        <v>6965</v>
      </c>
      <c r="F108" s="754" t="s">
        <v>6966</v>
      </c>
      <c r="G108" s="30">
        <v>2</v>
      </c>
      <c r="H108" s="888">
        <v>198000</v>
      </c>
      <c r="I108" s="17">
        <f t="shared" si="4"/>
        <v>396000</v>
      </c>
      <c r="J108" s="86">
        <f t="shared" si="8"/>
        <v>138600</v>
      </c>
      <c r="K108" s="17">
        <f t="shared" si="5"/>
        <v>257400</v>
      </c>
      <c r="L108" s="86"/>
      <c r="M108" s="86"/>
      <c r="N108" s="17">
        <f t="shared" si="6"/>
        <v>257400</v>
      </c>
      <c r="O108" s="10" t="s">
        <v>670</v>
      </c>
      <c r="P108" s="667"/>
      <c r="Q108" s="10" t="s">
        <v>895</v>
      </c>
      <c r="R108" s="86"/>
      <c r="S108" s="171"/>
      <c r="T108" s="86"/>
      <c r="U108" s="86"/>
      <c r="V108" s="86"/>
      <c r="W108" s="86"/>
    </row>
    <row r="109" spans="1:23" s="119" customFormat="1">
      <c r="A109" s="880">
        <v>44474</v>
      </c>
      <c r="B109" s="10" t="s">
        <v>670</v>
      </c>
      <c r="C109" s="10" t="s">
        <v>6957</v>
      </c>
      <c r="D109" s="119" t="s">
        <v>6958</v>
      </c>
      <c r="E109" s="754" t="s">
        <v>1012</v>
      </c>
      <c r="F109" s="754" t="s">
        <v>1013</v>
      </c>
      <c r="G109" s="30">
        <v>2</v>
      </c>
      <c r="H109" s="888">
        <v>84000</v>
      </c>
      <c r="I109" s="17">
        <f t="shared" si="4"/>
        <v>168000</v>
      </c>
      <c r="J109" s="86">
        <f t="shared" si="8"/>
        <v>58799.999999999993</v>
      </c>
      <c r="K109" s="17">
        <f t="shared" si="5"/>
        <v>109200</v>
      </c>
      <c r="L109" s="86"/>
      <c r="M109" s="86"/>
      <c r="N109" s="17">
        <f t="shared" si="6"/>
        <v>109200</v>
      </c>
      <c r="O109" s="10" t="s">
        <v>670</v>
      </c>
      <c r="P109" s="827"/>
      <c r="Q109" s="10" t="s">
        <v>895</v>
      </c>
      <c r="R109" s="86"/>
      <c r="S109" s="86"/>
      <c r="T109" s="86"/>
      <c r="U109" s="86"/>
      <c r="V109" s="86"/>
      <c r="W109" s="86"/>
    </row>
    <row r="110" spans="1:23" s="119" customFormat="1">
      <c r="A110" s="880">
        <v>44474</v>
      </c>
      <c r="B110" s="10" t="s">
        <v>670</v>
      </c>
      <c r="C110" s="10" t="s">
        <v>6957</v>
      </c>
      <c r="D110" s="119" t="s">
        <v>6958</v>
      </c>
      <c r="E110" s="754" t="s">
        <v>6967</v>
      </c>
      <c r="F110" s="754" t="s">
        <v>5765</v>
      </c>
      <c r="G110" s="30">
        <v>2</v>
      </c>
      <c r="H110" s="888">
        <v>25000</v>
      </c>
      <c r="I110" s="17">
        <f t="shared" si="4"/>
        <v>50000</v>
      </c>
      <c r="J110" s="86">
        <f t="shared" si="8"/>
        <v>17500</v>
      </c>
      <c r="K110" s="17">
        <f t="shared" si="5"/>
        <v>32500</v>
      </c>
      <c r="L110" s="86"/>
      <c r="M110" s="86"/>
      <c r="N110" s="17">
        <f t="shared" si="6"/>
        <v>32500</v>
      </c>
      <c r="O110" s="10" t="s">
        <v>670</v>
      </c>
      <c r="P110" s="667"/>
      <c r="Q110" s="10" t="s">
        <v>895</v>
      </c>
      <c r="R110" s="86"/>
      <c r="S110" s="171"/>
      <c r="T110" s="86"/>
      <c r="U110" s="86"/>
      <c r="V110" s="86"/>
      <c r="W110" s="86"/>
    </row>
    <row r="111" spans="1:23" s="119" customFormat="1">
      <c r="A111" s="880">
        <v>44474</v>
      </c>
      <c r="B111" s="10" t="s">
        <v>670</v>
      </c>
      <c r="C111" s="10" t="s">
        <v>6957</v>
      </c>
      <c r="D111" s="119" t="s">
        <v>6958</v>
      </c>
      <c r="E111" s="782" t="s">
        <v>6968</v>
      </c>
      <c r="F111" s="782" t="s">
        <v>6969</v>
      </c>
      <c r="G111" s="30">
        <v>2</v>
      </c>
      <c r="H111" s="888">
        <v>57500</v>
      </c>
      <c r="I111" s="17">
        <f t="shared" si="4"/>
        <v>115000</v>
      </c>
      <c r="J111" s="86">
        <f t="shared" si="8"/>
        <v>40250</v>
      </c>
      <c r="K111" s="17">
        <f t="shared" si="5"/>
        <v>74750</v>
      </c>
      <c r="L111" s="86"/>
      <c r="M111" s="86"/>
      <c r="N111" s="17">
        <f t="shared" si="6"/>
        <v>74750</v>
      </c>
      <c r="O111" s="10" t="s">
        <v>670</v>
      </c>
      <c r="P111" s="667"/>
      <c r="Q111" s="10" t="s">
        <v>895</v>
      </c>
      <c r="R111" s="86"/>
      <c r="S111" s="171"/>
      <c r="T111" s="86"/>
      <c r="U111" s="86"/>
      <c r="V111" s="86"/>
      <c r="W111" s="86"/>
    </row>
    <row r="112" spans="1:23" s="119" customFormat="1">
      <c r="A112" s="880">
        <v>44474</v>
      </c>
      <c r="B112" s="10" t="s">
        <v>670</v>
      </c>
      <c r="C112" s="10" t="s">
        <v>6957</v>
      </c>
      <c r="D112" s="119" t="s">
        <v>6958</v>
      </c>
      <c r="E112" s="782" t="s">
        <v>1970</v>
      </c>
      <c r="F112" s="782" t="s">
        <v>1971</v>
      </c>
      <c r="G112" s="30">
        <v>2</v>
      </c>
      <c r="H112" s="888">
        <v>70500</v>
      </c>
      <c r="I112" s="17">
        <f t="shared" si="4"/>
        <v>141000</v>
      </c>
      <c r="J112" s="86">
        <f t="shared" si="8"/>
        <v>49350</v>
      </c>
      <c r="K112" s="17">
        <f t="shared" si="5"/>
        <v>91650</v>
      </c>
      <c r="L112" s="86"/>
      <c r="M112" s="86"/>
      <c r="N112" s="17">
        <f t="shared" si="6"/>
        <v>91650</v>
      </c>
      <c r="O112" s="10" t="s">
        <v>670</v>
      </c>
      <c r="P112" s="667"/>
      <c r="Q112" s="10" t="s">
        <v>895</v>
      </c>
      <c r="R112" s="86"/>
      <c r="S112" s="838"/>
      <c r="T112" s="86"/>
      <c r="U112" s="86"/>
      <c r="V112" s="86"/>
      <c r="W112" s="86"/>
    </row>
    <row r="113" spans="1:23" s="171" customFormat="1">
      <c r="A113" s="880">
        <v>44474</v>
      </c>
      <c r="B113" s="10" t="s">
        <v>670</v>
      </c>
      <c r="C113" s="10" t="s">
        <v>6957</v>
      </c>
      <c r="D113" s="119" t="s">
        <v>6958</v>
      </c>
      <c r="E113" s="782" t="s">
        <v>6970</v>
      </c>
      <c r="F113" s="782" t="s">
        <v>6971</v>
      </c>
      <c r="G113" s="30">
        <v>2</v>
      </c>
      <c r="H113" s="171">
        <v>135000</v>
      </c>
      <c r="I113" s="17">
        <f t="shared" si="4"/>
        <v>270000</v>
      </c>
      <c r="J113" s="86">
        <f t="shared" si="8"/>
        <v>94500</v>
      </c>
      <c r="K113" s="17">
        <f t="shared" si="5"/>
        <v>175500</v>
      </c>
      <c r="N113" s="17">
        <f t="shared" si="6"/>
        <v>175500</v>
      </c>
      <c r="O113" s="10" t="s">
        <v>670</v>
      </c>
      <c r="P113" s="648"/>
      <c r="Q113" s="10" t="s">
        <v>895</v>
      </c>
      <c r="R113" s="648"/>
    </row>
    <row r="114" spans="1:23" s="20" customFormat="1">
      <c r="A114" s="880">
        <v>44474</v>
      </c>
      <c r="B114" s="10" t="s">
        <v>670</v>
      </c>
      <c r="C114" s="10" t="s">
        <v>6957</v>
      </c>
      <c r="D114" s="119" t="s">
        <v>6958</v>
      </c>
      <c r="E114" s="782" t="s">
        <v>6972</v>
      </c>
      <c r="F114" s="782" t="s">
        <v>6973</v>
      </c>
      <c r="G114" s="30">
        <v>2</v>
      </c>
      <c r="H114" s="888">
        <v>59000</v>
      </c>
      <c r="I114" s="17">
        <f t="shared" si="4"/>
        <v>118000</v>
      </c>
      <c r="J114" s="86">
        <f t="shared" si="8"/>
        <v>41300</v>
      </c>
      <c r="K114" s="17">
        <f t="shared" si="5"/>
        <v>76700</v>
      </c>
      <c r="L114" s="17"/>
      <c r="M114" s="17"/>
      <c r="N114" s="17">
        <f t="shared" si="6"/>
        <v>76700</v>
      </c>
      <c r="O114" s="10" t="s">
        <v>670</v>
      </c>
      <c r="P114" s="72"/>
      <c r="Q114" s="10" t="s">
        <v>895</v>
      </c>
      <c r="R114" s="17"/>
      <c r="S114" s="17"/>
      <c r="T114" s="17"/>
      <c r="U114" s="17"/>
      <c r="V114" s="17"/>
      <c r="W114" s="17"/>
    </row>
    <row r="115" spans="1:23" s="26" customFormat="1">
      <c r="A115" s="880">
        <v>44474</v>
      </c>
      <c r="B115" s="10" t="s">
        <v>670</v>
      </c>
      <c r="C115" s="10" t="s">
        <v>6957</v>
      </c>
      <c r="D115" s="119" t="s">
        <v>6958</v>
      </c>
      <c r="E115" s="754" t="s">
        <v>5081</v>
      </c>
      <c r="F115" s="754" t="s">
        <v>5082</v>
      </c>
      <c r="G115" s="30">
        <v>2</v>
      </c>
      <c r="H115" s="26">
        <v>31000</v>
      </c>
      <c r="I115" s="17">
        <f t="shared" si="4"/>
        <v>62000</v>
      </c>
      <c r="J115" s="86">
        <f t="shared" si="8"/>
        <v>21700</v>
      </c>
      <c r="K115" s="17">
        <f t="shared" si="5"/>
        <v>40300</v>
      </c>
      <c r="N115" s="17">
        <f t="shared" si="6"/>
        <v>40300</v>
      </c>
      <c r="O115" s="10" t="s">
        <v>670</v>
      </c>
      <c r="P115" s="36"/>
      <c r="Q115" s="10" t="s">
        <v>895</v>
      </c>
    </row>
    <row r="116" spans="1:23" s="20" customFormat="1">
      <c r="A116" s="880">
        <v>44474</v>
      </c>
      <c r="B116" s="10" t="s">
        <v>670</v>
      </c>
      <c r="C116" s="10" t="s">
        <v>6957</v>
      </c>
      <c r="D116" s="119" t="s">
        <v>6958</v>
      </c>
      <c r="E116" s="782" t="s">
        <v>6974</v>
      </c>
      <c r="F116" s="782" t="s">
        <v>6975</v>
      </c>
      <c r="G116" s="30">
        <v>2</v>
      </c>
      <c r="H116" s="888">
        <v>71000</v>
      </c>
      <c r="I116" s="17">
        <f t="shared" si="4"/>
        <v>142000</v>
      </c>
      <c r="J116" s="86">
        <f t="shared" si="8"/>
        <v>49700</v>
      </c>
      <c r="K116" s="17">
        <f t="shared" si="5"/>
        <v>92300</v>
      </c>
      <c r="L116" s="17"/>
      <c r="M116" s="17"/>
      <c r="N116" s="17">
        <f t="shared" si="6"/>
        <v>92300</v>
      </c>
      <c r="O116" s="10" t="s">
        <v>670</v>
      </c>
      <c r="P116" s="72"/>
      <c r="Q116" s="10" t="s">
        <v>895</v>
      </c>
      <c r="R116" s="17"/>
      <c r="S116" s="17"/>
      <c r="T116" s="17"/>
      <c r="U116" s="17"/>
      <c r="V116" s="17"/>
      <c r="W116" s="17"/>
    </row>
    <row r="117" spans="1:23" s="20" customFormat="1">
      <c r="A117" s="880">
        <v>44474</v>
      </c>
      <c r="B117" s="10" t="s">
        <v>670</v>
      </c>
      <c r="C117" s="10" t="s">
        <v>6957</v>
      </c>
      <c r="D117" s="119" t="s">
        <v>6958</v>
      </c>
      <c r="E117" s="893" t="s">
        <v>6754</v>
      </c>
      <c r="F117" s="782" t="s">
        <v>6755</v>
      </c>
      <c r="G117" s="30">
        <v>2</v>
      </c>
      <c r="H117" s="171">
        <v>113000</v>
      </c>
      <c r="I117" s="17">
        <f t="shared" si="4"/>
        <v>226000</v>
      </c>
      <c r="J117" s="86">
        <f t="shared" si="8"/>
        <v>79100</v>
      </c>
      <c r="K117" s="17">
        <f t="shared" si="5"/>
        <v>146900</v>
      </c>
      <c r="L117" s="17"/>
      <c r="M117" s="17"/>
      <c r="N117" s="17">
        <f t="shared" si="6"/>
        <v>146900</v>
      </c>
      <c r="O117" s="10" t="s">
        <v>670</v>
      </c>
      <c r="P117" s="72"/>
      <c r="Q117" s="10" t="s">
        <v>895</v>
      </c>
      <c r="R117" s="17"/>
      <c r="S117" s="17"/>
      <c r="T117" s="17"/>
      <c r="U117" s="17"/>
      <c r="V117" s="17"/>
      <c r="W117" s="17"/>
    </row>
    <row r="118" spans="1:23" s="20" customFormat="1">
      <c r="A118" s="880">
        <v>44474</v>
      </c>
      <c r="B118" s="10" t="s">
        <v>670</v>
      </c>
      <c r="C118" s="10" t="s">
        <v>6957</v>
      </c>
      <c r="D118" s="119" t="s">
        <v>6958</v>
      </c>
      <c r="E118" s="754" t="s">
        <v>6976</v>
      </c>
      <c r="F118" s="754" t="s">
        <v>6977</v>
      </c>
      <c r="G118" s="30">
        <v>2</v>
      </c>
      <c r="H118" s="888">
        <v>297000</v>
      </c>
      <c r="I118" s="17">
        <f t="shared" si="4"/>
        <v>594000</v>
      </c>
      <c r="J118" s="86">
        <f t="shared" si="8"/>
        <v>207900</v>
      </c>
      <c r="K118" s="17">
        <f t="shared" si="5"/>
        <v>386100</v>
      </c>
      <c r="L118" s="17"/>
      <c r="M118" s="17"/>
      <c r="N118" s="17">
        <f t="shared" si="6"/>
        <v>386100</v>
      </c>
      <c r="O118" s="10" t="s">
        <v>670</v>
      </c>
      <c r="P118" s="183"/>
      <c r="Q118" s="10" t="s">
        <v>895</v>
      </c>
      <c r="R118" s="17"/>
      <c r="S118" s="17"/>
      <c r="T118" s="17"/>
      <c r="U118" s="17"/>
      <c r="V118" s="17"/>
      <c r="W118" s="17"/>
    </row>
    <row r="119" spans="1:23" s="20" customFormat="1">
      <c r="A119" s="880">
        <v>44474</v>
      </c>
      <c r="B119" s="10" t="s">
        <v>670</v>
      </c>
      <c r="C119" s="10" t="s">
        <v>6957</v>
      </c>
      <c r="D119" s="119" t="s">
        <v>6958</v>
      </c>
      <c r="E119" s="782" t="s">
        <v>5742</v>
      </c>
      <c r="F119" s="782" t="s">
        <v>5743</v>
      </c>
      <c r="G119" s="30">
        <v>2</v>
      </c>
      <c r="H119" s="171">
        <v>73500</v>
      </c>
      <c r="I119" s="17">
        <f t="shared" si="4"/>
        <v>147000</v>
      </c>
      <c r="J119" s="86">
        <f t="shared" si="8"/>
        <v>51450</v>
      </c>
      <c r="K119" s="17">
        <f t="shared" si="5"/>
        <v>95550</v>
      </c>
      <c r="L119" s="17"/>
      <c r="M119" s="17"/>
      <c r="N119" s="17">
        <f t="shared" si="6"/>
        <v>95550</v>
      </c>
      <c r="O119" s="10" t="s">
        <v>670</v>
      </c>
      <c r="P119" s="72"/>
      <c r="Q119" s="10" t="s">
        <v>895</v>
      </c>
      <c r="R119" s="17"/>
      <c r="S119" s="17"/>
      <c r="T119" s="17"/>
      <c r="U119" s="17"/>
      <c r="V119" s="17"/>
      <c r="W119" s="17"/>
    </row>
    <row r="120" spans="1:23" s="20" customFormat="1">
      <c r="A120" s="880">
        <v>44474</v>
      </c>
      <c r="B120" s="10" t="s">
        <v>670</v>
      </c>
      <c r="C120" s="10" t="s">
        <v>6957</v>
      </c>
      <c r="D120" s="119" t="s">
        <v>6958</v>
      </c>
      <c r="E120" s="782" t="s">
        <v>724</v>
      </c>
      <c r="F120" s="782" t="s">
        <v>5784</v>
      </c>
      <c r="G120" s="30">
        <v>2</v>
      </c>
      <c r="H120" s="888">
        <v>56000</v>
      </c>
      <c r="I120" s="17">
        <f t="shared" si="4"/>
        <v>112000</v>
      </c>
      <c r="J120" s="86">
        <f t="shared" si="8"/>
        <v>39200</v>
      </c>
      <c r="K120" s="17">
        <f t="shared" si="5"/>
        <v>72800</v>
      </c>
      <c r="L120" s="17"/>
      <c r="M120" s="17"/>
      <c r="N120" s="17">
        <f t="shared" si="6"/>
        <v>72800</v>
      </c>
      <c r="O120" s="10" t="s">
        <v>670</v>
      </c>
      <c r="P120" s="72"/>
      <c r="Q120" s="10" t="s">
        <v>895</v>
      </c>
      <c r="R120" s="17"/>
      <c r="S120" s="17"/>
      <c r="T120" s="17"/>
      <c r="U120" s="17"/>
      <c r="V120" s="17"/>
      <c r="W120" s="17"/>
    </row>
    <row r="121" spans="1:23" s="20" customFormat="1">
      <c r="A121" s="880">
        <v>44474</v>
      </c>
      <c r="B121" s="10" t="s">
        <v>670</v>
      </c>
      <c r="C121" s="10" t="s">
        <v>6957</v>
      </c>
      <c r="D121" s="119" t="s">
        <v>6958</v>
      </c>
      <c r="E121" s="782" t="s">
        <v>6978</v>
      </c>
      <c r="F121" s="782" t="s">
        <v>6979</v>
      </c>
      <c r="G121" s="30">
        <v>2</v>
      </c>
      <c r="H121" s="171">
        <v>85000</v>
      </c>
      <c r="I121" s="17">
        <f t="shared" si="4"/>
        <v>170000</v>
      </c>
      <c r="J121" s="86">
        <f t="shared" si="8"/>
        <v>59499.999999999993</v>
      </c>
      <c r="K121" s="17">
        <f t="shared" si="5"/>
        <v>110500</v>
      </c>
      <c r="L121" s="17"/>
      <c r="M121" s="17"/>
      <c r="N121" s="17">
        <f t="shared" si="6"/>
        <v>110500</v>
      </c>
      <c r="O121" s="10" t="s">
        <v>670</v>
      </c>
      <c r="P121" s="72"/>
      <c r="Q121" s="10" t="s">
        <v>895</v>
      </c>
      <c r="R121" s="17"/>
      <c r="S121" s="17"/>
      <c r="T121" s="17"/>
      <c r="U121" s="17"/>
      <c r="V121" s="17"/>
      <c r="W121" s="17"/>
    </row>
    <row r="122" spans="1:23" s="20" customFormat="1">
      <c r="A122" s="880">
        <v>44474</v>
      </c>
      <c r="B122" s="10" t="s">
        <v>670</v>
      </c>
      <c r="C122" s="10" t="s">
        <v>6957</v>
      </c>
      <c r="D122" s="119" t="s">
        <v>6958</v>
      </c>
      <c r="E122" s="754" t="s">
        <v>6980</v>
      </c>
      <c r="F122" s="754" t="s">
        <v>6981</v>
      </c>
      <c r="G122" s="30">
        <v>2</v>
      </c>
      <c r="H122" s="888">
        <v>68000</v>
      </c>
      <c r="I122" s="17">
        <f t="shared" si="4"/>
        <v>136000</v>
      </c>
      <c r="J122" s="86">
        <f t="shared" si="8"/>
        <v>47600</v>
      </c>
      <c r="K122" s="17">
        <f t="shared" si="5"/>
        <v>88400</v>
      </c>
      <c r="L122" s="17"/>
      <c r="M122" s="17"/>
      <c r="N122" s="17">
        <f t="shared" si="6"/>
        <v>88400</v>
      </c>
      <c r="O122" s="10" t="s">
        <v>670</v>
      </c>
      <c r="P122" s="72"/>
      <c r="Q122" s="10" t="s">
        <v>895</v>
      </c>
      <c r="R122" s="17"/>
      <c r="S122" s="17"/>
      <c r="T122" s="17"/>
      <c r="U122" s="17"/>
      <c r="V122" s="17"/>
      <c r="W122" s="17"/>
    </row>
    <row r="123" spans="1:23" s="20" customFormat="1">
      <c r="A123" s="880">
        <v>44474</v>
      </c>
      <c r="B123" s="10" t="s">
        <v>670</v>
      </c>
      <c r="C123" s="10" t="s">
        <v>6957</v>
      </c>
      <c r="D123" s="119" t="s">
        <v>6958</v>
      </c>
      <c r="E123" s="782" t="s">
        <v>4920</v>
      </c>
      <c r="F123" s="782" t="s">
        <v>4921</v>
      </c>
      <c r="G123" s="30">
        <v>2</v>
      </c>
      <c r="H123" s="171">
        <v>112000</v>
      </c>
      <c r="I123" s="17">
        <f t="shared" si="4"/>
        <v>224000</v>
      </c>
      <c r="J123" s="86">
        <f t="shared" si="8"/>
        <v>78400</v>
      </c>
      <c r="K123" s="17">
        <f t="shared" si="5"/>
        <v>145600</v>
      </c>
      <c r="L123" s="17"/>
      <c r="M123" s="17"/>
      <c r="N123" s="17">
        <f t="shared" si="6"/>
        <v>145600</v>
      </c>
      <c r="O123" s="10" t="s">
        <v>670</v>
      </c>
      <c r="P123" s="72"/>
      <c r="Q123" s="10" t="s">
        <v>895</v>
      </c>
      <c r="R123" s="17"/>
      <c r="S123" s="17"/>
      <c r="T123" s="17"/>
      <c r="U123" s="17"/>
      <c r="V123" s="17"/>
      <c r="W123" s="17"/>
    </row>
    <row r="124" spans="1:23" s="20" customFormat="1">
      <c r="A124" s="880">
        <v>44474</v>
      </c>
      <c r="B124" s="10" t="s">
        <v>670</v>
      </c>
      <c r="C124" s="10" t="s">
        <v>6957</v>
      </c>
      <c r="D124" s="119" t="s">
        <v>6958</v>
      </c>
      <c r="E124" s="782" t="s">
        <v>3451</v>
      </c>
      <c r="F124" s="782" t="s">
        <v>3452</v>
      </c>
      <c r="G124" s="30">
        <v>2</v>
      </c>
      <c r="H124" s="888">
        <v>86000</v>
      </c>
      <c r="I124" s="17">
        <f t="shared" si="4"/>
        <v>172000</v>
      </c>
      <c r="J124" s="86">
        <f t="shared" si="8"/>
        <v>60199.999999999993</v>
      </c>
      <c r="K124" s="17">
        <f t="shared" si="5"/>
        <v>111800</v>
      </c>
      <c r="L124" s="17"/>
      <c r="M124" s="17"/>
      <c r="N124" s="17">
        <f t="shared" si="6"/>
        <v>111800</v>
      </c>
      <c r="O124" s="10" t="s">
        <v>670</v>
      </c>
      <c r="P124" s="72"/>
      <c r="Q124" s="10" t="s">
        <v>895</v>
      </c>
      <c r="R124" s="17"/>
      <c r="S124" s="17"/>
      <c r="T124" s="17"/>
      <c r="U124" s="17"/>
      <c r="V124" s="17"/>
      <c r="W124" s="17"/>
    </row>
    <row r="125" spans="1:23" s="20" customFormat="1">
      <c r="A125" s="880">
        <v>44474</v>
      </c>
      <c r="B125" s="10" t="s">
        <v>670</v>
      </c>
      <c r="C125" s="10" t="s">
        <v>6957</v>
      </c>
      <c r="D125" s="119" t="s">
        <v>6958</v>
      </c>
      <c r="E125" s="782" t="s">
        <v>6982</v>
      </c>
      <c r="F125" s="782" t="s">
        <v>6983</v>
      </c>
      <c r="G125" s="30">
        <v>2</v>
      </c>
      <c r="H125" s="171">
        <v>115000</v>
      </c>
      <c r="I125" s="17">
        <f t="shared" si="4"/>
        <v>230000</v>
      </c>
      <c r="J125" s="86">
        <f t="shared" si="8"/>
        <v>80500</v>
      </c>
      <c r="K125" s="17">
        <f t="shared" si="5"/>
        <v>149500</v>
      </c>
      <c r="L125" s="17"/>
      <c r="M125" s="17"/>
      <c r="N125" s="17">
        <f t="shared" si="6"/>
        <v>149500</v>
      </c>
      <c r="O125" s="10" t="s">
        <v>670</v>
      </c>
      <c r="P125" s="72"/>
      <c r="Q125" s="10" t="s">
        <v>895</v>
      </c>
      <c r="R125" s="17"/>
      <c r="S125" s="17"/>
      <c r="T125" s="17"/>
      <c r="U125" s="17"/>
      <c r="V125" s="17"/>
      <c r="W125" s="17"/>
    </row>
    <row r="126" spans="1:23" s="20" customFormat="1">
      <c r="A126" s="880">
        <v>44474</v>
      </c>
      <c r="B126" s="10" t="s">
        <v>670</v>
      </c>
      <c r="C126" s="10" t="s">
        <v>6957</v>
      </c>
      <c r="D126" s="119" t="s">
        <v>6958</v>
      </c>
      <c r="E126" s="782" t="s">
        <v>1236</v>
      </c>
      <c r="F126" s="782" t="s">
        <v>1237</v>
      </c>
      <c r="G126" s="894">
        <v>2</v>
      </c>
      <c r="H126" s="888">
        <v>10000</v>
      </c>
      <c r="I126" s="17">
        <f t="shared" si="4"/>
        <v>20000</v>
      </c>
      <c r="J126" s="86">
        <f t="shared" si="8"/>
        <v>7000</v>
      </c>
      <c r="K126" s="17">
        <f t="shared" si="5"/>
        <v>13000</v>
      </c>
      <c r="L126" s="17"/>
      <c r="M126" s="17"/>
      <c r="N126" s="17">
        <f t="shared" si="6"/>
        <v>13000</v>
      </c>
      <c r="O126" s="10" t="s">
        <v>670</v>
      </c>
      <c r="P126" s="72"/>
      <c r="Q126" s="10" t="s">
        <v>895</v>
      </c>
      <c r="R126" s="17"/>
      <c r="S126" s="17"/>
      <c r="T126" s="17"/>
      <c r="U126" s="17"/>
      <c r="V126" s="17"/>
      <c r="W126" s="17"/>
    </row>
    <row r="127" spans="1:23" s="20" customFormat="1">
      <c r="A127" s="880">
        <v>44474</v>
      </c>
      <c r="B127" s="10" t="s">
        <v>670</v>
      </c>
      <c r="C127" s="10" t="s">
        <v>6957</v>
      </c>
      <c r="D127" s="119" t="s">
        <v>6958</v>
      </c>
      <c r="E127" s="782" t="s">
        <v>6984</v>
      </c>
      <c r="F127" s="782" t="s">
        <v>6985</v>
      </c>
      <c r="G127" s="30">
        <v>2</v>
      </c>
      <c r="H127" s="171">
        <v>178500</v>
      </c>
      <c r="I127" s="17">
        <f t="shared" si="4"/>
        <v>357000</v>
      </c>
      <c r="J127" s="86">
        <f t="shared" si="8"/>
        <v>124949.99999999999</v>
      </c>
      <c r="K127" s="17">
        <f t="shared" si="5"/>
        <v>232050</v>
      </c>
      <c r="L127" s="17"/>
      <c r="M127" s="17"/>
      <c r="N127" s="17">
        <f t="shared" si="6"/>
        <v>232050</v>
      </c>
      <c r="O127" s="10" t="s">
        <v>670</v>
      </c>
      <c r="P127" s="72"/>
      <c r="Q127" s="10" t="s">
        <v>895</v>
      </c>
      <c r="R127" s="17"/>
      <c r="S127" s="17"/>
      <c r="T127" s="17"/>
      <c r="U127" s="17"/>
      <c r="V127" s="17"/>
      <c r="W127" s="17"/>
    </row>
    <row r="128" spans="1:23" s="20" customFormat="1">
      <c r="A128" s="880">
        <v>44474</v>
      </c>
      <c r="B128" s="10" t="s">
        <v>670</v>
      </c>
      <c r="C128" s="10" t="s">
        <v>6957</v>
      </c>
      <c r="D128" s="119" t="s">
        <v>6958</v>
      </c>
      <c r="E128" s="782" t="s">
        <v>6986</v>
      </c>
      <c r="F128" s="782" t="s">
        <v>6987</v>
      </c>
      <c r="G128" s="30">
        <v>2</v>
      </c>
      <c r="H128" s="888">
        <v>155000</v>
      </c>
      <c r="I128" s="17">
        <f t="shared" si="4"/>
        <v>310000</v>
      </c>
      <c r="J128" s="86">
        <f t="shared" si="8"/>
        <v>108500</v>
      </c>
      <c r="K128" s="17">
        <f t="shared" si="5"/>
        <v>201500</v>
      </c>
      <c r="L128" s="17"/>
      <c r="M128" s="17"/>
      <c r="N128" s="17">
        <f t="shared" si="6"/>
        <v>201500</v>
      </c>
      <c r="O128" s="10" t="s">
        <v>670</v>
      </c>
      <c r="P128" s="72"/>
      <c r="Q128" s="10" t="s">
        <v>895</v>
      </c>
      <c r="R128" s="17"/>
      <c r="S128" s="17"/>
      <c r="T128" s="17"/>
      <c r="U128" s="17"/>
      <c r="V128" s="17"/>
      <c r="W128" s="17"/>
    </row>
    <row r="129" spans="1:23" s="20" customFormat="1">
      <c r="A129" s="880">
        <v>44474</v>
      </c>
      <c r="B129" s="10" t="s">
        <v>670</v>
      </c>
      <c r="C129" s="10" t="s">
        <v>6957</v>
      </c>
      <c r="D129" s="119" t="s">
        <v>6958</v>
      </c>
      <c r="E129" s="782" t="s">
        <v>6716</v>
      </c>
      <c r="F129" s="782" t="s">
        <v>6717</v>
      </c>
      <c r="G129" s="30">
        <v>2</v>
      </c>
      <c r="H129" s="171">
        <v>115000</v>
      </c>
      <c r="I129" s="17">
        <f t="shared" si="4"/>
        <v>230000</v>
      </c>
      <c r="J129" s="86">
        <f t="shared" si="8"/>
        <v>80500</v>
      </c>
      <c r="K129" s="17">
        <f t="shared" si="5"/>
        <v>149500</v>
      </c>
      <c r="L129" s="17"/>
      <c r="M129" s="17"/>
      <c r="N129" s="17">
        <f t="shared" si="6"/>
        <v>149500</v>
      </c>
      <c r="O129" s="10" t="s">
        <v>670</v>
      </c>
      <c r="P129" s="183"/>
      <c r="Q129" s="10" t="s">
        <v>895</v>
      </c>
      <c r="R129" s="17"/>
      <c r="S129" s="13"/>
      <c r="T129" s="17"/>
      <c r="U129" s="17"/>
      <c r="V129" s="17"/>
      <c r="W129" s="17"/>
    </row>
    <row r="130" spans="1:23" s="20" customFormat="1">
      <c r="A130" s="880">
        <v>44474</v>
      </c>
      <c r="B130" s="10" t="s">
        <v>670</v>
      </c>
      <c r="C130" s="10" t="s">
        <v>6957</v>
      </c>
      <c r="D130" s="119" t="s">
        <v>6958</v>
      </c>
      <c r="E130" s="782" t="s">
        <v>6988</v>
      </c>
      <c r="F130" s="782" t="s">
        <v>6989</v>
      </c>
      <c r="G130" s="30">
        <v>2</v>
      </c>
      <c r="H130" s="888">
        <v>90000</v>
      </c>
      <c r="I130" s="17">
        <f t="shared" si="4"/>
        <v>180000</v>
      </c>
      <c r="J130" s="86">
        <f t="shared" si="8"/>
        <v>62999.999999999993</v>
      </c>
      <c r="K130" s="17">
        <f t="shared" si="5"/>
        <v>117000</v>
      </c>
      <c r="L130" s="17"/>
      <c r="M130" s="17"/>
      <c r="N130" s="17">
        <f t="shared" si="6"/>
        <v>117000</v>
      </c>
      <c r="O130" s="10" t="s">
        <v>670</v>
      </c>
      <c r="P130" s="72"/>
      <c r="Q130" s="10" t="s">
        <v>895</v>
      </c>
      <c r="R130" s="17"/>
      <c r="S130" s="13"/>
      <c r="T130" s="17"/>
      <c r="U130" s="17"/>
      <c r="V130" s="17"/>
      <c r="W130" s="17"/>
    </row>
    <row r="131" spans="1:23" s="20" customFormat="1">
      <c r="A131" s="880">
        <v>44474</v>
      </c>
      <c r="B131" s="10" t="s">
        <v>670</v>
      </c>
      <c r="C131" s="10" t="s">
        <v>6957</v>
      </c>
      <c r="D131" s="119" t="s">
        <v>6958</v>
      </c>
      <c r="E131" s="782" t="s">
        <v>3775</v>
      </c>
      <c r="F131" s="782" t="s">
        <v>4255</v>
      </c>
      <c r="G131" s="30">
        <v>2</v>
      </c>
      <c r="H131" s="171">
        <v>115500</v>
      </c>
      <c r="I131" s="17">
        <f t="shared" ref="I131:I194" si="9">H131*G131</f>
        <v>231000</v>
      </c>
      <c r="J131" s="86">
        <f t="shared" si="8"/>
        <v>80850</v>
      </c>
      <c r="K131" s="17">
        <f t="shared" ref="K131:K194" si="10">I131-J131</f>
        <v>150150</v>
      </c>
      <c r="L131" s="17"/>
      <c r="M131" s="17"/>
      <c r="N131" s="17">
        <f t="shared" ref="N131:N194" si="11">K131+L131+M131</f>
        <v>150150</v>
      </c>
      <c r="O131" s="10" t="s">
        <v>670</v>
      </c>
      <c r="P131" s="72"/>
      <c r="Q131" s="10" t="s">
        <v>895</v>
      </c>
      <c r="R131" s="17"/>
      <c r="S131" s="17"/>
      <c r="T131" s="17"/>
      <c r="U131" s="17"/>
      <c r="V131" s="17"/>
      <c r="W131" s="17"/>
    </row>
    <row r="132" spans="1:23" s="20" customFormat="1">
      <c r="A132" s="880">
        <v>44474</v>
      </c>
      <c r="B132" s="10" t="s">
        <v>670</v>
      </c>
      <c r="C132" s="10" t="s">
        <v>6957</v>
      </c>
      <c r="D132" s="119" t="s">
        <v>6958</v>
      </c>
      <c r="E132" s="782" t="s">
        <v>2876</v>
      </c>
      <c r="F132" s="782" t="s">
        <v>128</v>
      </c>
      <c r="G132" s="30">
        <v>2</v>
      </c>
      <c r="H132" s="888">
        <v>70000</v>
      </c>
      <c r="I132" s="17">
        <f t="shared" si="9"/>
        <v>140000</v>
      </c>
      <c r="J132" s="86">
        <f t="shared" si="8"/>
        <v>49000</v>
      </c>
      <c r="K132" s="17">
        <f t="shared" si="10"/>
        <v>91000</v>
      </c>
      <c r="L132" s="17"/>
      <c r="M132" s="17"/>
      <c r="N132" s="17">
        <f t="shared" si="11"/>
        <v>91000</v>
      </c>
      <c r="O132" s="10" t="s">
        <v>670</v>
      </c>
      <c r="P132" s="183"/>
      <c r="Q132" s="10" t="s">
        <v>895</v>
      </c>
      <c r="R132" s="17"/>
      <c r="S132" s="17"/>
      <c r="T132" s="17"/>
      <c r="U132" s="17"/>
      <c r="V132" s="17"/>
      <c r="W132" s="17"/>
    </row>
    <row r="133" spans="1:23" s="20" customFormat="1">
      <c r="A133" s="880">
        <v>44474</v>
      </c>
      <c r="B133" s="10" t="s">
        <v>670</v>
      </c>
      <c r="C133" s="10" t="s">
        <v>6957</v>
      </c>
      <c r="D133" s="119" t="s">
        <v>6958</v>
      </c>
      <c r="E133" s="754" t="s">
        <v>3781</v>
      </c>
      <c r="F133" s="754" t="s">
        <v>3782</v>
      </c>
      <c r="G133" s="30">
        <v>2</v>
      </c>
      <c r="H133" s="171">
        <v>211000</v>
      </c>
      <c r="I133" s="17">
        <f t="shared" si="9"/>
        <v>422000</v>
      </c>
      <c r="J133" s="86">
        <f t="shared" si="8"/>
        <v>147700</v>
      </c>
      <c r="K133" s="17">
        <f t="shared" si="10"/>
        <v>274300</v>
      </c>
      <c r="L133" s="17"/>
      <c r="M133" s="17"/>
      <c r="N133" s="17">
        <f t="shared" si="11"/>
        <v>274300</v>
      </c>
      <c r="O133" s="10" t="s">
        <v>670</v>
      </c>
      <c r="P133" s="72"/>
      <c r="Q133" s="10" t="s">
        <v>895</v>
      </c>
      <c r="R133" s="17"/>
      <c r="S133" s="17"/>
      <c r="T133" s="17"/>
      <c r="U133" s="17"/>
      <c r="V133" s="17"/>
      <c r="W133" s="17"/>
    </row>
    <row r="134" spans="1:23" s="20" customFormat="1">
      <c r="A134" s="880">
        <v>44474</v>
      </c>
      <c r="B134" s="10" t="s">
        <v>670</v>
      </c>
      <c r="C134" s="10" t="s">
        <v>6957</v>
      </c>
      <c r="D134" s="119" t="s">
        <v>6958</v>
      </c>
      <c r="E134" s="782" t="s">
        <v>2881</v>
      </c>
      <c r="F134" s="782" t="s">
        <v>2882</v>
      </c>
      <c r="G134" s="30">
        <v>2</v>
      </c>
      <c r="H134" s="888">
        <v>155000</v>
      </c>
      <c r="I134" s="17">
        <f t="shared" si="9"/>
        <v>310000</v>
      </c>
      <c r="J134" s="86">
        <f t="shared" si="8"/>
        <v>108500</v>
      </c>
      <c r="K134" s="17">
        <f t="shared" si="10"/>
        <v>201500</v>
      </c>
      <c r="L134" s="17"/>
      <c r="M134" s="17"/>
      <c r="N134" s="17">
        <f t="shared" si="11"/>
        <v>201500</v>
      </c>
      <c r="O134" s="10" t="s">
        <v>670</v>
      </c>
      <c r="P134" s="72"/>
      <c r="Q134" s="10" t="s">
        <v>895</v>
      </c>
      <c r="R134" s="17"/>
      <c r="S134" s="17"/>
      <c r="T134" s="17"/>
      <c r="U134" s="17"/>
      <c r="V134" s="17"/>
      <c r="W134" s="17"/>
    </row>
    <row r="135" spans="1:23" s="20" customFormat="1">
      <c r="A135" s="880">
        <v>44474</v>
      </c>
      <c r="B135" s="10" t="s">
        <v>670</v>
      </c>
      <c r="C135" s="10" t="s">
        <v>6957</v>
      </c>
      <c r="D135" s="119" t="s">
        <v>6958</v>
      </c>
      <c r="E135" s="782" t="s">
        <v>5699</v>
      </c>
      <c r="F135" s="782" t="s">
        <v>2311</v>
      </c>
      <c r="G135" s="30">
        <v>2</v>
      </c>
      <c r="H135" s="171">
        <v>76000</v>
      </c>
      <c r="I135" s="17">
        <f t="shared" si="9"/>
        <v>152000</v>
      </c>
      <c r="J135" s="86">
        <f t="shared" si="8"/>
        <v>53200</v>
      </c>
      <c r="K135" s="17">
        <f t="shared" si="10"/>
        <v>98800</v>
      </c>
      <c r="L135" s="17"/>
      <c r="M135" s="17"/>
      <c r="N135" s="17">
        <f t="shared" si="11"/>
        <v>98800</v>
      </c>
      <c r="O135" s="10" t="s">
        <v>670</v>
      </c>
      <c r="P135" s="183"/>
      <c r="Q135" s="10" t="s">
        <v>895</v>
      </c>
      <c r="R135" s="17"/>
      <c r="S135" s="17"/>
      <c r="T135" s="17"/>
      <c r="U135" s="17"/>
      <c r="V135" s="17"/>
      <c r="W135" s="17"/>
    </row>
    <row r="136" spans="1:23" s="20" customFormat="1">
      <c r="A136" s="880">
        <v>44474</v>
      </c>
      <c r="B136" s="10" t="s">
        <v>670</v>
      </c>
      <c r="C136" s="10" t="s">
        <v>6957</v>
      </c>
      <c r="D136" s="119" t="s">
        <v>6958</v>
      </c>
      <c r="E136" s="782" t="s">
        <v>3024</v>
      </c>
      <c r="F136" s="782" t="s">
        <v>4256</v>
      </c>
      <c r="G136" s="30">
        <v>2</v>
      </c>
      <c r="H136" s="888">
        <v>85000</v>
      </c>
      <c r="I136" s="17">
        <f t="shared" si="9"/>
        <v>170000</v>
      </c>
      <c r="J136" s="86">
        <f t="shared" si="8"/>
        <v>59499.999999999993</v>
      </c>
      <c r="K136" s="17">
        <f t="shared" si="10"/>
        <v>110500</v>
      </c>
      <c r="L136" s="17"/>
      <c r="M136" s="17"/>
      <c r="N136" s="17">
        <f t="shared" si="11"/>
        <v>110500</v>
      </c>
      <c r="O136" s="10" t="s">
        <v>670</v>
      </c>
      <c r="P136" s="183"/>
      <c r="Q136" s="10" t="s">
        <v>895</v>
      </c>
      <c r="R136" s="17"/>
      <c r="S136" s="17"/>
      <c r="T136" s="17"/>
      <c r="U136" s="17"/>
      <c r="V136" s="17"/>
      <c r="W136" s="17"/>
    </row>
    <row r="137" spans="1:23" s="20" customFormat="1">
      <c r="A137" s="880">
        <v>44474</v>
      </c>
      <c r="B137" s="10" t="s">
        <v>670</v>
      </c>
      <c r="C137" s="10" t="s">
        <v>6957</v>
      </c>
      <c r="D137" s="119" t="s">
        <v>6958</v>
      </c>
      <c r="E137" s="76" t="s">
        <v>5668</v>
      </c>
      <c r="F137" s="76" t="s">
        <v>2882</v>
      </c>
      <c r="G137" s="30">
        <v>2</v>
      </c>
      <c r="H137" s="171">
        <v>109000</v>
      </c>
      <c r="I137" s="17">
        <f t="shared" si="9"/>
        <v>218000</v>
      </c>
      <c r="J137" s="86">
        <f t="shared" si="8"/>
        <v>76300</v>
      </c>
      <c r="K137" s="17">
        <f t="shared" si="10"/>
        <v>141700</v>
      </c>
      <c r="L137" s="17"/>
      <c r="M137" s="17"/>
      <c r="N137" s="17">
        <f t="shared" si="11"/>
        <v>141700</v>
      </c>
      <c r="O137" s="10" t="s">
        <v>670</v>
      </c>
      <c r="P137" s="72"/>
      <c r="Q137" s="10" t="s">
        <v>895</v>
      </c>
      <c r="R137" s="17"/>
      <c r="S137" s="17"/>
      <c r="T137" s="17"/>
      <c r="U137" s="17"/>
      <c r="V137" s="17"/>
      <c r="W137" s="17"/>
    </row>
    <row r="138" spans="1:23" s="20" customFormat="1">
      <c r="A138" s="880">
        <v>44474</v>
      </c>
      <c r="B138" s="10" t="s">
        <v>670</v>
      </c>
      <c r="C138" s="10" t="s">
        <v>6957</v>
      </c>
      <c r="D138" s="119" t="s">
        <v>6958</v>
      </c>
      <c r="E138" s="739" t="s">
        <v>3282</v>
      </c>
      <c r="F138" s="739" t="s">
        <v>3283</v>
      </c>
      <c r="G138" s="30">
        <v>2</v>
      </c>
      <c r="H138" s="888">
        <v>166500</v>
      </c>
      <c r="I138" s="17">
        <f t="shared" si="9"/>
        <v>333000</v>
      </c>
      <c r="J138" s="86">
        <f t="shared" si="8"/>
        <v>116549.99999999999</v>
      </c>
      <c r="K138" s="17">
        <f t="shared" si="10"/>
        <v>216450</v>
      </c>
      <c r="L138" s="17"/>
      <c r="M138" s="17"/>
      <c r="N138" s="17">
        <f t="shared" si="11"/>
        <v>216450</v>
      </c>
      <c r="O138" s="10" t="s">
        <v>670</v>
      </c>
      <c r="P138" s="183"/>
      <c r="Q138" s="10" t="s">
        <v>895</v>
      </c>
      <c r="R138" s="17"/>
      <c r="S138" s="17"/>
      <c r="T138" s="17"/>
      <c r="U138" s="17"/>
      <c r="V138" s="17"/>
      <c r="W138" s="17"/>
    </row>
    <row r="139" spans="1:23" s="20" customFormat="1">
      <c r="A139" s="880">
        <v>44474</v>
      </c>
      <c r="B139" s="10" t="s">
        <v>23</v>
      </c>
      <c r="C139" s="10" t="s">
        <v>431</v>
      </c>
      <c r="D139" s="887" t="s">
        <v>31</v>
      </c>
      <c r="E139" s="746" t="s">
        <v>6990</v>
      </c>
      <c r="F139" s="746" t="s">
        <v>2117</v>
      </c>
      <c r="G139" s="30">
        <v>1</v>
      </c>
      <c r="H139" s="171">
        <v>54000</v>
      </c>
      <c r="I139" s="17">
        <f t="shared" si="9"/>
        <v>54000</v>
      </c>
      <c r="J139" s="86">
        <f>I139*25%</f>
        <v>13500</v>
      </c>
      <c r="K139" s="17">
        <f t="shared" si="10"/>
        <v>40500</v>
      </c>
      <c r="L139" s="17"/>
      <c r="M139" s="17"/>
      <c r="N139" s="17">
        <f t="shared" si="11"/>
        <v>40500</v>
      </c>
      <c r="O139" s="10" t="s">
        <v>23</v>
      </c>
      <c r="P139" s="183"/>
      <c r="Q139" s="10" t="s">
        <v>283</v>
      </c>
      <c r="R139" s="17"/>
      <c r="S139" s="17"/>
      <c r="T139" s="17"/>
      <c r="U139" s="17"/>
      <c r="V139" s="17"/>
      <c r="W139" s="17"/>
    </row>
    <row r="140" spans="1:23" s="20" customFormat="1">
      <c r="A140" s="880">
        <v>44474</v>
      </c>
      <c r="B140" s="10" t="s">
        <v>23</v>
      </c>
      <c r="C140" s="10" t="s">
        <v>431</v>
      </c>
      <c r="D140" s="887" t="s">
        <v>31</v>
      </c>
      <c r="E140" s="746" t="s">
        <v>1002</v>
      </c>
      <c r="F140" s="746" t="s">
        <v>1003</v>
      </c>
      <c r="G140" s="30">
        <v>1</v>
      </c>
      <c r="H140" s="888">
        <v>101000</v>
      </c>
      <c r="I140" s="17">
        <f t="shared" si="9"/>
        <v>101000</v>
      </c>
      <c r="J140" s="86">
        <f>I140*25%+40000</f>
        <v>65250</v>
      </c>
      <c r="K140" s="17">
        <f t="shared" si="10"/>
        <v>35750</v>
      </c>
      <c r="L140" s="17"/>
      <c r="M140" s="17"/>
      <c r="N140" s="17">
        <f t="shared" si="11"/>
        <v>35750</v>
      </c>
      <c r="O140" s="10" t="s">
        <v>23</v>
      </c>
      <c r="P140" s="183"/>
      <c r="Q140" s="10" t="s">
        <v>283</v>
      </c>
      <c r="R140" s="17"/>
      <c r="S140" s="17"/>
      <c r="T140" s="17"/>
      <c r="U140" s="17"/>
      <c r="V140" s="17"/>
      <c r="W140" s="17"/>
    </row>
    <row r="141" spans="1:23" s="20" customFormat="1">
      <c r="A141" s="880">
        <v>44474</v>
      </c>
      <c r="B141" s="10" t="s">
        <v>23</v>
      </c>
      <c r="C141" s="10" t="s">
        <v>431</v>
      </c>
      <c r="D141" s="887" t="s">
        <v>31</v>
      </c>
      <c r="E141" s="876" t="s">
        <v>6991</v>
      </c>
      <c r="F141" s="876" t="s">
        <v>6992</v>
      </c>
      <c r="G141" s="30">
        <v>1</v>
      </c>
      <c r="H141" s="171">
        <v>114000</v>
      </c>
      <c r="I141" s="17">
        <f t="shared" si="9"/>
        <v>114000</v>
      </c>
      <c r="J141" s="86">
        <f t="shared" ref="J141" si="12">I141*25%</f>
        <v>28500</v>
      </c>
      <c r="K141" s="17">
        <f t="shared" si="10"/>
        <v>85500</v>
      </c>
      <c r="L141" s="17"/>
      <c r="M141" s="17"/>
      <c r="N141" s="17">
        <f t="shared" si="11"/>
        <v>85500</v>
      </c>
      <c r="O141" s="10" t="s">
        <v>23</v>
      </c>
      <c r="P141" s="72"/>
      <c r="Q141" s="10" t="s">
        <v>283</v>
      </c>
      <c r="R141" s="17"/>
      <c r="S141" s="17"/>
      <c r="T141" s="17"/>
      <c r="U141" s="17"/>
      <c r="V141" s="17"/>
      <c r="W141" s="17"/>
    </row>
    <row r="142" spans="1:23" s="20" customFormat="1">
      <c r="A142" s="880">
        <v>44475</v>
      </c>
      <c r="B142" s="76" t="s">
        <v>43</v>
      </c>
      <c r="C142" s="76" t="s">
        <v>6993</v>
      </c>
      <c r="D142" s="887" t="s">
        <v>6994</v>
      </c>
      <c r="E142" s="76" t="s">
        <v>4636</v>
      </c>
      <c r="F142" s="76" t="s">
        <v>4637</v>
      </c>
      <c r="G142" s="30">
        <v>1</v>
      </c>
      <c r="H142" s="888">
        <v>96000</v>
      </c>
      <c r="I142" s="17">
        <f t="shared" si="9"/>
        <v>96000</v>
      </c>
      <c r="J142" s="17"/>
      <c r="K142" s="17">
        <f t="shared" si="10"/>
        <v>96000</v>
      </c>
      <c r="L142" s="17"/>
      <c r="M142" s="17">
        <v>-5376</v>
      </c>
      <c r="N142" s="17">
        <f t="shared" si="11"/>
        <v>90624</v>
      </c>
      <c r="O142" s="76" t="s">
        <v>43</v>
      </c>
      <c r="P142" s="183"/>
      <c r="Q142" s="76" t="s">
        <v>176</v>
      </c>
      <c r="R142" s="17"/>
      <c r="S142" s="17"/>
      <c r="T142" s="17"/>
      <c r="U142" s="17"/>
      <c r="V142" s="17"/>
      <c r="W142" s="17"/>
    </row>
    <row r="143" spans="1:23" s="20" customFormat="1">
      <c r="A143" s="880">
        <v>44475</v>
      </c>
      <c r="B143" s="76" t="s">
        <v>43</v>
      </c>
      <c r="C143" s="76" t="s">
        <v>6995</v>
      </c>
      <c r="D143" s="887" t="s">
        <v>6996</v>
      </c>
      <c r="E143" s="76" t="s">
        <v>579</v>
      </c>
      <c r="F143" s="76" t="s">
        <v>72</v>
      </c>
      <c r="G143" s="30">
        <v>1</v>
      </c>
      <c r="H143" s="171">
        <v>108000</v>
      </c>
      <c r="I143" s="17">
        <f t="shared" si="9"/>
        <v>108000</v>
      </c>
      <c r="J143" s="17"/>
      <c r="K143" s="17">
        <f t="shared" si="10"/>
        <v>108000</v>
      </c>
      <c r="L143" s="17"/>
      <c r="M143" s="17">
        <v>-6048</v>
      </c>
      <c r="N143" s="17">
        <f t="shared" si="11"/>
        <v>101952</v>
      </c>
      <c r="O143" s="76" t="s">
        <v>43</v>
      </c>
      <c r="P143" s="72"/>
      <c r="Q143" s="76" t="s">
        <v>54</v>
      </c>
      <c r="R143" s="17"/>
      <c r="S143" s="17"/>
      <c r="T143" s="17"/>
      <c r="U143" s="17"/>
      <c r="V143" s="17"/>
      <c r="W143" s="17"/>
    </row>
    <row r="144" spans="1:23" s="20" customFormat="1">
      <c r="A144" s="880">
        <v>44475</v>
      </c>
      <c r="B144" s="76" t="s">
        <v>43</v>
      </c>
      <c r="C144" s="739" t="s">
        <v>6997</v>
      </c>
      <c r="D144" s="887" t="s">
        <v>6998</v>
      </c>
      <c r="E144" s="739" t="s">
        <v>4833</v>
      </c>
      <c r="F144" s="739" t="s">
        <v>4834</v>
      </c>
      <c r="G144" s="30">
        <v>1</v>
      </c>
      <c r="H144" s="888">
        <v>57000</v>
      </c>
      <c r="I144" s="17">
        <f t="shared" si="9"/>
        <v>57000</v>
      </c>
      <c r="J144" s="17"/>
      <c r="K144" s="17">
        <f t="shared" si="10"/>
        <v>57000</v>
      </c>
      <c r="L144" s="17"/>
      <c r="M144" s="17">
        <v>-3192</v>
      </c>
      <c r="N144" s="17">
        <f t="shared" si="11"/>
        <v>53808</v>
      </c>
      <c r="O144" s="76" t="s">
        <v>43</v>
      </c>
      <c r="P144" s="72"/>
      <c r="Q144" s="76" t="s">
        <v>176</v>
      </c>
      <c r="R144" s="17"/>
      <c r="S144" s="17"/>
      <c r="T144" s="17"/>
      <c r="U144" s="17"/>
      <c r="V144" s="17"/>
      <c r="W144" s="17"/>
    </row>
    <row r="145" spans="1:23" s="20" customFormat="1">
      <c r="A145" s="880">
        <v>44475</v>
      </c>
      <c r="B145" s="76" t="s">
        <v>177</v>
      </c>
      <c r="C145" s="739" t="s">
        <v>6999</v>
      </c>
      <c r="D145" s="887" t="s">
        <v>7000</v>
      </c>
      <c r="E145" s="739" t="s">
        <v>899</v>
      </c>
      <c r="F145" s="739" t="s">
        <v>900</v>
      </c>
      <c r="G145" s="30">
        <v>1</v>
      </c>
      <c r="H145" s="171">
        <v>78000</v>
      </c>
      <c r="I145" s="17">
        <f t="shared" si="9"/>
        <v>78000</v>
      </c>
      <c r="J145" s="17"/>
      <c r="K145" s="17">
        <f t="shared" si="10"/>
        <v>78000</v>
      </c>
      <c r="L145" s="17">
        <v>9000</v>
      </c>
      <c r="M145" s="17"/>
      <c r="N145" s="17">
        <f t="shared" si="11"/>
        <v>87000</v>
      </c>
      <c r="O145" s="76" t="s">
        <v>177</v>
      </c>
      <c r="P145" s="72"/>
      <c r="Q145" s="76" t="s">
        <v>54</v>
      </c>
      <c r="R145" s="17"/>
      <c r="S145" s="17"/>
      <c r="T145" s="17"/>
      <c r="U145" s="17"/>
      <c r="V145" s="17"/>
      <c r="W145" s="17"/>
    </row>
    <row r="146" spans="1:23" s="20" customFormat="1">
      <c r="A146" s="880">
        <v>44475</v>
      </c>
      <c r="B146" s="76" t="s">
        <v>23</v>
      </c>
      <c r="C146" s="76" t="s">
        <v>6888</v>
      </c>
      <c r="D146" s="29" t="s">
        <v>6889</v>
      </c>
      <c r="E146" s="739" t="s">
        <v>5787</v>
      </c>
      <c r="F146" s="739" t="s">
        <v>5788</v>
      </c>
      <c r="G146" s="30">
        <v>1</v>
      </c>
      <c r="H146" s="888">
        <v>122000</v>
      </c>
      <c r="I146" s="17">
        <f t="shared" si="9"/>
        <v>122000</v>
      </c>
      <c r="J146" s="17"/>
      <c r="K146" s="17">
        <f t="shared" si="10"/>
        <v>122000</v>
      </c>
      <c r="L146" s="17">
        <v>19000</v>
      </c>
      <c r="M146" s="17"/>
      <c r="N146" s="17">
        <f t="shared" si="11"/>
        <v>141000</v>
      </c>
      <c r="O146" s="76" t="s">
        <v>23</v>
      </c>
      <c r="P146" s="183"/>
      <c r="Q146" s="76" t="s">
        <v>54</v>
      </c>
      <c r="R146" s="17"/>
      <c r="S146" s="17"/>
      <c r="T146" s="17"/>
      <c r="U146" s="17"/>
      <c r="V146" s="17"/>
      <c r="W146" s="17"/>
    </row>
    <row r="147" spans="1:23" s="20" customFormat="1">
      <c r="A147" s="880">
        <v>44475</v>
      </c>
      <c r="B147" s="76" t="s">
        <v>23</v>
      </c>
      <c r="C147" s="76" t="s">
        <v>7001</v>
      </c>
      <c r="D147" s="887" t="s">
        <v>9442</v>
      </c>
      <c r="E147" s="76" t="s">
        <v>7002</v>
      </c>
      <c r="F147" s="76" t="s">
        <v>7003</v>
      </c>
      <c r="G147" s="30">
        <v>1</v>
      </c>
      <c r="H147" s="171">
        <v>70500</v>
      </c>
      <c r="I147" s="17">
        <f t="shared" si="9"/>
        <v>70500</v>
      </c>
      <c r="J147" s="17"/>
      <c r="K147" s="17">
        <f t="shared" si="10"/>
        <v>70500</v>
      </c>
      <c r="L147" s="17">
        <v>17000</v>
      </c>
      <c r="M147" s="17"/>
      <c r="N147" s="17">
        <f t="shared" si="11"/>
        <v>87500</v>
      </c>
      <c r="O147" s="76" t="s">
        <v>23</v>
      </c>
      <c r="P147" s="183"/>
      <c r="Q147" s="76" t="s">
        <v>40</v>
      </c>
      <c r="R147" s="17"/>
      <c r="S147" s="17"/>
      <c r="T147" s="17"/>
      <c r="U147" s="17"/>
      <c r="V147" s="17"/>
      <c r="W147" s="17"/>
    </row>
    <row r="148" spans="1:23" s="20" customFormat="1">
      <c r="A148" s="880">
        <v>44475</v>
      </c>
      <c r="B148" s="76" t="s">
        <v>23</v>
      </c>
      <c r="C148" s="739" t="s">
        <v>7004</v>
      </c>
      <c r="D148" s="29" t="s">
        <v>7005</v>
      </c>
      <c r="E148" s="76" t="s">
        <v>7006</v>
      </c>
      <c r="F148" s="76" t="s">
        <v>7007</v>
      </c>
      <c r="G148" s="30">
        <v>1</v>
      </c>
      <c r="H148" s="888">
        <v>63000</v>
      </c>
      <c r="I148" s="17">
        <f t="shared" si="9"/>
        <v>63000</v>
      </c>
      <c r="J148" s="17"/>
      <c r="K148" s="17">
        <f t="shared" si="10"/>
        <v>63000</v>
      </c>
      <c r="L148" s="17">
        <v>17008</v>
      </c>
      <c r="M148" s="17"/>
      <c r="N148" s="17">
        <f t="shared" si="11"/>
        <v>80008</v>
      </c>
      <c r="O148" s="76" t="s">
        <v>23</v>
      </c>
      <c r="P148" s="72"/>
      <c r="Q148" s="76" t="s">
        <v>40</v>
      </c>
      <c r="R148" s="17"/>
      <c r="S148" s="17"/>
      <c r="T148" s="17"/>
      <c r="U148" s="17"/>
      <c r="V148" s="17"/>
      <c r="W148" s="17"/>
    </row>
    <row r="149" spans="1:23" s="20" customFormat="1">
      <c r="A149" s="880">
        <v>44475</v>
      </c>
      <c r="B149" s="76" t="s">
        <v>43</v>
      </c>
      <c r="C149" s="76" t="s">
        <v>7008</v>
      </c>
      <c r="D149" s="887" t="s">
        <v>7009</v>
      </c>
      <c r="E149" s="739" t="s">
        <v>5349</v>
      </c>
      <c r="F149" s="739" t="s">
        <v>5350</v>
      </c>
      <c r="G149" s="30">
        <v>1</v>
      </c>
      <c r="H149" s="171">
        <v>124000</v>
      </c>
      <c r="I149" s="17">
        <f t="shared" si="9"/>
        <v>124000</v>
      </c>
      <c r="J149" s="17"/>
      <c r="K149" s="17">
        <f t="shared" si="10"/>
        <v>124000</v>
      </c>
      <c r="L149" s="17"/>
      <c r="M149" s="17">
        <v>-6944</v>
      </c>
      <c r="N149" s="17">
        <f t="shared" si="11"/>
        <v>117056</v>
      </c>
      <c r="O149" s="76" t="s">
        <v>43</v>
      </c>
      <c r="P149" s="72"/>
      <c r="Q149" s="76" t="s">
        <v>54</v>
      </c>
      <c r="R149" s="17"/>
      <c r="S149" s="17"/>
      <c r="T149" s="17"/>
      <c r="U149" s="17"/>
      <c r="V149" s="17"/>
      <c r="W149" s="17"/>
    </row>
    <row r="150" spans="1:23" s="20" customFormat="1">
      <c r="A150" s="880">
        <v>44476</v>
      </c>
      <c r="B150" s="76" t="s">
        <v>43</v>
      </c>
      <c r="C150" s="739" t="s">
        <v>7010</v>
      </c>
      <c r="D150" s="29" t="s">
        <v>7011</v>
      </c>
      <c r="E150" s="76" t="s">
        <v>3264</v>
      </c>
      <c r="F150" s="76" t="s">
        <v>3265</v>
      </c>
      <c r="G150" s="16">
        <v>1</v>
      </c>
      <c r="H150" s="888">
        <v>95500</v>
      </c>
      <c r="I150" s="17">
        <f t="shared" si="9"/>
        <v>95500</v>
      </c>
      <c r="J150" s="17"/>
      <c r="K150" s="171">
        <f t="shared" si="10"/>
        <v>95500</v>
      </c>
      <c r="L150" s="17"/>
      <c r="M150" s="17">
        <v>-5348</v>
      </c>
      <c r="N150" s="17">
        <f t="shared" si="11"/>
        <v>90152</v>
      </c>
      <c r="O150" s="76" t="s">
        <v>43</v>
      </c>
      <c r="P150" s="72"/>
      <c r="Q150" s="76" t="s">
        <v>176</v>
      </c>
      <c r="R150" s="17"/>
      <c r="S150" s="17"/>
      <c r="T150" s="17"/>
      <c r="U150" s="17"/>
      <c r="V150" s="17"/>
      <c r="W150" s="17"/>
    </row>
    <row r="151" spans="1:23" s="20" customFormat="1">
      <c r="A151" s="880">
        <v>44476</v>
      </c>
      <c r="B151" s="76" t="s">
        <v>43</v>
      </c>
      <c r="C151" s="76" t="s">
        <v>7012</v>
      </c>
      <c r="D151" s="887" t="s">
        <v>7013</v>
      </c>
      <c r="E151" s="76" t="s">
        <v>2169</v>
      </c>
      <c r="F151" s="76" t="s">
        <v>128</v>
      </c>
      <c r="G151" s="16">
        <v>1</v>
      </c>
      <c r="H151" s="171">
        <v>775000</v>
      </c>
      <c r="I151" s="17">
        <f t="shared" si="9"/>
        <v>775000</v>
      </c>
      <c r="J151" s="17"/>
      <c r="K151" s="171">
        <f t="shared" si="10"/>
        <v>775000</v>
      </c>
      <c r="L151" s="17"/>
      <c r="M151" s="17">
        <v>-4340</v>
      </c>
      <c r="N151" s="17">
        <f t="shared" si="11"/>
        <v>770660</v>
      </c>
      <c r="O151" s="76" t="s">
        <v>43</v>
      </c>
      <c r="P151" s="72"/>
      <c r="Q151" s="10" t="s">
        <v>740</v>
      </c>
      <c r="R151" s="17"/>
      <c r="S151" s="17"/>
      <c r="T151" s="17"/>
      <c r="U151" s="17"/>
      <c r="V151" s="17"/>
      <c r="W151" s="17"/>
    </row>
    <row r="152" spans="1:23" s="20" customFormat="1">
      <c r="A152" s="880">
        <v>44476</v>
      </c>
      <c r="B152" s="76" t="s">
        <v>313</v>
      </c>
      <c r="C152" s="739" t="s">
        <v>7014</v>
      </c>
      <c r="D152" s="29" t="s">
        <v>4489</v>
      </c>
      <c r="E152" s="738" t="s">
        <v>5934</v>
      </c>
      <c r="F152" s="738" t="s">
        <v>5935</v>
      </c>
      <c r="G152" s="16">
        <v>4</v>
      </c>
      <c r="H152" s="888">
        <v>127000</v>
      </c>
      <c r="I152" s="17">
        <f t="shared" si="9"/>
        <v>508000</v>
      </c>
      <c r="J152" s="17"/>
      <c r="K152" s="171">
        <f t="shared" si="10"/>
        <v>508000</v>
      </c>
      <c r="L152" s="17">
        <v>80060</v>
      </c>
      <c r="M152" s="17"/>
      <c r="N152" s="17">
        <f t="shared" si="11"/>
        <v>588060</v>
      </c>
      <c r="O152" s="76" t="s">
        <v>313</v>
      </c>
      <c r="P152" s="72"/>
      <c r="Q152" s="76" t="s">
        <v>40</v>
      </c>
      <c r="R152" s="17"/>
      <c r="S152" s="17"/>
      <c r="T152" s="17"/>
      <c r="U152" s="17"/>
      <c r="V152" s="17"/>
      <c r="W152" s="17"/>
    </row>
    <row r="153" spans="1:23" s="20" customFormat="1">
      <c r="A153" s="880">
        <v>44476</v>
      </c>
      <c r="B153" s="76" t="s">
        <v>313</v>
      </c>
      <c r="C153" s="739" t="s">
        <v>7014</v>
      </c>
      <c r="D153" s="29" t="s">
        <v>4489</v>
      </c>
      <c r="E153" s="738" t="s">
        <v>5003</v>
      </c>
      <c r="F153" s="738" t="s">
        <v>5004</v>
      </c>
      <c r="G153" s="16">
        <v>4</v>
      </c>
      <c r="H153" s="171">
        <v>128000</v>
      </c>
      <c r="I153" s="17">
        <f t="shared" si="9"/>
        <v>512000</v>
      </c>
      <c r="J153" s="17"/>
      <c r="K153" s="171">
        <f t="shared" si="10"/>
        <v>512000</v>
      </c>
      <c r="L153" s="17"/>
      <c r="M153" s="17"/>
      <c r="N153" s="17">
        <f t="shared" si="11"/>
        <v>512000</v>
      </c>
      <c r="O153" s="76" t="s">
        <v>313</v>
      </c>
      <c r="P153" s="72"/>
      <c r="Q153" s="76" t="s">
        <v>40</v>
      </c>
      <c r="R153" s="17"/>
      <c r="S153" s="17"/>
      <c r="T153" s="17"/>
      <c r="U153" s="17"/>
      <c r="V153" s="17"/>
      <c r="W153" s="17"/>
    </row>
    <row r="154" spans="1:23" s="20" customFormat="1">
      <c r="A154" s="880">
        <v>44476</v>
      </c>
      <c r="B154" s="76" t="s">
        <v>313</v>
      </c>
      <c r="C154" s="739" t="s">
        <v>7014</v>
      </c>
      <c r="D154" s="29" t="s">
        <v>4489</v>
      </c>
      <c r="E154" s="738" t="s">
        <v>1903</v>
      </c>
      <c r="F154" s="738" t="s">
        <v>595</v>
      </c>
      <c r="G154" s="16">
        <v>3</v>
      </c>
      <c r="H154" s="888">
        <v>104000</v>
      </c>
      <c r="I154" s="17">
        <f t="shared" si="9"/>
        <v>312000</v>
      </c>
      <c r="J154" s="17"/>
      <c r="K154" s="171">
        <f t="shared" si="10"/>
        <v>312000</v>
      </c>
      <c r="L154" s="17"/>
      <c r="M154" s="17"/>
      <c r="N154" s="17">
        <f t="shared" si="11"/>
        <v>312000</v>
      </c>
      <c r="O154" s="76" t="s">
        <v>313</v>
      </c>
      <c r="P154" s="72"/>
      <c r="Q154" s="76" t="s">
        <v>40</v>
      </c>
      <c r="R154" s="17"/>
      <c r="S154" s="17"/>
      <c r="T154" s="17"/>
      <c r="U154" s="17"/>
      <c r="V154" s="17"/>
      <c r="W154" s="17"/>
    </row>
    <row r="155" spans="1:23" s="20" customFormat="1" ht="15.75" customHeight="1">
      <c r="A155" s="880">
        <v>44476</v>
      </c>
      <c r="B155" s="777" t="s">
        <v>23</v>
      </c>
      <c r="C155" s="777" t="s">
        <v>7015</v>
      </c>
      <c r="D155" s="29" t="s">
        <v>31</v>
      </c>
      <c r="E155" s="885" t="s">
        <v>7016</v>
      </c>
      <c r="F155" s="885" t="s">
        <v>7017</v>
      </c>
      <c r="G155" s="925">
        <v>8</v>
      </c>
      <c r="H155" s="171">
        <v>189000</v>
      </c>
      <c r="I155" s="17">
        <f t="shared" si="9"/>
        <v>1512000</v>
      </c>
      <c r="J155" s="17">
        <f>I155*40%</f>
        <v>604800</v>
      </c>
      <c r="K155" s="171">
        <f t="shared" si="10"/>
        <v>907200</v>
      </c>
      <c r="L155" s="17"/>
      <c r="M155" s="17"/>
      <c r="N155" s="17">
        <f t="shared" si="11"/>
        <v>907200</v>
      </c>
      <c r="O155" s="777" t="s">
        <v>23</v>
      </c>
      <c r="P155" s="92"/>
      <c r="Q155" s="777" t="s">
        <v>35</v>
      </c>
      <c r="R155" s="17"/>
      <c r="S155" s="17"/>
      <c r="T155" s="17"/>
      <c r="U155" s="17"/>
      <c r="V155" s="17"/>
      <c r="W155" s="17"/>
    </row>
    <row r="156" spans="1:23" s="20" customFormat="1" ht="15.75" customHeight="1">
      <c r="A156" s="880">
        <v>44476</v>
      </c>
      <c r="B156" s="777" t="s">
        <v>23</v>
      </c>
      <c r="C156" s="777" t="s">
        <v>7015</v>
      </c>
      <c r="D156" s="29" t="s">
        <v>31</v>
      </c>
      <c r="E156" s="885" t="s">
        <v>7018</v>
      </c>
      <c r="F156" s="885" t="s">
        <v>433</v>
      </c>
      <c r="G156" s="925">
        <v>8</v>
      </c>
      <c r="H156" s="888">
        <v>65000</v>
      </c>
      <c r="I156" s="17">
        <f t="shared" si="9"/>
        <v>520000</v>
      </c>
      <c r="J156" s="17">
        <f t="shared" ref="J156:J169" si="13">I156*40%</f>
        <v>208000</v>
      </c>
      <c r="K156" s="171">
        <f t="shared" si="10"/>
        <v>312000</v>
      </c>
      <c r="L156" s="17"/>
      <c r="M156" s="17"/>
      <c r="N156" s="17">
        <f t="shared" si="11"/>
        <v>312000</v>
      </c>
      <c r="O156" s="777" t="s">
        <v>23</v>
      </c>
      <c r="P156" s="92"/>
      <c r="Q156" s="777" t="s">
        <v>35</v>
      </c>
      <c r="R156" s="17"/>
      <c r="S156" s="17"/>
      <c r="T156" s="17"/>
      <c r="U156" s="17"/>
      <c r="V156" s="17"/>
      <c r="W156" s="17"/>
    </row>
    <row r="157" spans="1:23" s="20" customFormat="1" ht="15.75" customHeight="1">
      <c r="A157" s="880">
        <v>44476</v>
      </c>
      <c r="B157" s="777" t="s">
        <v>23</v>
      </c>
      <c r="C157" s="777" t="s">
        <v>7015</v>
      </c>
      <c r="D157" s="29" t="s">
        <v>31</v>
      </c>
      <c r="E157" s="885" t="s">
        <v>7019</v>
      </c>
      <c r="F157" s="885" t="s">
        <v>7020</v>
      </c>
      <c r="G157" s="925">
        <v>8</v>
      </c>
      <c r="H157" s="171">
        <v>76000</v>
      </c>
      <c r="I157" s="17">
        <f t="shared" si="9"/>
        <v>608000</v>
      </c>
      <c r="J157" s="17">
        <f t="shared" si="13"/>
        <v>243200</v>
      </c>
      <c r="K157" s="171">
        <f t="shared" si="10"/>
        <v>364800</v>
      </c>
      <c r="L157" s="17"/>
      <c r="M157" s="17"/>
      <c r="N157" s="17">
        <f t="shared" si="11"/>
        <v>364800</v>
      </c>
      <c r="O157" s="777" t="s">
        <v>23</v>
      </c>
      <c r="P157" s="92"/>
      <c r="Q157" s="777" t="s">
        <v>35</v>
      </c>
      <c r="R157" s="17"/>
      <c r="S157" s="17"/>
      <c r="T157" s="17"/>
      <c r="U157" s="17"/>
      <c r="V157" s="17"/>
      <c r="W157" s="17"/>
    </row>
    <row r="158" spans="1:23" s="20" customFormat="1" ht="15.75" customHeight="1">
      <c r="A158" s="880">
        <v>44476</v>
      </c>
      <c r="B158" s="777" t="s">
        <v>23</v>
      </c>
      <c r="C158" s="777" t="s">
        <v>7015</v>
      </c>
      <c r="D158" s="29" t="s">
        <v>31</v>
      </c>
      <c r="E158" s="777" t="s">
        <v>7021</v>
      </c>
      <c r="F158" s="777" t="s">
        <v>7022</v>
      </c>
      <c r="G158" s="925">
        <v>10</v>
      </c>
      <c r="H158" s="888">
        <v>152000</v>
      </c>
      <c r="I158" s="17">
        <f t="shared" si="9"/>
        <v>1520000</v>
      </c>
      <c r="J158" s="17">
        <f t="shared" si="13"/>
        <v>608000</v>
      </c>
      <c r="K158" s="171">
        <f t="shared" si="10"/>
        <v>912000</v>
      </c>
      <c r="L158" s="17"/>
      <c r="M158" s="17"/>
      <c r="N158" s="17">
        <f t="shared" si="11"/>
        <v>912000</v>
      </c>
      <c r="O158" s="777" t="s">
        <v>23</v>
      </c>
      <c r="P158" s="92"/>
      <c r="Q158" s="777" t="s">
        <v>35</v>
      </c>
      <c r="R158" s="17"/>
      <c r="S158" s="17"/>
      <c r="T158" s="17"/>
      <c r="U158" s="17"/>
      <c r="V158" s="17"/>
      <c r="W158" s="17"/>
    </row>
    <row r="159" spans="1:23" s="20" customFormat="1" ht="15.75" customHeight="1">
      <c r="A159" s="880">
        <v>44476</v>
      </c>
      <c r="B159" s="777" t="s">
        <v>23</v>
      </c>
      <c r="C159" s="777" t="s">
        <v>7015</v>
      </c>
      <c r="D159" s="29" t="s">
        <v>31</v>
      </c>
      <c r="E159" s="777" t="s">
        <v>3280</v>
      </c>
      <c r="F159" s="777" t="s">
        <v>3281</v>
      </c>
      <c r="G159" s="925">
        <v>5</v>
      </c>
      <c r="H159" s="171">
        <v>92000</v>
      </c>
      <c r="I159" s="17">
        <f t="shared" si="9"/>
        <v>460000</v>
      </c>
      <c r="J159" s="17">
        <f t="shared" si="13"/>
        <v>184000</v>
      </c>
      <c r="K159" s="171">
        <f t="shared" si="10"/>
        <v>276000</v>
      </c>
      <c r="L159" s="17"/>
      <c r="M159" s="17"/>
      <c r="N159" s="17">
        <f t="shared" si="11"/>
        <v>276000</v>
      </c>
      <c r="O159" s="777" t="s">
        <v>23</v>
      </c>
      <c r="P159" s="92"/>
      <c r="Q159" s="777" t="s">
        <v>35</v>
      </c>
      <c r="R159" s="17"/>
      <c r="S159" s="17"/>
      <c r="T159" s="17"/>
      <c r="U159" s="17"/>
      <c r="V159" s="17"/>
      <c r="W159" s="17"/>
    </row>
    <row r="160" spans="1:23" s="20" customFormat="1" ht="15.75" customHeight="1">
      <c r="A160" s="880">
        <v>44476</v>
      </c>
      <c r="B160" s="777" t="s">
        <v>23</v>
      </c>
      <c r="C160" s="777" t="s">
        <v>7015</v>
      </c>
      <c r="D160" s="29" t="s">
        <v>31</v>
      </c>
      <c r="E160" s="777" t="s">
        <v>7023</v>
      </c>
      <c r="F160" s="777" t="s">
        <v>2031</v>
      </c>
      <c r="G160" s="925">
        <v>5</v>
      </c>
      <c r="H160" s="888">
        <v>71500</v>
      </c>
      <c r="I160" s="17">
        <f t="shared" si="9"/>
        <v>357500</v>
      </c>
      <c r="J160" s="17">
        <f t="shared" si="13"/>
        <v>143000</v>
      </c>
      <c r="K160" s="171">
        <f t="shared" si="10"/>
        <v>214500</v>
      </c>
      <c r="L160" s="17"/>
      <c r="M160" s="17"/>
      <c r="N160" s="17">
        <f t="shared" si="11"/>
        <v>214500</v>
      </c>
      <c r="O160" s="777" t="s">
        <v>23</v>
      </c>
      <c r="P160" s="92"/>
      <c r="Q160" s="777" t="s">
        <v>35</v>
      </c>
      <c r="R160" s="17"/>
      <c r="S160" s="17"/>
      <c r="T160" s="17"/>
      <c r="U160" s="17"/>
      <c r="V160" s="17"/>
      <c r="W160" s="17"/>
    </row>
    <row r="161" spans="1:23" s="20" customFormat="1" ht="15.75" customHeight="1">
      <c r="A161" s="880">
        <v>44476</v>
      </c>
      <c r="B161" s="777" t="s">
        <v>23</v>
      </c>
      <c r="C161" s="777" t="s">
        <v>7015</v>
      </c>
      <c r="D161" s="29" t="s">
        <v>31</v>
      </c>
      <c r="E161" s="777" t="s">
        <v>7024</v>
      </c>
      <c r="F161" s="777" t="s">
        <v>7025</v>
      </c>
      <c r="G161" s="925">
        <v>5</v>
      </c>
      <c r="H161" s="171">
        <v>79000</v>
      </c>
      <c r="I161" s="17">
        <f t="shared" si="9"/>
        <v>395000</v>
      </c>
      <c r="J161" s="17">
        <f t="shared" si="13"/>
        <v>158000</v>
      </c>
      <c r="K161" s="171">
        <f t="shared" si="10"/>
        <v>237000</v>
      </c>
      <c r="L161" s="17"/>
      <c r="M161" s="17"/>
      <c r="N161" s="17">
        <f t="shared" si="11"/>
        <v>237000</v>
      </c>
      <c r="O161" s="777" t="s">
        <v>23</v>
      </c>
      <c r="P161" s="191"/>
      <c r="Q161" s="777" t="s">
        <v>35</v>
      </c>
      <c r="R161" s="17"/>
      <c r="S161" s="17"/>
      <c r="T161" s="17"/>
      <c r="U161" s="17"/>
      <c r="V161" s="17"/>
      <c r="W161" s="17"/>
    </row>
    <row r="162" spans="1:23" s="20" customFormat="1" ht="15.75" customHeight="1">
      <c r="A162" s="880">
        <v>44476</v>
      </c>
      <c r="B162" s="777" t="s">
        <v>23</v>
      </c>
      <c r="C162" s="777" t="s">
        <v>7015</v>
      </c>
      <c r="D162" s="29" t="s">
        <v>31</v>
      </c>
      <c r="E162" s="777" t="s">
        <v>1236</v>
      </c>
      <c r="F162" s="777" t="s">
        <v>1237</v>
      </c>
      <c r="G162" s="925">
        <v>5</v>
      </c>
      <c r="H162" s="888">
        <v>100000</v>
      </c>
      <c r="I162" s="17">
        <f t="shared" si="9"/>
        <v>500000</v>
      </c>
      <c r="J162" s="17">
        <f t="shared" si="13"/>
        <v>200000</v>
      </c>
      <c r="K162" s="171">
        <f t="shared" si="10"/>
        <v>300000</v>
      </c>
      <c r="L162" s="17"/>
      <c r="M162" s="17"/>
      <c r="N162" s="17">
        <f t="shared" si="11"/>
        <v>300000</v>
      </c>
      <c r="O162" s="777" t="s">
        <v>23</v>
      </c>
      <c r="P162" s="191"/>
      <c r="Q162" s="777" t="s">
        <v>35</v>
      </c>
      <c r="R162" s="17"/>
      <c r="S162" s="17"/>
      <c r="T162" s="17"/>
      <c r="U162" s="17"/>
      <c r="V162" s="17"/>
      <c r="W162" s="17"/>
    </row>
    <row r="163" spans="1:23" s="20" customFormat="1" ht="15.75" customHeight="1">
      <c r="A163" s="880">
        <v>44476</v>
      </c>
      <c r="B163" s="777" t="s">
        <v>23</v>
      </c>
      <c r="C163" s="777" t="s">
        <v>7015</v>
      </c>
      <c r="D163" s="29" t="s">
        <v>31</v>
      </c>
      <c r="E163" s="777" t="s">
        <v>6972</v>
      </c>
      <c r="F163" s="777" t="s">
        <v>6973</v>
      </c>
      <c r="G163" s="925">
        <v>5</v>
      </c>
      <c r="H163" s="171">
        <v>59000</v>
      </c>
      <c r="I163" s="17">
        <f t="shared" si="9"/>
        <v>295000</v>
      </c>
      <c r="J163" s="17">
        <f t="shared" si="13"/>
        <v>118000</v>
      </c>
      <c r="K163" s="171">
        <f t="shared" si="10"/>
        <v>177000</v>
      </c>
      <c r="L163" s="17"/>
      <c r="M163" s="17"/>
      <c r="N163" s="17">
        <f t="shared" si="11"/>
        <v>177000</v>
      </c>
      <c r="O163" s="777" t="s">
        <v>23</v>
      </c>
      <c r="P163" s="191"/>
      <c r="Q163" s="777" t="s">
        <v>35</v>
      </c>
      <c r="R163" s="17"/>
      <c r="S163" s="17"/>
      <c r="T163" s="17"/>
      <c r="U163" s="17"/>
      <c r="V163" s="17"/>
      <c r="W163" s="17"/>
    </row>
    <row r="164" spans="1:23" s="20" customFormat="1" ht="15.75" customHeight="1">
      <c r="A164" s="880">
        <v>44476</v>
      </c>
      <c r="B164" s="777" t="s">
        <v>23</v>
      </c>
      <c r="C164" s="777" t="s">
        <v>7015</v>
      </c>
      <c r="D164" s="29" t="s">
        <v>31</v>
      </c>
      <c r="E164" s="777" t="s">
        <v>5742</v>
      </c>
      <c r="F164" s="777" t="s">
        <v>5743</v>
      </c>
      <c r="G164" s="925">
        <v>5</v>
      </c>
      <c r="H164" s="888">
        <v>73500</v>
      </c>
      <c r="I164" s="17">
        <f t="shared" si="9"/>
        <v>367500</v>
      </c>
      <c r="J164" s="17">
        <f t="shared" si="13"/>
        <v>147000</v>
      </c>
      <c r="K164" s="171">
        <f t="shared" si="10"/>
        <v>220500</v>
      </c>
      <c r="L164" s="17"/>
      <c r="M164" s="17"/>
      <c r="N164" s="17">
        <f t="shared" si="11"/>
        <v>220500</v>
      </c>
      <c r="O164" s="777" t="s">
        <v>23</v>
      </c>
      <c r="P164" s="191"/>
      <c r="Q164" s="777" t="s">
        <v>35</v>
      </c>
      <c r="R164" s="17"/>
      <c r="S164" s="17"/>
      <c r="T164" s="17"/>
      <c r="U164" s="17"/>
      <c r="V164" s="17"/>
      <c r="W164" s="17"/>
    </row>
    <row r="165" spans="1:23" s="20" customFormat="1" ht="15.75" customHeight="1">
      <c r="A165" s="880">
        <v>44476</v>
      </c>
      <c r="B165" s="777" t="s">
        <v>23</v>
      </c>
      <c r="C165" s="777" t="s">
        <v>7015</v>
      </c>
      <c r="D165" s="29" t="s">
        <v>31</v>
      </c>
      <c r="E165" s="885" t="s">
        <v>7026</v>
      </c>
      <c r="F165" s="885" t="s">
        <v>7027</v>
      </c>
      <c r="G165" s="925">
        <v>5</v>
      </c>
      <c r="H165" s="171">
        <v>72000</v>
      </c>
      <c r="I165" s="17">
        <f t="shared" si="9"/>
        <v>360000</v>
      </c>
      <c r="J165" s="17">
        <f t="shared" si="13"/>
        <v>144000</v>
      </c>
      <c r="K165" s="171">
        <f t="shared" si="10"/>
        <v>216000</v>
      </c>
      <c r="L165" s="17"/>
      <c r="M165" s="17"/>
      <c r="N165" s="17">
        <f t="shared" si="11"/>
        <v>216000</v>
      </c>
      <c r="O165" s="777" t="s">
        <v>23</v>
      </c>
      <c r="P165" s="191"/>
      <c r="Q165" s="777" t="s">
        <v>35</v>
      </c>
      <c r="R165" s="17"/>
      <c r="S165" s="17"/>
      <c r="T165" s="17"/>
      <c r="U165" s="17"/>
      <c r="V165" s="17"/>
      <c r="W165" s="17"/>
    </row>
    <row r="166" spans="1:23" s="20" customFormat="1" ht="15.75" customHeight="1">
      <c r="A166" s="880">
        <v>44476</v>
      </c>
      <c r="B166" s="777" t="s">
        <v>23</v>
      </c>
      <c r="C166" s="777" t="s">
        <v>7015</v>
      </c>
      <c r="D166" s="29" t="s">
        <v>31</v>
      </c>
      <c r="E166" s="885" t="s">
        <v>7028</v>
      </c>
      <c r="F166" s="885" t="s">
        <v>7029</v>
      </c>
      <c r="G166" s="925">
        <v>5</v>
      </c>
      <c r="H166" s="888">
        <v>82000</v>
      </c>
      <c r="I166" s="17">
        <f t="shared" si="9"/>
        <v>410000</v>
      </c>
      <c r="J166" s="17">
        <f t="shared" si="13"/>
        <v>164000</v>
      </c>
      <c r="K166" s="171">
        <f t="shared" si="10"/>
        <v>246000</v>
      </c>
      <c r="L166" s="17"/>
      <c r="M166" s="17"/>
      <c r="N166" s="17">
        <f t="shared" si="11"/>
        <v>246000</v>
      </c>
      <c r="O166" s="777" t="s">
        <v>23</v>
      </c>
      <c r="P166" s="191"/>
      <c r="Q166" s="777" t="s">
        <v>35</v>
      </c>
      <c r="R166" s="17"/>
      <c r="S166" s="17"/>
      <c r="T166" s="17"/>
      <c r="U166" s="17"/>
      <c r="V166" s="17"/>
      <c r="W166" s="17"/>
    </row>
    <row r="167" spans="1:23" s="20" customFormat="1" ht="15.75" customHeight="1">
      <c r="A167" s="880">
        <v>44476</v>
      </c>
      <c r="B167" s="777" t="s">
        <v>23</v>
      </c>
      <c r="C167" s="777" t="s">
        <v>7015</v>
      </c>
      <c r="D167" s="29" t="s">
        <v>31</v>
      </c>
      <c r="E167" s="885" t="s">
        <v>7030</v>
      </c>
      <c r="F167" s="885" t="s">
        <v>7031</v>
      </c>
      <c r="G167" s="925">
        <v>8</v>
      </c>
      <c r="H167" s="171">
        <v>243000</v>
      </c>
      <c r="I167" s="17">
        <f t="shared" si="9"/>
        <v>1944000</v>
      </c>
      <c r="J167" s="17">
        <f t="shared" si="13"/>
        <v>777600</v>
      </c>
      <c r="K167" s="171">
        <f t="shared" si="10"/>
        <v>1166400</v>
      </c>
      <c r="L167" s="17"/>
      <c r="M167" s="17"/>
      <c r="N167" s="17">
        <f t="shared" si="11"/>
        <v>1166400</v>
      </c>
      <c r="O167" s="777" t="s">
        <v>23</v>
      </c>
      <c r="P167" s="191"/>
      <c r="Q167" s="777" t="s">
        <v>35</v>
      </c>
      <c r="R167" s="17"/>
      <c r="S167" s="17"/>
      <c r="T167" s="17"/>
      <c r="U167" s="17"/>
      <c r="V167" s="17"/>
      <c r="W167" s="17"/>
    </row>
    <row r="168" spans="1:23" s="20" customFormat="1" ht="15.75" customHeight="1">
      <c r="A168" s="880">
        <v>44476</v>
      </c>
      <c r="B168" s="777" t="s">
        <v>23</v>
      </c>
      <c r="C168" s="777" t="s">
        <v>7015</v>
      </c>
      <c r="D168" s="29" t="s">
        <v>31</v>
      </c>
      <c r="E168" s="885" t="s">
        <v>5787</v>
      </c>
      <c r="F168" s="885" t="s">
        <v>5788</v>
      </c>
      <c r="G168" s="925">
        <v>5</v>
      </c>
      <c r="H168" s="888">
        <v>122000</v>
      </c>
      <c r="I168" s="17">
        <f t="shared" si="9"/>
        <v>610000</v>
      </c>
      <c r="J168" s="17">
        <f t="shared" si="13"/>
        <v>244000</v>
      </c>
      <c r="K168" s="171">
        <f t="shared" si="10"/>
        <v>366000</v>
      </c>
      <c r="L168" s="17"/>
      <c r="M168" s="17"/>
      <c r="N168" s="17">
        <f t="shared" si="11"/>
        <v>366000</v>
      </c>
      <c r="O168" s="777" t="s">
        <v>23</v>
      </c>
      <c r="P168" s="191"/>
      <c r="Q168" s="777" t="s">
        <v>35</v>
      </c>
      <c r="R168" s="17"/>
      <c r="S168" s="17"/>
      <c r="T168" s="17"/>
      <c r="U168" s="17"/>
      <c r="V168" s="17"/>
      <c r="W168" s="17"/>
    </row>
    <row r="169" spans="1:23" s="20" customFormat="1" ht="15.75" customHeight="1">
      <c r="A169" s="880">
        <v>44476</v>
      </c>
      <c r="B169" s="777" t="s">
        <v>23</v>
      </c>
      <c r="C169" s="777" t="s">
        <v>7015</v>
      </c>
      <c r="D169" s="29" t="s">
        <v>31</v>
      </c>
      <c r="E169" s="777" t="s">
        <v>6114</v>
      </c>
      <c r="F169" s="777" t="s">
        <v>6115</v>
      </c>
      <c r="G169" s="926">
        <v>10</v>
      </c>
      <c r="H169" s="171">
        <v>119000</v>
      </c>
      <c r="I169" s="17">
        <f t="shared" si="9"/>
        <v>1190000</v>
      </c>
      <c r="J169" s="17">
        <f t="shared" si="13"/>
        <v>476000</v>
      </c>
      <c r="K169" s="171">
        <f t="shared" si="10"/>
        <v>714000</v>
      </c>
      <c r="L169" s="17"/>
      <c r="M169" s="17"/>
      <c r="N169" s="17">
        <f t="shared" si="11"/>
        <v>714000</v>
      </c>
      <c r="O169" s="777" t="s">
        <v>23</v>
      </c>
      <c r="P169" s="191"/>
      <c r="Q169" s="777" t="s">
        <v>35</v>
      </c>
      <c r="R169" s="17"/>
      <c r="S169" s="17"/>
      <c r="T169" s="17"/>
      <c r="U169" s="17"/>
      <c r="V169" s="17"/>
      <c r="W169" s="17"/>
    </row>
    <row r="170" spans="1:23" s="20" customFormat="1" ht="15.75" customHeight="1">
      <c r="A170" s="880">
        <v>44476</v>
      </c>
      <c r="B170" s="76" t="s">
        <v>23</v>
      </c>
      <c r="C170" s="739" t="s">
        <v>7032</v>
      </c>
      <c r="D170" s="770" t="s">
        <v>9443</v>
      </c>
      <c r="E170" s="739" t="s">
        <v>7033</v>
      </c>
      <c r="F170" s="739" t="s">
        <v>7034</v>
      </c>
      <c r="G170" s="30">
        <v>1</v>
      </c>
      <c r="H170" s="888">
        <v>132000</v>
      </c>
      <c r="I170" s="17">
        <f t="shared" si="9"/>
        <v>132000</v>
      </c>
      <c r="J170" s="17"/>
      <c r="K170" s="171">
        <f t="shared" si="10"/>
        <v>132000</v>
      </c>
      <c r="L170" s="17">
        <v>19000</v>
      </c>
      <c r="M170" s="17"/>
      <c r="N170" s="17">
        <f t="shared" si="11"/>
        <v>151000</v>
      </c>
      <c r="O170" s="76" t="s">
        <v>23</v>
      </c>
      <c r="P170" s="191"/>
      <c r="Q170" s="10" t="s">
        <v>895</v>
      </c>
      <c r="R170" s="17"/>
      <c r="S170" s="17"/>
      <c r="T170" s="17"/>
      <c r="U170" s="17"/>
      <c r="V170" s="17"/>
      <c r="W170" s="17"/>
    </row>
    <row r="171" spans="1:23" s="20" customFormat="1" ht="15.75" customHeight="1">
      <c r="A171" s="880">
        <v>44476</v>
      </c>
      <c r="B171" s="10" t="s">
        <v>23</v>
      </c>
      <c r="C171" s="739" t="s">
        <v>7035</v>
      </c>
      <c r="D171" s="770" t="s">
        <v>7036</v>
      </c>
      <c r="E171" s="895" t="s">
        <v>7037</v>
      </c>
      <c r="F171" s="895" t="s">
        <v>7038</v>
      </c>
      <c r="G171" s="896">
        <v>5</v>
      </c>
      <c r="H171" s="171">
        <v>32000</v>
      </c>
      <c r="I171" s="17">
        <f t="shared" si="9"/>
        <v>160000</v>
      </c>
      <c r="J171" s="17"/>
      <c r="K171" s="171">
        <f t="shared" si="10"/>
        <v>160000</v>
      </c>
      <c r="L171" s="17">
        <v>38000</v>
      </c>
      <c r="M171" s="17"/>
      <c r="N171" s="17">
        <f t="shared" si="11"/>
        <v>198000</v>
      </c>
      <c r="O171" s="10" t="s">
        <v>23</v>
      </c>
      <c r="P171" s="92"/>
      <c r="Q171" s="10" t="s">
        <v>40</v>
      </c>
      <c r="R171" s="17"/>
      <c r="S171" s="17"/>
      <c r="T171" s="17"/>
      <c r="U171" s="17"/>
      <c r="V171" s="17"/>
      <c r="W171" s="17"/>
    </row>
    <row r="172" spans="1:23" s="20" customFormat="1" ht="15.75" customHeight="1">
      <c r="A172" s="880">
        <v>44477</v>
      </c>
      <c r="B172" s="76" t="s">
        <v>7039</v>
      </c>
      <c r="C172" s="29" t="s">
        <v>7040</v>
      </c>
      <c r="D172" s="739" t="s">
        <v>7041</v>
      </c>
      <c r="E172" s="76" t="s">
        <v>7002</v>
      </c>
      <c r="F172" s="76" t="s">
        <v>7003</v>
      </c>
      <c r="G172" s="30">
        <v>1</v>
      </c>
      <c r="H172" s="888">
        <v>70500</v>
      </c>
      <c r="I172" s="17">
        <f t="shared" si="9"/>
        <v>70500</v>
      </c>
      <c r="J172" s="17"/>
      <c r="K172" s="171">
        <f t="shared" si="10"/>
        <v>70500</v>
      </c>
      <c r="L172" s="17">
        <v>7000</v>
      </c>
      <c r="M172" s="17"/>
      <c r="N172" s="17">
        <f t="shared" si="11"/>
        <v>77500</v>
      </c>
      <c r="O172" s="76" t="s">
        <v>7039</v>
      </c>
      <c r="P172" s="92"/>
      <c r="Q172" s="10" t="s">
        <v>895</v>
      </c>
      <c r="R172" s="17"/>
      <c r="S172" s="17"/>
      <c r="T172" s="17"/>
      <c r="U172" s="17"/>
      <c r="V172" s="17"/>
      <c r="W172" s="17"/>
    </row>
    <row r="173" spans="1:23" s="20" customFormat="1" ht="15.75" customHeight="1">
      <c r="A173" s="880">
        <v>44477</v>
      </c>
      <c r="B173" s="10" t="s">
        <v>23</v>
      </c>
      <c r="C173" s="76" t="s">
        <v>7042</v>
      </c>
      <c r="D173" s="29" t="s">
        <v>7043</v>
      </c>
      <c r="E173" s="760" t="s">
        <v>5997</v>
      </c>
      <c r="F173" s="760" t="s">
        <v>7044</v>
      </c>
      <c r="G173" s="30">
        <v>20</v>
      </c>
      <c r="H173" s="171">
        <v>59000</v>
      </c>
      <c r="I173" s="17">
        <f t="shared" si="9"/>
        <v>1180000</v>
      </c>
      <c r="J173" s="17">
        <f>I173*35%</f>
        <v>413000</v>
      </c>
      <c r="K173" s="171">
        <f t="shared" si="10"/>
        <v>767000</v>
      </c>
      <c r="L173" s="17"/>
      <c r="M173" s="17"/>
      <c r="N173" s="17">
        <f t="shared" si="11"/>
        <v>767000</v>
      </c>
      <c r="O173" s="10" t="s">
        <v>23</v>
      </c>
      <c r="P173" s="191"/>
      <c r="Q173" s="10" t="s">
        <v>3354</v>
      </c>
      <c r="R173" s="17"/>
      <c r="S173" s="17"/>
      <c r="T173" s="17"/>
      <c r="U173" s="17"/>
      <c r="V173" s="17"/>
      <c r="W173" s="17"/>
    </row>
    <row r="174" spans="1:23" s="20" customFormat="1" ht="15.75" customHeight="1">
      <c r="A174" s="880">
        <v>44477</v>
      </c>
      <c r="B174" s="10" t="s">
        <v>23</v>
      </c>
      <c r="C174" s="76" t="s">
        <v>7042</v>
      </c>
      <c r="D174" s="29" t="s">
        <v>7043</v>
      </c>
      <c r="E174" s="781" t="s">
        <v>7045</v>
      </c>
      <c r="F174" s="781" t="s">
        <v>7046</v>
      </c>
      <c r="G174" s="30">
        <v>20</v>
      </c>
      <c r="H174" s="888">
        <v>59000</v>
      </c>
      <c r="I174" s="17">
        <f t="shared" si="9"/>
        <v>1180000</v>
      </c>
      <c r="J174" s="17">
        <f t="shared" ref="J174:J176" si="14">I174*35%</f>
        <v>413000</v>
      </c>
      <c r="K174" s="171">
        <f t="shared" si="10"/>
        <v>767000</v>
      </c>
      <c r="L174" s="17"/>
      <c r="M174" s="17"/>
      <c r="N174" s="17">
        <f t="shared" si="11"/>
        <v>767000</v>
      </c>
      <c r="O174" s="10" t="s">
        <v>23</v>
      </c>
      <c r="P174" s="191"/>
      <c r="Q174" s="10" t="s">
        <v>3354</v>
      </c>
      <c r="R174" s="17"/>
      <c r="S174" s="17"/>
      <c r="T174" s="17"/>
      <c r="U174" s="17"/>
      <c r="V174" s="17"/>
      <c r="W174" s="17"/>
    </row>
    <row r="175" spans="1:23" s="20" customFormat="1" ht="15.75" customHeight="1">
      <c r="A175" s="880">
        <v>44477</v>
      </c>
      <c r="B175" s="10" t="s">
        <v>23</v>
      </c>
      <c r="C175" s="76" t="s">
        <v>7042</v>
      </c>
      <c r="D175" s="29" t="s">
        <v>7043</v>
      </c>
      <c r="E175" s="781" t="s">
        <v>553</v>
      </c>
      <c r="F175" s="781" t="s">
        <v>554</v>
      </c>
      <c r="G175" s="30">
        <v>20</v>
      </c>
      <c r="H175" s="171">
        <v>72000</v>
      </c>
      <c r="I175" s="17">
        <f t="shared" si="9"/>
        <v>1440000</v>
      </c>
      <c r="J175" s="17">
        <f t="shared" si="14"/>
        <v>503999.99999999994</v>
      </c>
      <c r="K175" s="171">
        <f t="shared" si="10"/>
        <v>936000</v>
      </c>
      <c r="L175" s="17"/>
      <c r="M175" s="17"/>
      <c r="N175" s="17">
        <f t="shared" si="11"/>
        <v>936000</v>
      </c>
      <c r="O175" s="10" t="s">
        <v>23</v>
      </c>
      <c r="P175" s="72"/>
      <c r="Q175" s="10" t="s">
        <v>3354</v>
      </c>
      <c r="R175" s="17"/>
      <c r="S175" s="17"/>
      <c r="T175" s="17"/>
      <c r="U175" s="17"/>
      <c r="V175" s="17"/>
      <c r="W175" s="17"/>
    </row>
    <row r="176" spans="1:23" s="20" customFormat="1" ht="15.75" customHeight="1">
      <c r="A176" s="880">
        <v>44477</v>
      </c>
      <c r="B176" s="10" t="s">
        <v>23</v>
      </c>
      <c r="C176" s="76" t="s">
        <v>7042</v>
      </c>
      <c r="D176" s="29" t="s">
        <v>7043</v>
      </c>
      <c r="E176" s="760" t="s">
        <v>4456</v>
      </c>
      <c r="F176" s="760" t="s">
        <v>4457</v>
      </c>
      <c r="G176" s="30">
        <v>10</v>
      </c>
      <c r="H176" s="888">
        <v>63000</v>
      </c>
      <c r="I176" s="17">
        <f t="shared" si="9"/>
        <v>630000</v>
      </c>
      <c r="J176" s="17">
        <f t="shared" si="14"/>
        <v>220500</v>
      </c>
      <c r="K176" s="171">
        <f t="shared" si="10"/>
        <v>409500</v>
      </c>
      <c r="L176" s="17"/>
      <c r="M176" s="17"/>
      <c r="N176" s="17">
        <f t="shared" si="11"/>
        <v>409500</v>
      </c>
      <c r="O176" s="10" t="s">
        <v>23</v>
      </c>
      <c r="P176" s="72"/>
      <c r="Q176" s="10" t="s">
        <v>3354</v>
      </c>
      <c r="R176" s="17"/>
      <c r="S176" s="13"/>
      <c r="T176" s="17"/>
      <c r="U176" s="17"/>
      <c r="V176" s="17"/>
      <c r="W176" s="17"/>
    </row>
    <row r="177" spans="1:23" s="20" customFormat="1" ht="15.75" customHeight="1">
      <c r="A177" s="880">
        <v>44477</v>
      </c>
      <c r="B177" s="76" t="s">
        <v>206</v>
      </c>
      <c r="C177" s="29" t="s">
        <v>7047</v>
      </c>
      <c r="D177" s="739" t="s">
        <v>7048</v>
      </c>
      <c r="E177" s="76" t="s">
        <v>7049</v>
      </c>
      <c r="F177" s="76" t="s">
        <v>7050</v>
      </c>
      <c r="G177" s="30">
        <v>1</v>
      </c>
      <c r="H177" s="171">
        <v>89000</v>
      </c>
      <c r="I177" s="17">
        <f t="shared" si="9"/>
        <v>89000</v>
      </c>
      <c r="J177" s="17"/>
      <c r="K177" s="171">
        <f t="shared" si="10"/>
        <v>89000</v>
      </c>
      <c r="L177" s="17">
        <v>22500</v>
      </c>
      <c r="M177" s="17"/>
      <c r="N177" s="17">
        <f t="shared" si="11"/>
        <v>111500</v>
      </c>
      <c r="O177" s="76" t="s">
        <v>206</v>
      </c>
      <c r="P177" s="183"/>
      <c r="Q177" s="10" t="s">
        <v>7051</v>
      </c>
      <c r="R177" s="17"/>
      <c r="S177" s="17"/>
      <c r="T177" s="17"/>
      <c r="U177" s="17"/>
      <c r="V177" s="17"/>
      <c r="W177" s="17"/>
    </row>
    <row r="178" spans="1:23" s="20" customFormat="1" ht="15.75" customHeight="1">
      <c r="A178" s="880">
        <v>44477</v>
      </c>
      <c r="B178" s="76" t="s">
        <v>206</v>
      </c>
      <c r="C178" s="29" t="s">
        <v>7052</v>
      </c>
      <c r="D178" s="739" t="s">
        <v>7053</v>
      </c>
      <c r="E178" s="739" t="s">
        <v>2864</v>
      </c>
      <c r="F178" s="739" t="s">
        <v>7054</v>
      </c>
      <c r="G178" s="30">
        <v>1</v>
      </c>
      <c r="H178" s="888">
        <v>145000</v>
      </c>
      <c r="I178" s="17">
        <f t="shared" si="9"/>
        <v>145000</v>
      </c>
      <c r="J178" s="17"/>
      <c r="K178" s="171">
        <f t="shared" si="10"/>
        <v>145000</v>
      </c>
      <c r="L178" s="17">
        <v>35800</v>
      </c>
      <c r="M178" s="17"/>
      <c r="N178" s="17">
        <f t="shared" si="11"/>
        <v>180800</v>
      </c>
      <c r="O178" s="76" t="s">
        <v>206</v>
      </c>
      <c r="P178" s="183"/>
      <c r="Q178" s="10" t="s">
        <v>7051</v>
      </c>
      <c r="R178" s="17"/>
      <c r="S178" s="17"/>
      <c r="T178" s="17"/>
      <c r="U178" s="17"/>
      <c r="V178" s="17"/>
      <c r="W178" s="17"/>
    </row>
    <row r="179" spans="1:23" s="20" customFormat="1" ht="15.75" customHeight="1">
      <c r="A179" s="880">
        <v>44477</v>
      </c>
      <c r="B179" s="76" t="s">
        <v>206</v>
      </c>
      <c r="C179" s="29" t="s">
        <v>7055</v>
      </c>
      <c r="D179" s="739" t="s">
        <v>7056</v>
      </c>
      <c r="E179" s="739" t="s">
        <v>7057</v>
      </c>
      <c r="F179" s="739" t="s">
        <v>7058</v>
      </c>
      <c r="G179" s="30">
        <v>1</v>
      </c>
      <c r="H179" s="171">
        <v>109000</v>
      </c>
      <c r="I179" s="17">
        <f t="shared" si="9"/>
        <v>109000</v>
      </c>
      <c r="J179" s="17"/>
      <c r="K179" s="171">
        <f t="shared" si="10"/>
        <v>109000</v>
      </c>
      <c r="L179" s="17">
        <v>22600</v>
      </c>
      <c r="M179" s="17"/>
      <c r="N179" s="17">
        <f t="shared" si="11"/>
        <v>131600</v>
      </c>
      <c r="O179" s="76" t="s">
        <v>206</v>
      </c>
      <c r="P179" s="183"/>
      <c r="Q179" s="10" t="s">
        <v>7051</v>
      </c>
      <c r="R179" s="17"/>
      <c r="S179" s="17"/>
      <c r="T179" s="17"/>
      <c r="U179" s="17"/>
      <c r="V179" s="17"/>
      <c r="W179" s="17"/>
    </row>
    <row r="180" spans="1:23" s="20" customFormat="1">
      <c r="A180" s="880">
        <v>44477</v>
      </c>
      <c r="B180" s="10" t="s">
        <v>23</v>
      </c>
      <c r="C180" s="76" t="s">
        <v>7059</v>
      </c>
      <c r="D180" s="745" t="s">
        <v>31</v>
      </c>
      <c r="E180" s="76" t="s">
        <v>80</v>
      </c>
      <c r="F180" s="76" t="s">
        <v>3459</v>
      </c>
      <c r="G180" s="30">
        <v>1</v>
      </c>
      <c r="H180" s="888">
        <v>133000</v>
      </c>
      <c r="I180" s="17">
        <f t="shared" si="9"/>
        <v>133000</v>
      </c>
      <c r="J180" s="17"/>
      <c r="K180" s="171">
        <f t="shared" si="10"/>
        <v>133000</v>
      </c>
      <c r="L180" s="17"/>
      <c r="M180" s="17"/>
      <c r="N180" s="17">
        <f t="shared" si="11"/>
        <v>133000</v>
      </c>
      <c r="O180" s="10" t="s">
        <v>23</v>
      </c>
      <c r="P180" s="183"/>
      <c r="Q180" s="10" t="s">
        <v>7060</v>
      </c>
      <c r="R180" s="17"/>
      <c r="S180" s="17"/>
      <c r="T180" s="17"/>
      <c r="U180" s="17"/>
      <c r="V180" s="17"/>
      <c r="W180" s="17"/>
    </row>
    <row r="181" spans="1:23" s="20" customFormat="1">
      <c r="A181" s="880">
        <v>44477</v>
      </c>
      <c r="B181" s="76" t="s">
        <v>23</v>
      </c>
      <c r="C181" s="29" t="s">
        <v>7061</v>
      </c>
      <c r="D181" s="739" t="s">
        <v>7062</v>
      </c>
      <c r="E181" s="739" t="s">
        <v>735</v>
      </c>
      <c r="F181" s="739" t="s">
        <v>2302</v>
      </c>
      <c r="G181" s="30">
        <v>1</v>
      </c>
      <c r="H181" s="171">
        <v>150000</v>
      </c>
      <c r="I181" s="17">
        <f t="shared" si="9"/>
        <v>150000</v>
      </c>
      <c r="J181" s="17"/>
      <c r="K181" s="171">
        <f t="shared" si="10"/>
        <v>150000</v>
      </c>
      <c r="L181" s="17">
        <v>7000</v>
      </c>
      <c r="M181" s="17"/>
      <c r="N181" s="17">
        <f t="shared" si="11"/>
        <v>157000</v>
      </c>
      <c r="O181" s="76" t="s">
        <v>23</v>
      </c>
      <c r="P181" s="183"/>
      <c r="Q181" s="10" t="s">
        <v>740</v>
      </c>
      <c r="R181" s="17"/>
      <c r="S181" s="17"/>
      <c r="T181" s="17"/>
      <c r="U181" s="17"/>
      <c r="V181" s="17"/>
      <c r="W181" s="17"/>
    </row>
    <row r="182" spans="1:23" s="20" customFormat="1">
      <c r="A182" s="880">
        <v>44480</v>
      </c>
      <c r="B182" s="76" t="s">
        <v>43</v>
      </c>
      <c r="C182" s="282" t="s">
        <v>7063</v>
      </c>
      <c r="D182" s="739" t="s">
        <v>7064</v>
      </c>
      <c r="E182" s="739" t="s">
        <v>7065</v>
      </c>
      <c r="F182" s="739" t="s">
        <v>7066</v>
      </c>
      <c r="G182" s="30">
        <v>1</v>
      </c>
      <c r="H182" s="888">
        <v>107000</v>
      </c>
      <c r="I182" s="17">
        <f t="shared" si="9"/>
        <v>107000</v>
      </c>
      <c r="J182" s="17"/>
      <c r="K182" s="171">
        <f t="shared" si="10"/>
        <v>107000</v>
      </c>
      <c r="L182" s="17"/>
      <c r="M182" s="17">
        <v>-5992</v>
      </c>
      <c r="N182" s="17">
        <f t="shared" si="11"/>
        <v>101008</v>
      </c>
      <c r="O182" s="76" t="s">
        <v>43</v>
      </c>
      <c r="P182" s="72"/>
      <c r="Q182" s="76" t="s">
        <v>54</v>
      </c>
      <c r="R182" s="17"/>
      <c r="S182" s="17"/>
      <c r="T182" s="17"/>
      <c r="U182" s="17"/>
      <c r="V182" s="17"/>
      <c r="W182" s="17"/>
    </row>
    <row r="183" spans="1:23" s="20" customFormat="1">
      <c r="A183" s="880">
        <v>44480</v>
      </c>
      <c r="B183" s="76" t="s">
        <v>43</v>
      </c>
      <c r="C183" s="282" t="s">
        <v>7067</v>
      </c>
      <c r="D183" s="739" t="s">
        <v>7068</v>
      </c>
      <c r="E183" s="739" t="s">
        <v>7069</v>
      </c>
      <c r="F183" s="739" t="s">
        <v>7070</v>
      </c>
      <c r="G183" s="897">
        <v>1</v>
      </c>
      <c r="H183" s="171">
        <v>79000</v>
      </c>
      <c r="I183" s="17">
        <f t="shared" si="9"/>
        <v>79000</v>
      </c>
      <c r="J183" s="17"/>
      <c r="K183" s="171">
        <f t="shared" si="10"/>
        <v>79000</v>
      </c>
      <c r="L183" s="17"/>
      <c r="M183" s="17">
        <v>-4424</v>
      </c>
      <c r="N183" s="17">
        <f t="shared" si="11"/>
        <v>74576</v>
      </c>
      <c r="O183" s="76" t="s">
        <v>43</v>
      </c>
      <c r="P183" s="72"/>
      <c r="Q183" s="76" t="s">
        <v>54</v>
      </c>
      <c r="R183" s="17"/>
      <c r="S183" s="17"/>
      <c r="T183" s="17"/>
      <c r="U183" s="17"/>
      <c r="V183" s="17"/>
      <c r="W183" s="17"/>
    </row>
    <row r="184" spans="1:23" s="20" customFormat="1">
      <c r="A184" s="880">
        <v>44480</v>
      </c>
      <c r="B184" s="76" t="s">
        <v>43</v>
      </c>
      <c r="C184" s="282" t="s">
        <v>7071</v>
      </c>
      <c r="D184" s="745" t="s">
        <v>7072</v>
      </c>
      <c r="E184" s="76" t="s">
        <v>955</v>
      </c>
      <c r="F184" s="76" t="s">
        <v>956</v>
      </c>
      <c r="G184" s="30">
        <v>1</v>
      </c>
      <c r="H184" s="888">
        <v>73000</v>
      </c>
      <c r="I184" s="17">
        <f t="shared" si="9"/>
        <v>73000</v>
      </c>
      <c r="J184" s="17"/>
      <c r="K184" s="171">
        <f t="shared" si="10"/>
        <v>73000</v>
      </c>
      <c r="L184" s="17"/>
      <c r="M184" s="17">
        <v>-4088</v>
      </c>
      <c r="N184" s="17">
        <f t="shared" si="11"/>
        <v>68912</v>
      </c>
      <c r="O184" s="76" t="s">
        <v>43</v>
      </c>
      <c r="P184" s="72"/>
      <c r="Q184" s="76" t="s">
        <v>54</v>
      </c>
      <c r="R184" s="17"/>
      <c r="S184" s="17"/>
      <c r="T184" s="17"/>
      <c r="U184" s="17"/>
      <c r="V184" s="17"/>
      <c r="W184" s="17"/>
    </row>
    <row r="185" spans="1:23" s="20" customFormat="1">
      <c r="A185" s="880">
        <v>44480</v>
      </c>
      <c r="B185" s="76" t="s">
        <v>43</v>
      </c>
      <c r="C185" s="283" t="s">
        <v>7073</v>
      </c>
      <c r="D185" s="739" t="s">
        <v>7074</v>
      </c>
      <c r="E185" s="739" t="s">
        <v>7075</v>
      </c>
      <c r="F185" s="739" t="s">
        <v>7076</v>
      </c>
      <c r="G185" s="707">
        <v>2</v>
      </c>
      <c r="H185" s="171">
        <v>86000</v>
      </c>
      <c r="I185" s="17">
        <f t="shared" si="9"/>
        <v>172000</v>
      </c>
      <c r="J185" s="17"/>
      <c r="K185" s="171">
        <f t="shared" si="10"/>
        <v>172000</v>
      </c>
      <c r="L185" s="17"/>
      <c r="M185" s="17">
        <v>-9632</v>
      </c>
      <c r="N185" s="17">
        <f t="shared" si="11"/>
        <v>162368</v>
      </c>
      <c r="O185" s="76" t="s">
        <v>43</v>
      </c>
      <c r="P185" s="183"/>
      <c r="Q185" s="76" t="s">
        <v>54</v>
      </c>
      <c r="R185" s="17"/>
      <c r="S185" s="17"/>
      <c r="T185" s="17"/>
      <c r="U185" s="17"/>
      <c r="V185" s="17"/>
      <c r="W185" s="17"/>
    </row>
    <row r="186" spans="1:23" s="20" customFormat="1">
      <c r="A186" s="880">
        <v>44480</v>
      </c>
      <c r="B186" s="76" t="s">
        <v>43</v>
      </c>
      <c r="C186" s="283" t="s">
        <v>7077</v>
      </c>
      <c r="D186" s="739" t="s">
        <v>7078</v>
      </c>
      <c r="E186" s="876" t="s">
        <v>2169</v>
      </c>
      <c r="F186" s="876" t="s">
        <v>128</v>
      </c>
      <c r="G186" s="30">
        <v>1</v>
      </c>
      <c r="H186" s="888">
        <v>77500</v>
      </c>
      <c r="I186" s="17">
        <f t="shared" si="9"/>
        <v>77500</v>
      </c>
      <c r="J186" s="17"/>
      <c r="K186" s="171">
        <f t="shared" si="10"/>
        <v>77500</v>
      </c>
      <c r="L186" s="17"/>
      <c r="M186" s="17">
        <v>-9968</v>
      </c>
      <c r="N186" s="17">
        <f t="shared" si="11"/>
        <v>67532</v>
      </c>
      <c r="O186" s="76" t="s">
        <v>43</v>
      </c>
      <c r="P186" s="72"/>
      <c r="Q186" s="76" t="s">
        <v>176</v>
      </c>
      <c r="R186" s="17"/>
      <c r="S186" s="17"/>
      <c r="T186" s="17"/>
      <c r="U186" s="17"/>
      <c r="V186" s="17"/>
      <c r="W186" s="17"/>
    </row>
    <row r="187" spans="1:23" s="20" customFormat="1">
      <c r="A187" s="880">
        <v>44480</v>
      </c>
      <c r="B187" s="76" t="s">
        <v>43</v>
      </c>
      <c r="C187" s="283" t="s">
        <v>7077</v>
      </c>
      <c r="D187" s="739" t="s">
        <v>7078</v>
      </c>
      <c r="E187" s="746" t="s">
        <v>2056</v>
      </c>
      <c r="F187" s="746" t="s">
        <v>2057</v>
      </c>
      <c r="G187" s="30">
        <v>1</v>
      </c>
      <c r="H187" s="171">
        <v>59500</v>
      </c>
      <c r="I187" s="17">
        <f t="shared" si="9"/>
        <v>59500</v>
      </c>
      <c r="J187" s="17"/>
      <c r="K187" s="171">
        <f t="shared" si="10"/>
        <v>59500</v>
      </c>
      <c r="L187" s="17"/>
      <c r="M187" s="17"/>
      <c r="N187" s="17">
        <f t="shared" si="11"/>
        <v>59500</v>
      </c>
      <c r="O187" s="76" t="s">
        <v>43</v>
      </c>
      <c r="P187" s="72"/>
      <c r="Q187" s="76" t="s">
        <v>176</v>
      </c>
      <c r="R187" s="17"/>
      <c r="S187" s="17"/>
      <c r="T187" s="17"/>
      <c r="U187" s="17"/>
      <c r="V187" s="17"/>
      <c r="W187" s="17"/>
    </row>
    <row r="188" spans="1:23" s="20" customFormat="1">
      <c r="A188" s="880">
        <v>44480</v>
      </c>
      <c r="B188" s="76" t="s">
        <v>43</v>
      </c>
      <c r="C188" s="282" t="s">
        <v>7077</v>
      </c>
      <c r="D188" s="739" t="s">
        <v>7078</v>
      </c>
      <c r="E188" s="876" t="s">
        <v>1351</v>
      </c>
      <c r="F188" s="876" t="s">
        <v>1352</v>
      </c>
      <c r="G188" s="30">
        <v>1</v>
      </c>
      <c r="H188" s="888">
        <v>41000</v>
      </c>
      <c r="I188" s="17">
        <f t="shared" si="9"/>
        <v>41000</v>
      </c>
      <c r="J188" s="17"/>
      <c r="K188" s="171">
        <f t="shared" si="10"/>
        <v>41000</v>
      </c>
      <c r="L188" s="17"/>
      <c r="M188" s="17"/>
      <c r="N188" s="17">
        <f t="shared" si="11"/>
        <v>41000</v>
      </c>
      <c r="O188" s="76" t="s">
        <v>43</v>
      </c>
      <c r="P188" s="72"/>
      <c r="Q188" s="76" t="s">
        <v>176</v>
      </c>
      <c r="R188" s="17"/>
      <c r="S188" s="17"/>
      <c r="T188" s="17"/>
      <c r="U188" s="17"/>
      <c r="V188" s="17"/>
      <c r="W188" s="17"/>
    </row>
    <row r="189" spans="1:23" s="20" customFormat="1">
      <c r="A189" s="880">
        <v>44480</v>
      </c>
      <c r="B189" s="76" t="s">
        <v>43</v>
      </c>
      <c r="C189" s="282" t="s">
        <v>7079</v>
      </c>
      <c r="D189" s="739" t="s">
        <v>7080</v>
      </c>
      <c r="E189" s="739" t="s">
        <v>7075</v>
      </c>
      <c r="F189" s="739" t="s">
        <v>7076</v>
      </c>
      <c r="G189" s="707">
        <v>1</v>
      </c>
      <c r="H189" s="171">
        <v>86000</v>
      </c>
      <c r="I189" s="17">
        <f t="shared" si="9"/>
        <v>86000</v>
      </c>
      <c r="J189" s="17"/>
      <c r="K189" s="171">
        <f t="shared" si="10"/>
        <v>86000</v>
      </c>
      <c r="L189" s="17"/>
      <c r="M189" s="17">
        <v>-4816</v>
      </c>
      <c r="N189" s="17">
        <f t="shared" si="11"/>
        <v>81184</v>
      </c>
      <c r="O189" s="76" t="s">
        <v>43</v>
      </c>
      <c r="P189" s="72"/>
      <c r="Q189" s="76" t="s">
        <v>54</v>
      </c>
      <c r="R189" s="17"/>
      <c r="S189" s="17"/>
      <c r="T189" s="17"/>
      <c r="U189" s="17"/>
      <c r="V189" s="17"/>
      <c r="W189" s="17"/>
    </row>
    <row r="190" spans="1:23" s="20" customFormat="1">
      <c r="A190" s="880">
        <v>44480</v>
      </c>
      <c r="B190" s="76" t="s">
        <v>43</v>
      </c>
      <c r="C190" s="283" t="s">
        <v>7081</v>
      </c>
      <c r="D190" s="739" t="s">
        <v>7082</v>
      </c>
      <c r="E190" s="76" t="s">
        <v>5380</v>
      </c>
      <c r="F190" s="76" t="s">
        <v>5381</v>
      </c>
      <c r="G190" s="30">
        <v>1</v>
      </c>
      <c r="H190" s="846">
        <v>157000</v>
      </c>
      <c r="I190" s="86">
        <f t="shared" si="9"/>
        <v>157000</v>
      </c>
      <c r="J190" s="17"/>
      <c r="K190" s="171">
        <f t="shared" si="10"/>
        <v>157000</v>
      </c>
      <c r="L190" s="17"/>
      <c r="M190" s="17">
        <v>-8792</v>
      </c>
      <c r="N190" s="17">
        <f t="shared" si="11"/>
        <v>148208</v>
      </c>
      <c r="O190" s="76" t="s">
        <v>43</v>
      </c>
      <c r="P190" s="72"/>
      <c r="Q190" s="76" t="s">
        <v>54</v>
      </c>
      <c r="R190" s="17"/>
      <c r="S190" s="17"/>
      <c r="T190" s="17"/>
      <c r="U190" s="17"/>
      <c r="V190" s="17"/>
      <c r="W190" s="17"/>
    </row>
    <row r="191" spans="1:23" s="20" customFormat="1">
      <c r="A191" s="880">
        <v>44480</v>
      </c>
      <c r="B191" s="76" t="s">
        <v>43</v>
      </c>
      <c r="C191" s="283" t="s">
        <v>7083</v>
      </c>
      <c r="D191" s="739" t="s">
        <v>7084</v>
      </c>
      <c r="E191" s="739" t="s">
        <v>7069</v>
      </c>
      <c r="F191" s="739" t="s">
        <v>7070</v>
      </c>
      <c r="G191" s="897">
        <v>1</v>
      </c>
      <c r="H191" s="846">
        <v>79000</v>
      </c>
      <c r="I191" s="86">
        <f t="shared" si="9"/>
        <v>79000</v>
      </c>
      <c r="J191" s="17"/>
      <c r="K191" s="171">
        <f t="shared" si="10"/>
        <v>79000</v>
      </c>
      <c r="L191" s="17"/>
      <c r="M191" s="17">
        <v>-4424</v>
      </c>
      <c r="N191" s="17">
        <f t="shared" si="11"/>
        <v>74576</v>
      </c>
      <c r="O191" s="76" t="s">
        <v>43</v>
      </c>
      <c r="P191" s="72"/>
      <c r="Q191" s="76" t="s">
        <v>54</v>
      </c>
      <c r="R191" s="17"/>
      <c r="S191" s="17"/>
      <c r="T191" s="17"/>
      <c r="U191" s="17"/>
      <c r="V191" s="17"/>
      <c r="W191" s="17"/>
    </row>
    <row r="192" spans="1:23" s="20" customFormat="1">
      <c r="A192" s="880">
        <v>44480</v>
      </c>
      <c r="B192" s="76" t="s">
        <v>43</v>
      </c>
      <c r="C192" s="283" t="s">
        <v>7085</v>
      </c>
      <c r="D192" s="739" t="s">
        <v>7086</v>
      </c>
      <c r="E192" s="76" t="s">
        <v>1802</v>
      </c>
      <c r="F192" s="76" t="s">
        <v>1803</v>
      </c>
      <c r="G192" s="30">
        <v>1</v>
      </c>
      <c r="H192" s="846">
        <v>68000</v>
      </c>
      <c r="I192" s="86">
        <f t="shared" si="9"/>
        <v>68000</v>
      </c>
      <c r="J192" s="17"/>
      <c r="K192" s="171">
        <f t="shared" si="10"/>
        <v>68000</v>
      </c>
      <c r="L192" s="17"/>
      <c r="M192" s="17">
        <v>-3808</v>
      </c>
      <c r="N192" s="17">
        <f t="shared" si="11"/>
        <v>64192</v>
      </c>
      <c r="O192" s="76" t="s">
        <v>43</v>
      </c>
      <c r="P192" s="72"/>
      <c r="Q192" s="76" t="s">
        <v>54</v>
      </c>
      <c r="R192" s="17"/>
      <c r="S192" s="17"/>
      <c r="T192" s="17"/>
      <c r="U192" s="17"/>
      <c r="V192" s="17"/>
      <c r="W192" s="17"/>
    </row>
    <row r="193" spans="1:23" s="20" customFormat="1">
      <c r="A193" s="880">
        <v>44480</v>
      </c>
      <c r="B193" s="76" t="s">
        <v>43</v>
      </c>
      <c r="C193" s="283" t="s">
        <v>7087</v>
      </c>
      <c r="D193" s="739" t="s">
        <v>7088</v>
      </c>
      <c r="E193" s="739" t="s">
        <v>7089</v>
      </c>
      <c r="F193" s="739" t="s">
        <v>7090</v>
      </c>
      <c r="G193" s="706">
        <v>1</v>
      </c>
      <c r="H193" s="846">
        <v>206000</v>
      </c>
      <c r="I193" s="86">
        <f t="shared" si="9"/>
        <v>206000</v>
      </c>
      <c r="J193" s="17"/>
      <c r="K193" s="171">
        <f t="shared" si="10"/>
        <v>206000</v>
      </c>
      <c r="L193" s="17"/>
      <c r="M193" s="17">
        <v>-11536</v>
      </c>
      <c r="N193" s="17">
        <f t="shared" si="11"/>
        <v>194464</v>
      </c>
      <c r="O193" s="76" t="s">
        <v>43</v>
      </c>
      <c r="P193" s="72"/>
      <c r="Q193" s="76" t="s">
        <v>176</v>
      </c>
      <c r="R193" s="17"/>
      <c r="S193" s="17"/>
      <c r="T193" s="17"/>
      <c r="U193" s="17"/>
      <c r="V193" s="17"/>
      <c r="W193" s="17"/>
    </row>
    <row r="194" spans="1:23" s="20" customFormat="1">
      <c r="A194" s="880">
        <v>44480</v>
      </c>
      <c r="B194" s="76" t="s">
        <v>43</v>
      </c>
      <c r="C194" s="283" t="s">
        <v>7091</v>
      </c>
      <c r="D194" s="739" t="s">
        <v>7092</v>
      </c>
      <c r="E194" s="739" t="s">
        <v>7093</v>
      </c>
      <c r="F194" s="739" t="s">
        <v>7094</v>
      </c>
      <c r="G194" s="30">
        <v>1</v>
      </c>
      <c r="H194" s="846">
        <v>137000</v>
      </c>
      <c r="I194" s="86">
        <f t="shared" si="9"/>
        <v>137000</v>
      </c>
      <c r="J194" s="17"/>
      <c r="K194" s="171">
        <f t="shared" si="10"/>
        <v>137000</v>
      </c>
      <c r="L194" s="17"/>
      <c r="M194" s="17">
        <v>-7672</v>
      </c>
      <c r="N194" s="17">
        <f t="shared" si="11"/>
        <v>129328</v>
      </c>
      <c r="O194" s="76" t="s">
        <v>43</v>
      </c>
      <c r="P194" s="72"/>
      <c r="Q194" s="76" t="s">
        <v>54</v>
      </c>
      <c r="R194" s="17"/>
      <c r="S194" s="17"/>
      <c r="T194" s="17"/>
      <c r="U194" s="17"/>
      <c r="V194" s="17"/>
      <c r="W194" s="17"/>
    </row>
    <row r="195" spans="1:23" s="20" customFormat="1">
      <c r="A195" s="880">
        <v>44480</v>
      </c>
      <c r="B195" s="76" t="s">
        <v>43</v>
      </c>
      <c r="C195" s="283" t="s">
        <v>7095</v>
      </c>
      <c r="D195" s="739" t="s">
        <v>7096</v>
      </c>
      <c r="E195" s="76" t="s">
        <v>6399</v>
      </c>
      <c r="F195" s="76" t="s">
        <v>6400</v>
      </c>
      <c r="G195" s="30">
        <v>1</v>
      </c>
      <c r="H195" s="846">
        <v>26000</v>
      </c>
      <c r="I195" s="86">
        <f t="shared" ref="I195:I258" si="15">H195*G195</f>
        <v>26000</v>
      </c>
      <c r="J195" s="17"/>
      <c r="K195" s="171">
        <f t="shared" ref="K195:K258" si="16">I195-J195</f>
        <v>26000</v>
      </c>
      <c r="L195" s="17"/>
      <c r="M195" s="17">
        <v>-1456</v>
      </c>
      <c r="N195" s="17">
        <f t="shared" ref="N195:N258" si="17">K195+L195+M195</f>
        <v>24544</v>
      </c>
      <c r="O195" s="76" t="s">
        <v>43</v>
      </c>
      <c r="P195" s="72"/>
      <c r="Q195" s="76" t="s">
        <v>176</v>
      </c>
      <c r="R195" s="17"/>
      <c r="S195" s="17"/>
      <c r="T195" s="17"/>
      <c r="U195" s="17"/>
      <c r="V195" s="17"/>
      <c r="W195" s="17"/>
    </row>
    <row r="196" spans="1:23" s="20" customFormat="1">
      <c r="A196" s="880">
        <v>44480</v>
      </c>
      <c r="B196" s="76" t="s">
        <v>206</v>
      </c>
      <c r="C196" s="283" t="s">
        <v>5571</v>
      </c>
      <c r="D196" s="739" t="s">
        <v>7097</v>
      </c>
      <c r="E196" s="76" t="s">
        <v>7098</v>
      </c>
      <c r="F196" s="76" t="s">
        <v>5678</v>
      </c>
      <c r="G196" s="30">
        <v>1</v>
      </c>
      <c r="H196" s="846">
        <v>74000</v>
      </c>
      <c r="I196" s="86">
        <f t="shared" si="15"/>
        <v>74000</v>
      </c>
      <c r="J196" s="17"/>
      <c r="K196" s="171">
        <f t="shared" si="16"/>
        <v>74000</v>
      </c>
      <c r="L196" s="17"/>
      <c r="M196" s="17">
        <v>5000</v>
      </c>
      <c r="N196" s="17">
        <f t="shared" si="17"/>
        <v>79000</v>
      </c>
      <c r="O196" s="76" t="s">
        <v>206</v>
      </c>
      <c r="P196" s="183"/>
      <c r="Q196" s="76" t="s">
        <v>28</v>
      </c>
      <c r="R196" s="17"/>
      <c r="S196" s="17"/>
      <c r="T196" s="17"/>
      <c r="U196" s="17"/>
      <c r="V196" s="17"/>
      <c r="W196" s="17"/>
    </row>
    <row r="197" spans="1:23" s="20" customFormat="1">
      <c r="A197" s="880">
        <v>44480</v>
      </c>
      <c r="B197" s="76" t="s">
        <v>23</v>
      </c>
      <c r="C197" s="283" t="s">
        <v>7099</v>
      </c>
      <c r="D197" s="739" t="s">
        <v>7100</v>
      </c>
      <c r="E197" s="739" t="s">
        <v>7101</v>
      </c>
      <c r="F197" s="739" t="s">
        <v>7102</v>
      </c>
      <c r="G197" s="30">
        <v>1</v>
      </c>
      <c r="H197" s="846">
        <v>265500</v>
      </c>
      <c r="I197" s="86">
        <f t="shared" si="15"/>
        <v>265500</v>
      </c>
      <c r="J197" s="17"/>
      <c r="K197" s="171">
        <f t="shared" si="16"/>
        <v>265500</v>
      </c>
      <c r="L197" s="17">
        <v>24000</v>
      </c>
      <c r="M197" s="17"/>
      <c r="N197" s="17">
        <f t="shared" si="17"/>
        <v>289500</v>
      </c>
      <c r="O197" s="76" t="s">
        <v>23</v>
      </c>
      <c r="P197" s="183"/>
      <c r="Q197" s="76" t="s">
        <v>40</v>
      </c>
      <c r="R197" s="17"/>
      <c r="S197" s="17"/>
      <c r="T197" s="17"/>
      <c r="U197" s="17"/>
      <c r="V197" s="17"/>
      <c r="W197" s="17"/>
    </row>
    <row r="198" spans="1:23" s="20" customFormat="1">
      <c r="A198" s="880">
        <v>44480</v>
      </c>
      <c r="B198" s="76" t="s">
        <v>23</v>
      </c>
      <c r="C198" s="283" t="s">
        <v>431</v>
      </c>
      <c r="D198" s="745" t="s">
        <v>31</v>
      </c>
      <c r="E198" s="782" t="s">
        <v>5540</v>
      </c>
      <c r="F198" s="782" t="s">
        <v>5541</v>
      </c>
      <c r="G198" s="30">
        <v>1</v>
      </c>
      <c r="H198" s="846">
        <v>107000</v>
      </c>
      <c r="I198" s="86">
        <f t="shared" si="15"/>
        <v>107000</v>
      </c>
      <c r="J198" s="17">
        <f>I198*25%+40000</f>
        <v>66750</v>
      </c>
      <c r="K198" s="171">
        <f t="shared" si="16"/>
        <v>40250</v>
      </c>
      <c r="L198" s="17"/>
      <c r="M198" s="17"/>
      <c r="N198" s="17">
        <f t="shared" si="17"/>
        <v>40250</v>
      </c>
      <c r="O198" s="76" t="s">
        <v>23</v>
      </c>
      <c r="P198" s="183"/>
      <c r="Q198" s="76" t="s">
        <v>35</v>
      </c>
      <c r="R198" s="17"/>
      <c r="S198" s="17"/>
      <c r="T198" s="17"/>
      <c r="U198" s="17"/>
      <c r="V198" s="17"/>
      <c r="W198" s="17"/>
    </row>
    <row r="199" spans="1:23" s="20" customFormat="1">
      <c r="A199" s="880">
        <v>44480</v>
      </c>
      <c r="B199" s="76" t="s">
        <v>23</v>
      </c>
      <c r="C199" s="283" t="s">
        <v>431</v>
      </c>
      <c r="D199" s="745" t="s">
        <v>31</v>
      </c>
      <c r="E199" s="782" t="s">
        <v>5312</v>
      </c>
      <c r="F199" s="782" t="s">
        <v>5313</v>
      </c>
      <c r="G199" s="30">
        <v>1</v>
      </c>
      <c r="H199" s="846">
        <v>68500</v>
      </c>
      <c r="I199" s="86">
        <f t="shared" si="15"/>
        <v>68500</v>
      </c>
      <c r="J199" s="17">
        <f>I199*25%</f>
        <v>17125</v>
      </c>
      <c r="K199" s="171">
        <f t="shared" si="16"/>
        <v>51375</v>
      </c>
      <c r="L199" s="17"/>
      <c r="M199" s="17"/>
      <c r="N199" s="17">
        <f t="shared" si="17"/>
        <v>51375</v>
      </c>
      <c r="O199" s="76" t="s">
        <v>23</v>
      </c>
      <c r="P199" s="183"/>
      <c r="Q199" s="76" t="s">
        <v>35</v>
      </c>
      <c r="R199" s="17"/>
      <c r="S199" s="17"/>
      <c r="T199" s="17"/>
      <c r="U199" s="17"/>
      <c r="V199" s="17"/>
      <c r="W199" s="17"/>
    </row>
    <row r="200" spans="1:23" s="20" customFormat="1">
      <c r="A200" s="880">
        <v>44481</v>
      </c>
      <c r="B200" s="76" t="s">
        <v>43</v>
      </c>
      <c r="C200" s="283" t="s">
        <v>7103</v>
      </c>
      <c r="D200" s="739" t="s">
        <v>7104</v>
      </c>
      <c r="E200" s="76" t="s">
        <v>5380</v>
      </c>
      <c r="F200" s="76" t="s">
        <v>5381</v>
      </c>
      <c r="G200" s="898">
        <v>1</v>
      </c>
      <c r="H200" s="846">
        <v>157000</v>
      </c>
      <c r="I200" s="86">
        <f t="shared" si="15"/>
        <v>157000</v>
      </c>
      <c r="J200" s="17"/>
      <c r="K200" s="171">
        <f t="shared" si="16"/>
        <v>157000</v>
      </c>
      <c r="L200" s="17"/>
      <c r="M200" s="17">
        <v>-8792</v>
      </c>
      <c r="N200" s="17">
        <f t="shared" si="17"/>
        <v>148208</v>
      </c>
      <c r="O200" s="76" t="s">
        <v>43</v>
      </c>
      <c r="P200" s="183"/>
      <c r="Q200" s="76" t="s">
        <v>7105</v>
      </c>
      <c r="R200" s="17"/>
      <c r="S200" s="17"/>
      <c r="T200" s="17"/>
      <c r="U200" s="17"/>
      <c r="V200" s="17"/>
      <c r="W200" s="17"/>
    </row>
    <row r="201" spans="1:23" s="20" customFormat="1">
      <c r="A201" s="880">
        <v>44481</v>
      </c>
      <c r="B201" s="76" t="s">
        <v>43</v>
      </c>
      <c r="C201" s="283" t="s">
        <v>7106</v>
      </c>
      <c r="D201" s="739" t="s">
        <v>7107</v>
      </c>
      <c r="E201" s="76" t="s">
        <v>6912</v>
      </c>
      <c r="F201" s="76" t="s">
        <v>905</v>
      </c>
      <c r="G201" s="899">
        <v>1</v>
      </c>
      <c r="H201" s="849">
        <v>130000</v>
      </c>
      <c r="I201" s="86">
        <f t="shared" si="15"/>
        <v>130000</v>
      </c>
      <c r="J201" s="17"/>
      <c r="K201" s="171">
        <f t="shared" si="16"/>
        <v>130000</v>
      </c>
      <c r="L201" s="17"/>
      <c r="M201" s="17">
        <v>-7280</v>
      </c>
      <c r="N201" s="17">
        <f t="shared" si="17"/>
        <v>122720</v>
      </c>
      <c r="O201" s="76" t="s">
        <v>43</v>
      </c>
      <c r="P201" s="72"/>
      <c r="Q201" s="76"/>
      <c r="R201" s="17"/>
      <c r="S201" s="13"/>
      <c r="T201" s="17"/>
      <c r="U201" s="17"/>
      <c r="V201" s="17"/>
      <c r="W201" s="17"/>
    </row>
    <row r="202" spans="1:23" s="20" customFormat="1">
      <c r="A202" s="880">
        <v>44481</v>
      </c>
      <c r="B202" s="76" t="s">
        <v>43</v>
      </c>
      <c r="C202" s="283" t="s">
        <v>7108</v>
      </c>
      <c r="D202" s="739" t="s">
        <v>7109</v>
      </c>
      <c r="E202" s="76" t="s">
        <v>87</v>
      </c>
      <c r="F202" s="76" t="s">
        <v>110</v>
      </c>
      <c r="G202" s="16">
        <v>1</v>
      </c>
      <c r="H202" s="757">
        <v>75000</v>
      </c>
      <c r="I202" s="86">
        <f t="shared" si="15"/>
        <v>75000</v>
      </c>
      <c r="J202" s="17"/>
      <c r="K202" s="171">
        <f t="shared" si="16"/>
        <v>75000</v>
      </c>
      <c r="L202" s="17"/>
      <c r="M202" s="17">
        <v>-4200</v>
      </c>
      <c r="N202" s="17">
        <f t="shared" si="17"/>
        <v>70800</v>
      </c>
      <c r="O202" s="76" t="s">
        <v>43</v>
      </c>
      <c r="P202" s="183"/>
      <c r="Q202" s="76" t="s">
        <v>176</v>
      </c>
      <c r="R202" s="17"/>
      <c r="S202" s="13"/>
      <c r="T202" s="17"/>
      <c r="U202" s="17"/>
      <c r="V202" s="17"/>
      <c r="W202" s="17"/>
    </row>
    <row r="203" spans="1:23" s="20" customFormat="1" ht="331.2">
      <c r="A203" s="880">
        <v>44481</v>
      </c>
      <c r="B203" s="76" t="s">
        <v>43</v>
      </c>
      <c r="C203" s="283" t="s">
        <v>7110</v>
      </c>
      <c r="D203" s="750" t="s">
        <v>9444</v>
      </c>
      <c r="E203" s="782" t="s">
        <v>1911</v>
      </c>
      <c r="F203" s="782" t="s">
        <v>1912</v>
      </c>
      <c r="G203" s="16">
        <v>1</v>
      </c>
      <c r="H203" s="849">
        <v>98000</v>
      </c>
      <c r="I203" s="86">
        <f t="shared" si="15"/>
        <v>98000</v>
      </c>
      <c r="J203" s="17"/>
      <c r="K203" s="171">
        <f t="shared" si="16"/>
        <v>98000</v>
      </c>
      <c r="L203" s="17"/>
      <c r="M203" s="17">
        <v>-15988</v>
      </c>
      <c r="N203" s="17">
        <f t="shared" si="17"/>
        <v>82012</v>
      </c>
      <c r="O203" s="76" t="s">
        <v>43</v>
      </c>
      <c r="P203" s="72"/>
      <c r="Q203" s="76" t="s">
        <v>176</v>
      </c>
      <c r="R203" s="17"/>
      <c r="S203" s="17"/>
      <c r="T203" s="17"/>
      <c r="U203" s="17"/>
      <c r="V203" s="17"/>
      <c r="W203" s="17"/>
    </row>
    <row r="204" spans="1:23" s="20" customFormat="1" ht="331.2">
      <c r="A204" s="880">
        <v>44481</v>
      </c>
      <c r="B204" s="76" t="s">
        <v>43</v>
      </c>
      <c r="C204" s="283" t="s">
        <v>7110</v>
      </c>
      <c r="D204" s="750" t="s">
        <v>9444</v>
      </c>
      <c r="E204" s="754" t="s">
        <v>306</v>
      </c>
      <c r="F204" s="754" t="s">
        <v>307</v>
      </c>
      <c r="G204" s="900">
        <v>1</v>
      </c>
      <c r="H204" s="849">
        <v>90500</v>
      </c>
      <c r="I204" s="86">
        <f t="shared" si="15"/>
        <v>90500</v>
      </c>
      <c r="J204" s="17"/>
      <c r="K204" s="171">
        <f t="shared" si="16"/>
        <v>90500</v>
      </c>
      <c r="L204" s="17"/>
      <c r="M204" s="17"/>
      <c r="N204" s="17">
        <f t="shared" si="17"/>
        <v>90500</v>
      </c>
      <c r="O204" s="76" t="s">
        <v>43</v>
      </c>
      <c r="P204" s="183"/>
      <c r="Q204" s="76" t="s">
        <v>176</v>
      </c>
      <c r="R204" s="17"/>
      <c r="S204" s="17"/>
      <c r="T204" s="17"/>
      <c r="U204" s="17"/>
      <c r="V204" s="17"/>
      <c r="W204" s="17"/>
    </row>
    <row r="205" spans="1:23" s="17" customFormat="1" ht="331.2">
      <c r="A205" s="880">
        <v>44481</v>
      </c>
      <c r="B205" s="76" t="s">
        <v>43</v>
      </c>
      <c r="C205" s="283" t="s">
        <v>7110</v>
      </c>
      <c r="D205" s="750" t="s">
        <v>9444</v>
      </c>
      <c r="E205" s="754" t="s">
        <v>7111</v>
      </c>
      <c r="F205" s="754" t="s">
        <v>7112</v>
      </c>
      <c r="G205" s="16">
        <v>1</v>
      </c>
      <c r="H205" s="849">
        <v>97000</v>
      </c>
      <c r="I205" s="86">
        <f t="shared" si="15"/>
        <v>97000</v>
      </c>
      <c r="K205" s="171">
        <f t="shared" si="16"/>
        <v>97000</v>
      </c>
      <c r="N205" s="17">
        <f t="shared" si="17"/>
        <v>97000</v>
      </c>
      <c r="O205" s="76" t="s">
        <v>43</v>
      </c>
      <c r="P205" s="183"/>
      <c r="Q205" s="76" t="s">
        <v>176</v>
      </c>
      <c r="S205" s="13"/>
    </row>
    <row r="206" spans="1:23" s="17" customFormat="1">
      <c r="A206" s="880">
        <v>44481</v>
      </c>
      <c r="B206" s="76" t="s">
        <v>43</v>
      </c>
      <c r="C206" s="283" t="s">
        <v>7113</v>
      </c>
      <c r="D206" s="739" t="s">
        <v>7114</v>
      </c>
      <c r="E206" s="76" t="s">
        <v>4574</v>
      </c>
      <c r="F206" s="76" t="s">
        <v>4048</v>
      </c>
      <c r="G206" s="16">
        <v>1</v>
      </c>
      <c r="H206" s="849">
        <v>192500</v>
      </c>
      <c r="I206" s="86">
        <f t="shared" si="15"/>
        <v>192500</v>
      </c>
      <c r="K206" s="171">
        <f t="shared" si="16"/>
        <v>192500</v>
      </c>
      <c r="M206" s="17">
        <v>-10780</v>
      </c>
      <c r="N206" s="17">
        <f t="shared" si="17"/>
        <v>181720</v>
      </c>
      <c r="O206" s="76" t="s">
        <v>43</v>
      </c>
      <c r="P206" s="183"/>
      <c r="Q206" s="76" t="s">
        <v>176</v>
      </c>
    </row>
    <row r="207" spans="1:23" s="17" customFormat="1">
      <c r="A207" s="880">
        <v>44481</v>
      </c>
      <c r="B207" s="76" t="s">
        <v>43</v>
      </c>
      <c r="C207" s="283" t="s">
        <v>7115</v>
      </c>
      <c r="D207" s="739" t="s">
        <v>7116</v>
      </c>
      <c r="E207" s="76" t="s">
        <v>7117</v>
      </c>
      <c r="F207" s="76" t="s">
        <v>4514</v>
      </c>
      <c r="G207" s="16">
        <v>1</v>
      </c>
      <c r="H207" s="849">
        <v>265000</v>
      </c>
      <c r="I207" s="86">
        <f t="shared" si="15"/>
        <v>265000</v>
      </c>
      <c r="K207" s="171">
        <f t="shared" si="16"/>
        <v>265000</v>
      </c>
      <c r="M207" s="17">
        <v>-14240</v>
      </c>
      <c r="N207" s="17">
        <f t="shared" si="17"/>
        <v>250760</v>
      </c>
      <c r="O207" s="76" t="s">
        <v>43</v>
      </c>
      <c r="P207" s="183"/>
      <c r="Q207" s="76" t="s">
        <v>176</v>
      </c>
    </row>
    <row r="208" spans="1:23" s="17" customFormat="1">
      <c r="A208" s="880">
        <v>44481</v>
      </c>
      <c r="B208" s="76" t="s">
        <v>23</v>
      </c>
      <c r="C208" s="283" t="s">
        <v>7118</v>
      </c>
      <c r="D208" s="739" t="s">
        <v>7119</v>
      </c>
      <c r="E208" s="739" t="s">
        <v>4500</v>
      </c>
      <c r="F208" s="739" t="s">
        <v>4501</v>
      </c>
      <c r="G208" s="16">
        <v>3</v>
      </c>
      <c r="H208" s="849">
        <v>42000</v>
      </c>
      <c r="I208" s="86">
        <f t="shared" si="15"/>
        <v>126000</v>
      </c>
      <c r="K208" s="171">
        <f t="shared" si="16"/>
        <v>126000</v>
      </c>
      <c r="L208" s="17">
        <v>10000</v>
      </c>
      <c r="N208" s="17">
        <f t="shared" si="17"/>
        <v>136000</v>
      </c>
      <c r="O208" s="76" t="s">
        <v>23</v>
      </c>
      <c r="P208" s="72"/>
      <c r="Q208" s="76" t="s">
        <v>40</v>
      </c>
    </row>
    <row r="209" spans="1:19" s="17" customFormat="1">
      <c r="A209" s="880">
        <v>44481</v>
      </c>
      <c r="B209" s="901" t="s">
        <v>23</v>
      </c>
      <c r="C209" s="10" t="s">
        <v>7120</v>
      </c>
      <c r="D209" s="191" t="s">
        <v>7121</v>
      </c>
      <c r="E209" s="76" t="s">
        <v>3063</v>
      </c>
      <c r="F209" s="76" t="s">
        <v>3064</v>
      </c>
      <c r="G209" s="30">
        <v>1</v>
      </c>
      <c r="H209" s="849">
        <v>91500</v>
      </c>
      <c r="I209" s="86">
        <f t="shared" si="15"/>
        <v>91500</v>
      </c>
      <c r="K209" s="171">
        <f t="shared" si="16"/>
        <v>91500</v>
      </c>
      <c r="L209" s="17">
        <v>7000</v>
      </c>
      <c r="N209" s="17">
        <f t="shared" si="17"/>
        <v>98500</v>
      </c>
      <c r="O209" s="901" t="s">
        <v>23</v>
      </c>
      <c r="P209" s="72"/>
      <c r="Q209" s="10" t="s">
        <v>28</v>
      </c>
    </row>
    <row r="210" spans="1:19" s="17" customFormat="1">
      <c r="A210" s="880">
        <v>44482</v>
      </c>
      <c r="B210" s="76" t="s">
        <v>43</v>
      </c>
      <c r="C210" s="76" t="s">
        <v>7122</v>
      </c>
      <c r="D210" s="191" t="s">
        <v>7123</v>
      </c>
      <c r="E210" s="76" t="s">
        <v>3202</v>
      </c>
      <c r="F210" s="76" t="s">
        <v>3203</v>
      </c>
      <c r="G210" s="30">
        <v>1</v>
      </c>
      <c r="H210" s="849">
        <v>66500</v>
      </c>
      <c r="I210" s="86">
        <f t="shared" si="15"/>
        <v>66500</v>
      </c>
      <c r="K210" s="171">
        <f t="shared" si="16"/>
        <v>66500</v>
      </c>
      <c r="M210" s="17">
        <v>-3724</v>
      </c>
      <c r="N210" s="17">
        <f t="shared" si="17"/>
        <v>62776</v>
      </c>
      <c r="O210" s="76" t="s">
        <v>43</v>
      </c>
      <c r="P210" s="183"/>
      <c r="Q210" s="76" t="s">
        <v>54</v>
      </c>
    </row>
    <row r="211" spans="1:19" s="17" customFormat="1">
      <c r="A211" s="880">
        <v>44482</v>
      </c>
      <c r="B211" s="76" t="s">
        <v>43</v>
      </c>
      <c r="C211" s="739" t="s">
        <v>7124</v>
      </c>
      <c r="D211" s="191" t="s">
        <v>7125</v>
      </c>
      <c r="E211" s="76" t="s">
        <v>3796</v>
      </c>
      <c r="F211" s="76" t="s">
        <v>1025</v>
      </c>
      <c r="G211" s="30">
        <v>1</v>
      </c>
      <c r="H211" s="849">
        <v>58500</v>
      </c>
      <c r="I211" s="86">
        <f t="shared" si="15"/>
        <v>58500</v>
      </c>
      <c r="K211" s="171">
        <f t="shared" si="16"/>
        <v>58500</v>
      </c>
      <c r="M211" s="17">
        <v>-3276</v>
      </c>
      <c r="N211" s="17">
        <f t="shared" si="17"/>
        <v>55224</v>
      </c>
      <c r="O211" s="76" t="s">
        <v>43</v>
      </c>
      <c r="P211" s="183"/>
      <c r="Q211" s="76" t="s">
        <v>176</v>
      </c>
      <c r="S211" s="13"/>
    </row>
    <row r="212" spans="1:19" s="17" customFormat="1">
      <c r="A212" s="880">
        <v>44482</v>
      </c>
      <c r="B212" s="76" t="s">
        <v>43</v>
      </c>
      <c r="C212" s="739" t="s">
        <v>7126</v>
      </c>
      <c r="D212" s="191" t="s">
        <v>7127</v>
      </c>
      <c r="E212" s="739" t="s">
        <v>4172</v>
      </c>
      <c r="F212" s="739" t="s">
        <v>4173</v>
      </c>
      <c r="G212" s="30">
        <v>1</v>
      </c>
      <c r="H212" s="849">
        <v>72000</v>
      </c>
      <c r="I212" s="86">
        <f t="shared" si="15"/>
        <v>72000</v>
      </c>
      <c r="K212" s="171">
        <f t="shared" si="16"/>
        <v>72000</v>
      </c>
      <c r="M212" s="17">
        <v>-4032</v>
      </c>
      <c r="N212" s="17">
        <f t="shared" si="17"/>
        <v>67968</v>
      </c>
      <c r="O212" s="76" t="s">
        <v>43</v>
      </c>
      <c r="P212" s="183"/>
      <c r="Q212" s="76" t="s">
        <v>54</v>
      </c>
      <c r="S212" s="13"/>
    </row>
    <row r="213" spans="1:19" s="17" customFormat="1">
      <c r="A213" s="880">
        <v>44482</v>
      </c>
      <c r="B213" s="76" t="s">
        <v>43</v>
      </c>
      <c r="C213" s="76" t="s">
        <v>7128</v>
      </c>
      <c r="D213" s="191" t="s">
        <v>7129</v>
      </c>
      <c r="E213" s="76" t="s">
        <v>3972</v>
      </c>
      <c r="F213" s="76" t="s">
        <v>909</v>
      </c>
      <c r="G213" s="30">
        <v>1</v>
      </c>
      <c r="H213" s="849">
        <v>94000</v>
      </c>
      <c r="I213" s="86">
        <f t="shared" si="15"/>
        <v>94000</v>
      </c>
      <c r="K213" s="171">
        <f t="shared" si="16"/>
        <v>94000</v>
      </c>
      <c r="M213" s="17">
        <v>-5264</v>
      </c>
      <c r="N213" s="17">
        <f t="shared" si="17"/>
        <v>88736</v>
      </c>
      <c r="O213" s="76" t="s">
        <v>43</v>
      </c>
      <c r="P213" s="183"/>
      <c r="Q213" s="76" t="s">
        <v>176</v>
      </c>
      <c r="S213" s="13"/>
    </row>
    <row r="214" spans="1:19" s="17" customFormat="1">
      <c r="A214" s="880">
        <v>44482</v>
      </c>
      <c r="B214" s="76" t="s">
        <v>177</v>
      </c>
      <c r="C214" s="739" t="s">
        <v>7130</v>
      </c>
      <c r="D214" s="191" t="s">
        <v>7131</v>
      </c>
      <c r="E214" s="739" t="s">
        <v>5077</v>
      </c>
      <c r="F214" s="739" t="s">
        <v>5078</v>
      </c>
      <c r="G214" s="30">
        <v>1</v>
      </c>
      <c r="H214" s="849">
        <v>46000</v>
      </c>
      <c r="I214" s="86">
        <f t="shared" si="15"/>
        <v>46000</v>
      </c>
      <c r="K214" s="171">
        <f t="shared" si="16"/>
        <v>46000</v>
      </c>
      <c r="L214" s="17">
        <v>24000</v>
      </c>
      <c r="N214" s="17">
        <f t="shared" si="17"/>
        <v>70000</v>
      </c>
      <c r="O214" s="76" t="s">
        <v>177</v>
      </c>
      <c r="P214" s="72"/>
      <c r="Q214" s="76" t="s">
        <v>54</v>
      </c>
    </row>
    <row r="215" spans="1:19" s="17" customFormat="1">
      <c r="A215" s="880">
        <v>44482</v>
      </c>
      <c r="B215" s="76" t="s">
        <v>23</v>
      </c>
      <c r="C215" s="76" t="s">
        <v>431</v>
      </c>
      <c r="D215" s="191" t="s">
        <v>31</v>
      </c>
      <c r="E215" s="902" t="s">
        <v>5745</v>
      </c>
      <c r="F215" s="902" t="s">
        <v>2101</v>
      </c>
      <c r="G215" s="16">
        <v>1</v>
      </c>
      <c r="H215" s="849">
        <v>180000</v>
      </c>
      <c r="I215" s="86">
        <f t="shared" si="15"/>
        <v>180000</v>
      </c>
      <c r="J215" s="17">
        <f>I215*25%+40000</f>
        <v>85000</v>
      </c>
      <c r="K215" s="171">
        <f t="shared" si="16"/>
        <v>95000</v>
      </c>
      <c r="N215" s="17">
        <f t="shared" si="17"/>
        <v>95000</v>
      </c>
      <c r="O215" s="76" t="s">
        <v>23</v>
      </c>
      <c r="P215" s="183"/>
      <c r="Q215" s="76" t="s">
        <v>35</v>
      </c>
    </row>
    <row r="216" spans="1:19" s="17" customFormat="1">
      <c r="A216" s="880">
        <v>44482</v>
      </c>
      <c r="B216" s="76" t="s">
        <v>23</v>
      </c>
      <c r="C216" s="76" t="s">
        <v>431</v>
      </c>
      <c r="D216" s="191" t="s">
        <v>31</v>
      </c>
      <c r="E216" s="902" t="s">
        <v>3348</v>
      </c>
      <c r="F216" s="902" t="s">
        <v>3349</v>
      </c>
      <c r="G216" s="16">
        <v>1</v>
      </c>
      <c r="H216" s="849">
        <v>78000</v>
      </c>
      <c r="I216" s="86">
        <f t="shared" si="15"/>
        <v>78000</v>
      </c>
      <c r="J216" s="17">
        <f>I216*25%</f>
        <v>19500</v>
      </c>
      <c r="K216" s="171">
        <f t="shared" si="16"/>
        <v>58500</v>
      </c>
      <c r="N216" s="17">
        <f t="shared" si="17"/>
        <v>58500</v>
      </c>
      <c r="O216" s="76" t="s">
        <v>23</v>
      </c>
      <c r="P216" s="183"/>
      <c r="Q216" s="76" t="s">
        <v>35</v>
      </c>
    </row>
    <row r="217" spans="1:19" s="17" customFormat="1">
      <c r="A217" s="880">
        <v>44482</v>
      </c>
      <c r="B217" s="76" t="s">
        <v>23</v>
      </c>
      <c r="C217" s="76" t="s">
        <v>7132</v>
      </c>
      <c r="D217" s="92" t="s">
        <v>7133</v>
      </c>
      <c r="E217" s="739" t="s">
        <v>4833</v>
      </c>
      <c r="F217" s="739" t="s">
        <v>4834</v>
      </c>
      <c r="G217" s="16">
        <v>1</v>
      </c>
      <c r="H217" s="849">
        <v>57000</v>
      </c>
      <c r="I217" s="86">
        <f t="shared" si="15"/>
        <v>57000</v>
      </c>
      <c r="K217" s="171">
        <f t="shared" si="16"/>
        <v>57000</v>
      </c>
      <c r="L217" s="17">
        <v>47000</v>
      </c>
      <c r="N217" s="17">
        <f t="shared" si="17"/>
        <v>104000</v>
      </c>
      <c r="O217" s="76" t="s">
        <v>23</v>
      </c>
      <c r="P217" s="72"/>
      <c r="Q217" s="76" t="s">
        <v>54</v>
      </c>
    </row>
    <row r="218" spans="1:19" s="17" customFormat="1">
      <c r="A218" s="880">
        <v>44482</v>
      </c>
      <c r="B218" s="76" t="s">
        <v>23</v>
      </c>
      <c r="C218" s="76" t="s">
        <v>7134</v>
      </c>
      <c r="D218" s="191" t="s">
        <v>7135</v>
      </c>
      <c r="E218" s="903" t="s">
        <v>7136</v>
      </c>
      <c r="F218" s="903" t="s">
        <v>7137</v>
      </c>
      <c r="G218" s="16">
        <v>2</v>
      </c>
      <c r="H218" s="849">
        <v>115000</v>
      </c>
      <c r="I218" s="86">
        <f t="shared" si="15"/>
        <v>230000</v>
      </c>
      <c r="J218" s="17">
        <f>I218*25%</f>
        <v>57500</v>
      </c>
      <c r="K218" s="171">
        <f t="shared" si="16"/>
        <v>172500</v>
      </c>
      <c r="L218" s="17">
        <v>84000</v>
      </c>
      <c r="N218" s="17">
        <f t="shared" si="17"/>
        <v>256500</v>
      </c>
      <c r="O218" s="76" t="s">
        <v>23</v>
      </c>
      <c r="P218" s="72"/>
      <c r="Q218" s="76" t="s">
        <v>40</v>
      </c>
      <c r="S218" s="13"/>
    </row>
    <row r="219" spans="1:19" s="17" customFormat="1" ht="15.6">
      <c r="A219" s="880">
        <v>44482</v>
      </c>
      <c r="B219" s="76" t="s">
        <v>23</v>
      </c>
      <c r="C219" s="76" t="s">
        <v>7134</v>
      </c>
      <c r="D219" s="191" t="s">
        <v>7135</v>
      </c>
      <c r="E219" s="904" t="s">
        <v>7138</v>
      </c>
      <c r="F219" s="905" t="s">
        <v>7139</v>
      </c>
      <c r="G219" s="16">
        <v>2</v>
      </c>
      <c r="H219" s="849">
        <v>153000</v>
      </c>
      <c r="I219" s="86">
        <f t="shared" si="15"/>
        <v>306000</v>
      </c>
      <c r="J219" s="17">
        <f t="shared" ref="J219:J224" si="18">I219*25%</f>
        <v>76500</v>
      </c>
      <c r="K219" s="171">
        <f t="shared" si="16"/>
        <v>229500</v>
      </c>
      <c r="N219" s="17">
        <f t="shared" si="17"/>
        <v>229500</v>
      </c>
      <c r="O219" s="76" t="s">
        <v>23</v>
      </c>
      <c r="P219" s="72"/>
      <c r="Q219" s="76" t="s">
        <v>40</v>
      </c>
    </row>
    <row r="220" spans="1:19" s="17" customFormat="1">
      <c r="A220" s="880">
        <v>44482</v>
      </c>
      <c r="B220" s="76" t="s">
        <v>23</v>
      </c>
      <c r="C220" s="76" t="s">
        <v>7134</v>
      </c>
      <c r="D220" s="191" t="s">
        <v>7135</v>
      </c>
      <c r="E220" s="903" t="s">
        <v>2655</v>
      </c>
      <c r="F220" s="903" t="s">
        <v>2656</v>
      </c>
      <c r="G220" s="16">
        <v>2</v>
      </c>
      <c r="H220" s="849">
        <v>85000</v>
      </c>
      <c r="I220" s="86">
        <f t="shared" si="15"/>
        <v>170000</v>
      </c>
      <c r="J220" s="17">
        <f t="shared" si="18"/>
        <v>42500</v>
      </c>
      <c r="K220" s="171">
        <f t="shared" si="16"/>
        <v>127500</v>
      </c>
      <c r="N220" s="17">
        <f t="shared" si="17"/>
        <v>127500</v>
      </c>
      <c r="O220" s="76" t="s">
        <v>23</v>
      </c>
      <c r="P220" s="72"/>
      <c r="Q220" s="76" t="s">
        <v>40</v>
      </c>
    </row>
    <row r="221" spans="1:19" s="17" customFormat="1">
      <c r="A221" s="880">
        <v>44482</v>
      </c>
      <c r="B221" s="76" t="s">
        <v>23</v>
      </c>
      <c r="C221" s="76" t="s">
        <v>7134</v>
      </c>
      <c r="D221" s="191" t="s">
        <v>7135</v>
      </c>
      <c r="E221" s="903" t="s">
        <v>7140</v>
      </c>
      <c r="F221" s="903" t="s">
        <v>7141</v>
      </c>
      <c r="G221" s="16">
        <v>2</v>
      </c>
      <c r="H221" s="849">
        <v>119500</v>
      </c>
      <c r="I221" s="86">
        <f t="shared" si="15"/>
        <v>239000</v>
      </c>
      <c r="J221" s="17">
        <f t="shared" si="18"/>
        <v>59750</v>
      </c>
      <c r="K221" s="171">
        <f t="shared" si="16"/>
        <v>179250</v>
      </c>
      <c r="N221" s="17">
        <f t="shared" si="17"/>
        <v>179250</v>
      </c>
      <c r="O221" s="76" t="s">
        <v>23</v>
      </c>
      <c r="P221" s="183"/>
      <c r="Q221" s="76" t="s">
        <v>40</v>
      </c>
    </row>
    <row r="222" spans="1:19" s="17" customFormat="1">
      <c r="A222" s="880">
        <v>44482</v>
      </c>
      <c r="B222" s="76" t="s">
        <v>23</v>
      </c>
      <c r="C222" s="76" t="s">
        <v>7134</v>
      </c>
      <c r="D222" s="191" t="s">
        <v>7135</v>
      </c>
      <c r="E222" s="903" t="s">
        <v>7142</v>
      </c>
      <c r="F222" s="903" t="s">
        <v>7143</v>
      </c>
      <c r="G222" s="16">
        <v>2</v>
      </c>
      <c r="H222" s="849">
        <v>101000</v>
      </c>
      <c r="I222" s="86">
        <f t="shared" si="15"/>
        <v>202000</v>
      </c>
      <c r="J222" s="17">
        <f t="shared" si="18"/>
        <v>50500</v>
      </c>
      <c r="K222" s="171">
        <f t="shared" si="16"/>
        <v>151500</v>
      </c>
      <c r="N222" s="17">
        <f t="shared" si="17"/>
        <v>151500</v>
      </c>
      <c r="O222" s="76" t="s">
        <v>23</v>
      </c>
      <c r="P222" s="183"/>
      <c r="Q222" s="76" t="s">
        <v>40</v>
      </c>
    </row>
    <row r="223" spans="1:19" s="17" customFormat="1">
      <c r="A223" s="880">
        <v>44482</v>
      </c>
      <c r="B223" s="76" t="s">
        <v>23</v>
      </c>
      <c r="C223" s="76" t="s">
        <v>7134</v>
      </c>
      <c r="D223" s="191" t="s">
        <v>7135</v>
      </c>
      <c r="E223" s="903" t="s">
        <v>4071</v>
      </c>
      <c r="F223" s="903" t="s">
        <v>4072</v>
      </c>
      <c r="G223" s="16">
        <v>2</v>
      </c>
      <c r="H223" s="849">
        <v>72000</v>
      </c>
      <c r="I223" s="86">
        <f t="shared" si="15"/>
        <v>144000</v>
      </c>
      <c r="J223" s="17">
        <f t="shared" si="18"/>
        <v>36000</v>
      </c>
      <c r="K223" s="171">
        <f t="shared" si="16"/>
        <v>108000</v>
      </c>
      <c r="N223" s="17">
        <f t="shared" si="17"/>
        <v>108000</v>
      </c>
      <c r="O223" s="76" t="s">
        <v>23</v>
      </c>
      <c r="P223" s="183"/>
      <c r="Q223" s="76" t="s">
        <v>40</v>
      </c>
    </row>
    <row r="224" spans="1:19" s="17" customFormat="1">
      <c r="A224" s="880">
        <v>44482</v>
      </c>
      <c r="B224" s="76" t="s">
        <v>23</v>
      </c>
      <c r="C224" s="76" t="s">
        <v>7134</v>
      </c>
      <c r="D224" s="191" t="s">
        <v>7135</v>
      </c>
      <c r="E224" s="903" t="s">
        <v>7144</v>
      </c>
      <c r="F224" s="903" t="s">
        <v>7145</v>
      </c>
      <c r="G224" s="16">
        <v>2</v>
      </c>
      <c r="H224" s="849">
        <v>154000</v>
      </c>
      <c r="I224" s="86">
        <f t="shared" si="15"/>
        <v>308000</v>
      </c>
      <c r="J224" s="17">
        <f t="shared" si="18"/>
        <v>77000</v>
      </c>
      <c r="K224" s="171">
        <f t="shared" si="16"/>
        <v>231000</v>
      </c>
      <c r="N224" s="17">
        <f t="shared" si="17"/>
        <v>231000</v>
      </c>
      <c r="O224" s="76" t="s">
        <v>23</v>
      </c>
      <c r="P224" s="183"/>
      <c r="Q224" s="76" t="s">
        <v>40</v>
      </c>
    </row>
    <row r="225" spans="1:17" s="17" customFormat="1">
      <c r="A225" s="880">
        <v>44482</v>
      </c>
      <c r="B225" s="76" t="s">
        <v>313</v>
      </c>
      <c r="C225" s="739" t="s">
        <v>7146</v>
      </c>
      <c r="D225" s="92" t="s">
        <v>7147</v>
      </c>
      <c r="E225" s="76" t="s">
        <v>6067</v>
      </c>
      <c r="F225" s="76" t="s">
        <v>6068</v>
      </c>
      <c r="G225" s="16">
        <v>1</v>
      </c>
      <c r="H225" s="849">
        <v>77000</v>
      </c>
      <c r="I225" s="86">
        <f t="shared" si="15"/>
        <v>77000</v>
      </c>
      <c r="K225" s="171">
        <f t="shared" si="16"/>
        <v>77000</v>
      </c>
      <c r="L225" s="17">
        <v>19051</v>
      </c>
      <c r="N225" s="17">
        <f t="shared" si="17"/>
        <v>96051</v>
      </c>
      <c r="O225" s="76" t="s">
        <v>313</v>
      </c>
      <c r="P225" s="183"/>
      <c r="Q225" s="76" t="s">
        <v>40</v>
      </c>
    </row>
    <row r="226" spans="1:17" s="17" customFormat="1">
      <c r="A226" s="880">
        <v>44482</v>
      </c>
      <c r="B226" s="76" t="s">
        <v>23</v>
      </c>
      <c r="C226" s="739" t="s">
        <v>7148</v>
      </c>
      <c r="D226" s="92" t="s">
        <v>7149</v>
      </c>
      <c r="E226" s="76" t="s">
        <v>7150</v>
      </c>
      <c r="F226" s="76" t="s">
        <v>7151</v>
      </c>
      <c r="G226" s="16">
        <v>1</v>
      </c>
      <c r="H226" s="849">
        <v>66000</v>
      </c>
      <c r="I226" s="86">
        <f t="shared" si="15"/>
        <v>66000</v>
      </c>
      <c r="K226" s="171">
        <f t="shared" si="16"/>
        <v>66000</v>
      </c>
      <c r="L226" s="17">
        <v>24000</v>
      </c>
      <c r="N226" s="17">
        <f t="shared" si="17"/>
        <v>90000</v>
      </c>
      <c r="O226" s="76" t="s">
        <v>23</v>
      </c>
      <c r="P226" s="183"/>
      <c r="Q226" s="76" t="s">
        <v>54</v>
      </c>
    </row>
    <row r="227" spans="1:17" s="17" customFormat="1">
      <c r="A227" s="880">
        <v>44483</v>
      </c>
      <c r="B227" s="76" t="s">
        <v>177</v>
      </c>
      <c r="C227" s="739" t="s">
        <v>7152</v>
      </c>
      <c r="D227" s="191" t="s">
        <v>7153</v>
      </c>
      <c r="E227" s="739" t="s">
        <v>7154</v>
      </c>
      <c r="F227" s="739" t="s">
        <v>7155</v>
      </c>
      <c r="G227" s="30">
        <v>1</v>
      </c>
      <c r="H227" s="849">
        <v>36000</v>
      </c>
      <c r="I227" s="86">
        <f t="shared" si="15"/>
        <v>36000</v>
      </c>
      <c r="K227" s="171">
        <f t="shared" si="16"/>
        <v>36000</v>
      </c>
      <c r="L227" s="17">
        <v>7000</v>
      </c>
      <c r="N227" s="17">
        <f t="shared" si="17"/>
        <v>43000</v>
      </c>
      <c r="O227" s="76" t="s">
        <v>177</v>
      </c>
      <c r="P227" s="183"/>
      <c r="Q227" s="76" t="s">
        <v>54</v>
      </c>
    </row>
    <row r="228" spans="1:17" s="17" customFormat="1">
      <c r="A228" s="880">
        <v>44483</v>
      </c>
      <c r="B228" s="76" t="s">
        <v>23</v>
      </c>
      <c r="C228" s="739" t="s">
        <v>7156</v>
      </c>
      <c r="D228" s="92" t="s">
        <v>7157</v>
      </c>
      <c r="E228" s="739" t="s">
        <v>1224</v>
      </c>
      <c r="F228" s="739" t="s">
        <v>1225</v>
      </c>
      <c r="G228" s="30">
        <v>3</v>
      </c>
      <c r="H228" s="849">
        <v>100000</v>
      </c>
      <c r="I228" s="86">
        <f t="shared" si="15"/>
        <v>300000</v>
      </c>
      <c r="K228" s="171">
        <f t="shared" si="16"/>
        <v>300000</v>
      </c>
      <c r="L228" s="17">
        <v>7000</v>
      </c>
      <c r="N228" s="17">
        <f t="shared" si="17"/>
        <v>307000</v>
      </c>
      <c r="O228" s="76" t="s">
        <v>23</v>
      </c>
      <c r="P228" s="183"/>
      <c r="Q228" s="76" t="s">
        <v>28</v>
      </c>
    </row>
    <row r="229" spans="1:17" s="17" customFormat="1">
      <c r="A229" s="880">
        <v>44483</v>
      </c>
      <c r="B229" s="76" t="s">
        <v>23</v>
      </c>
      <c r="C229" s="76" t="s">
        <v>7158</v>
      </c>
      <c r="D229" s="92" t="s">
        <v>7159</v>
      </c>
      <c r="E229" s="780" t="s">
        <v>7160</v>
      </c>
      <c r="F229" s="780" t="s">
        <v>7161</v>
      </c>
      <c r="G229" s="30">
        <v>1</v>
      </c>
      <c r="H229" s="849">
        <v>90000</v>
      </c>
      <c r="I229" s="86">
        <f t="shared" si="15"/>
        <v>90000</v>
      </c>
      <c r="K229" s="171">
        <f t="shared" si="16"/>
        <v>90000</v>
      </c>
      <c r="L229" s="17">
        <v>20000</v>
      </c>
      <c r="N229" s="17">
        <f t="shared" si="17"/>
        <v>110000</v>
      </c>
      <c r="O229" s="76" t="s">
        <v>23</v>
      </c>
      <c r="P229" s="183"/>
      <c r="Q229" s="76" t="s">
        <v>54</v>
      </c>
    </row>
    <row r="230" spans="1:17" s="17" customFormat="1">
      <c r="A230" s="880">
        <v>44483</v>
      </c>
      <c r="B230" s="76" t="s">
        <v>23</v>
      </c>
      <c r="C230" s="76" t="s">
        <v>7158</v>
      </c>
      <c r="D230" s="92" t="s">
        <v>7159</v>
      </c>
      <c r="E230" s="780" t="s">
        <v>7162</v>
      </c>
      <c r="F230" s="780" t="s">
        <v>7163</v>
      </c>
      <c r="G230" s="30">
        <v>1</v>
      </c>
      <c r="H230" s="849">
        <v>76500</v>
      </c>
      <c r="I230" s="86">
        <f t="shared" si="15"/>
        <v>76500</v>
      </c>
      <c r="K230" s="171">
        <f t="shared" si="16"/>
        <v>76500</v>
      </c>
      <c r="N230" s="17">
        <f t="shared" si="17"/>
        <v>76500</v>
      </c>
      <c r="O230" s="76" t="s">
        <v>23</v>
      </c>
      <c r="P230" s="183"/>
      <c r="Q230" s="76" t="s">
        <v>54</v>
      </c>
    </row>
    <row r="231" spans="1:17" s="17" customFormat="1">
      <c r="A231" s="880">
        <v>44483</v>
      </c>
      <c r="B231" s="76" t="s">
        <v>23</v>
      </c>
      <c r="C231" s="76" t="s">
        <v>7158</v>
      </c>
      <c r="D231" s="92" t="s">
        <v>7159</v>
      </c>
      <c r="E231" s="780" t="s">
        <v>7164</v>
      </c>
      <c r="F231" s="780" t="s">
        <v>7165</v>
      </c>
      <c r="G231" s="30">
        <v>1</v>
      </c>
      <c r="H231" s="849">
        <v>110000</v>
      </c>
      <c r="I231" s="86">
        <f t="shared" si="15"/>
        <v>110000</v>
      </c>
      <c r="K231" s="171">
        <f t="shared" si="16"/>
        <v>110000</v>
      </c>
      <c r="N231" s="17">
        <f t="shared" si="17"/>
        <v>110000</v>
      </c>
      <c r="O231" s="76" t="s">
        <v>23</v>
      </c>
      <c r="P231" s="183"/>
      <c r="Q231" s="76" t="s">
        <v>54</v>
      </c>
    </row>
    <row r="232" spans="1:17" s="17" customFormat="1">
      <c r="A232" s="880">
        <v>44483</v>
      </c>
      <c r="B232" s="76" t="s">
        <v>23</v>
      </c>
      <c r="C232" s="739" t="s">
        <v>7166</v>
      </c>
      <c r="D232" s="92" t="s">
        <v>7167</v>
      </c>
      <c r="E232" s="76" t="s">
        <v>4444</v>
      </c>
      <c r="F232" s="76" t="s">
        <v>4445</v>
      </c>
      <c r="G232" s="30">
        <v>1</v>
      </c>
      <c r="H232" s="849">
        <v>61500</v>
      </c>
      <c r="I232" s="86">
        <f t="shared" si="15"/>
        <v>61500</v>
      </c>
      <c r="K232" s="171">
        <f t="shared" si="16"/>
        <v>61500</v>
      </c>
      <c r="L232" s="17">
        <v>26000</v>
      </c>
      <c r="N232" s="17">
        <f t="shared" si="17"/>
        <v>87500</v>
      </c>
      <c r="O232" s="76" t="s">
        <v>23</v>
      </c>
      <c r="P232" s="183"/>
      <c r="Q232" s="76" t="s">
        <v>40</v>
      </c>
    </row>
    <row r="233" spans="1:17" s="17" customFormat="1">
      <c r="A233" s="880">
        <v>44483</v>
      </c>
      <c r="B233" s="76" t="s">
        <v>23</v>
      </c>
      <c r="C233" s="76" t="s">
        <v>7168</v>
      </c>
      <c r="D233" s="92" t="s">
        <v>7169</v>
      </c>
      <c r="E233" s="739" t="s">
        <v>3948</v>
      </c>
      <c r="F233" s="739" t="s">
        <v>3949</v>
      </c>
      <c r="G233" s="30">
        <v>1</v>
      </c>
      <c r="H233" s="849">
        <v>257000</v>
      </c>
      <c r="I233" s="86">
        <f t="shared" si="15"/>
        <v>257000</v>
      </c>
      <c r="K233" s="171">
        <f t="shared" si="16"/>
        <v>257000</v>
      </c>
      <c r="L233" s="17">
        <v>45000</v>
      </c>
      <c r="N233" s="17">
        <f t="shared" si="17"/>
        <v>302000</v>
      </c>
      <c r="O233" s="76" t="s">
        <v>23</v>
      </c>
      <c r="P233" s="72"/>
      <c r="Q233" s="76" t="s">
        <v>40</v>
      </c>
    </row>
    <row r="234" spans="1:17" s="17" customFormat="1">
      <c r="A234" s="880">
        <v>44483</v>
      </c>
      <c r="B234" s="76" t="s">
        <v>23</v>
      </c>
      <c r="C234" s="739" t="s">
        <v>7170</v>
      </c>
      <c r="D234" s="92" t="s">
        <v>7171</v>
      </c>
      <c r="E234" s="739" t="s">
        <v>7172</v>
      </c>
      <c r="F234" s="739" t="s">
        <v>7173</v>
      </c>
      <c r="G234" s="30">
        <v>2</v>
      </c>
      <c r="H234" s="849">
        <v>121000</v>
      </c>
      <c r="I234" s="86">
        <f t="shared" si="15"/>
        <v>242000</v>
      </c>
      <c r="K234" s="171">
        <f t="shared" si="16"/>
        <v>242000</v>
      </c>
      <c r="L234" s="17">
        <v>33000</v>
      </c>
      <c r="N234" s="17">
        <f t="shared" si="17"/>
        <v>275000</v>
      </c>
      <c r="O234" s="76" t="s">
        <v>23</v>
      </c>
      <c r="P234" s="183"/>
      <c r="Q234" s="76" t="s">
        <v>54</v>
      </c>
    </row>
    <row r="235" spans="1:17" s="17" customFormat="1">
      <c r="A235" s="880">
        <v>44483</v>
      </c>
      <c r="B235" s="10" t="s">
        <v>23</v>
      </c>
      <c r="C235" s="10" t="s">
        <v>7174</v>
      </c>
      <c r="D235" s="92" t="s">
        <v>4743</v>
      </c>
      <c r="E235" s="885" t="s">
        <v>5648</v>
      </c>
      <c r="F235" s="885" t="s">
        <v>5649</v>
      </c>
      <c r="G235" s="30">
        <v>4</v>
      </c>
      <c r="H235" s="849">
        <v>52500</v>
      </c>
      <c r="I235" s="86">
        <f t="shared" si="15"/>
        <v>210000</v>
      </c>
      <c r="J235" s="17">
        <f>I235*25%</f>
        <v>52500</v>
      </c>
      <c r="K235" s="171">
        <f t="shared" si="16"/>
        <v>157500</v>
      </c>
      <c r="L235" s="17">
        <v>35000</v>
      </c>
      <c r="N235" s="17">
        <f t="shared" si="17"/>
        <v>192500</v>
      </c>
      <c r="O235" s="10" t="s">
        <v>23</v>
      </c>
      <c r="P235" s="72"/>
      <c r="Q235" s="10" t="s">
        <v>5552</v>
      </c>
    </row>
    <row r="236" spans="1:17" s="17" customFormat="1">
      <c r="A236" s="880">
        <v>44483</v>
      </c>
      <c r="B236" s="10" t="s">
        <v>23</v>
      </c>
      <c r="C236" s="10" t="s">
        <v>7174</v>
      </c>
      <c r="D236" s="92" t="s">
        <v>6795</v>
      </c>
      <c r="E236" s="777" t="s">
        <v>7175</v>
      </c>
      <c r="F236" s="777" t="s">
        <v>7176</v>
      </c>
      <c r="G236" s="30">
        <v>4</v>
      </c>
      <c r="H236" s="849">
        <v>91000</v>
      </c>
      <c r="I236" s="86">
        <f t="shared" si="15"/>
        <v>364000</v>
      </c>
      <c r="J236" s="17">
        <f t="shared" ref="J236:J241" si="19">I236*25%</f>
        <v>91000</v>
      </c>
      <c r="K236" s="171">
        <f t="shared" si="16"/>
        <v>273000</v>
      </c>
      <c r="N236" s="17">
        <f t="shared" si="17"/>
        <v>273000</v>
      </c>
      <c r="O236" s="10" t="s">
        <v>23</v>
      </c>
      <c r="P236" s="72"/>
      <c r="Q236" s="10" t="s">
        <v>5552</v>
      </c>
    </row>
    <row r="237" spans="1:17" s="17" customFormat="1">
      <c r="A237" s="880">
        <v>44483</v>
      </c>
      <c r="B237" s="10" t="s">
        <v>23</v>
      </c>
      <c r="C237" s="10" t="s">
        <v>7174</v>
      </c>
      <c r="D237" s="92" t="s">
        <v>6796</v>
      </c>
      <c r="E237" s="777" t="s">
        <v>7177</v>
      </c>
      <c r="F237" s="777" t="s">
        <v>7178</v>
      </c>
      <c r="G237" s="30">
        <v>4</v>
      </c>
      <c r="H237" s="849">
        <v>237000</v>
      </c>
      <c r="I237" s="86">
        <f t="shared" si="15"/>
        <v>948000</v>
      </c>
      <c r="J237" s="17">
        <f t="shared" si="19"/>
        <v>237000</v>
      </c>
      <c r="K237" s="171">
        <f t="shared" si="16"/>
        <v>711000</v>
      </c>
      <c r="N237" s="17">
        <f t="shared" si="17"/>
        <v>711000</v>
      </c>
      <c r="O237" s="10" t="s">
        <v>23</v>
      </c>
      <c r="P237" s="183"/>
      <c r="Q237" s="10" t="s">
        <v>5552</v>
      </c>
    </row>
    <row r="238" spans="1:17" s="17" customFormat="1">
      <c r="A238" s="880">
        <v>44483</v>
      </c>
      <c r="B238" s="10" t="s">
        <v>23</v>
      </c>
      <c r="C238" s="10" t="s">
        <v>7174</v>
      </c>
      <c r="D238" s="92" t="s">
        <v>6797</v>
      </c>
      <c r="E238" s="885" t="s">
        <v>5650</v>
      </c>
      <c r="F238" s="885" t="s">
        <v>5651</v>
      </c>
      <c r="G238" s="30">
        <v>4</v>
      </c>
      <c r="H238" s="849">
        <v>70000</v>
      </c>
      <c r="I238" s="86">
        <f t="shared" si="15"/>
        <v>280000</v>
      </c>
      <c r="J238" s="17">
        <f t="shared" si="19"/>
        <v>70000</v>
      </c>
      <c r="K238" s="171">
        <f t="shared" si="16"/>
        <v>210000</v>
      </c>
      <c r="N238" s="17">
        <f t="shared" si="17"/>
        <v>210000</v>
      </c>
      <c r="O238" s="10" t="s">
        <v>23</v>
      </c>
      <c r="P238" s="72"/>
      <c r="Q238" s="10" t="s">
        <v>5552</v>
      </c>
    </row>
    <row r="239" spans="1:17" s="17" customFormat="1">
      <c r="A239" s="880">
        <v>44483</v>
      </c>
      <c r="B239" s="10" t="s">
        <v>23</v>
      </c>
      <c r="C239" s="10" t="s">
        <v>7174</v>
      </c>
      <c r="D239" s="92" t="s">
        <v>7179</v>
      </c>
      <c r="E239" s="777" t="s">
        <v>7180</v>
      </c>
      <c r="F239" s="777" t="s">
        <v>7181</v>
      </c>
      <c r="G239" s="30">
        <v>4</v>
      </c>
      <c r="H239" s="849">
        <v>57500</v>
      </c>
      <c r="I239" s="86">
        <f t="shared" si="15"/>
        <v>230000</v>
      </c>
      <c r="J239" s="17">
        <f t="shared" si="19"/>
        <v>57500</v>
      </c>
      <c r="K239" s="171">
        <f t="shared" si="16"/>
        <v>172500</v>
      </c>
      <c r="N239" s="17">
        <f t="shared" si="17"/>
        <v>172500</v>
      </c>
      <c r="O239" s="10" t="s">
        <v>23</v>
      </c>
      <c r="P239" s="72"/>
      <c r="Q239" s="10" t="s">
        <v>5552</v>
      </c>
    </row>
    <row r="240" spans="1:17" s="17" customFormat="1">
      <c r="A240" s="880">
        <v>44483</v>
      </c>
      <c r="B240" s="10" t="s">
        <v>23</v>
      </c>
      <c r="C240" s="10" t="s">
        <v>7174</v>
      </c>
      <c r="D240" s="92" t="s">
        <v>7182</v>
      </c>
      <c r="E240" s="885" t="s">
        <v>4500</v>
      </c>
      <c r="F240" s="885" t="s">
        <v>4501</v>
      </c>
      <c r="G240" s="30">
        <v>4</v>
      </c>
      <c r="H240" s="849">
        <v>42000</v>
      </c>
      <c r="I240" s="86">
        <f t="shared" si="15"/>
        <v>168000</v>
      </c>
      <c r="J240" s="17">
        <f t="shared" si="19"/>
        <v>42000</v>
      </c>
      <c r="K240" s="171">
        <f t="shared" si="16"/>
        <v>126000</v>
      </c>
      <c r="N240" s="17">
        <f t="shared" si="17"/>
        <v>126000</v>
      </c>
      <c r="O240" s="10" t="s">
        <v>23</v>
      </c>
      <c r="P240" s="92"/>
      <c r="Q240" s="10" t="s">
        <v>5552</v>
      </c>
    </row>
    <row r="241" spans="1:17" s="17" customFormat="1">
      <c r="A241" s="880">
        <v>44483</v>
      </c>
      <c r="B241" s="10" t="s">
        <v>23</v>
      </c>
      <c r="C241" s="10" t="s">
        <v>7174</v>
      </c>
      <c r="D241" s="92" t="s">
        <v>7183</v>
      </c>
      <c r="E241" s="777" t="s">
        <v>7184</v>
      </c>
      <c r="F241" s="777" t="s">
        <v>7185</v>
      </c>
      <c r="G241" s="30">
        <v>4</v>
      </c>
      <c r="H241" s="849">
        <v>30000</v>
      </c>
      <c r="I241" s="86">
        <f t="shared" si="15"/>
        <v>120000</v>
      </c>
      <c r="J241" s="17">
        <f t="shared" si="19"/>
        <v>30000</v>
      </c>
      <c r="K241" s="171">
        <f t="shared" si="16"/>
        <v>90000</v>
      </c>
      <c r="N241" s="17">
        <f t="shared" si="17"/>
        <v>90000</v>
      </c>
      <c r="O241" s="10" t="s">
        <v>23</v>
      </c>
      <c r="P241" s="183"/>
      <c r="Q241" s="10" t="s">
        <v>5552</v>
      </c>
    </row>
    <row r="242" spans="1:17" s="17" customFormat="1">
      <c r="A242" s="880">
        <v>44483</v>
      </c>
      <c r="B242" s="10" t="s">
        <v>23</v>
      </c>
      <c r="C242" s="10" t="s">
        <v>7174</v>
      </c>
      <c r="D242" s="92" t="s">
        <v>7186</v>
      </c>
      <c r="E242" s="777" t="s">
        <v>6961</v>
      </c>
      <c r="F242" s="777" t="s">
        <v>6962</v>
      </c>
      <c r="G242" s="30">
        <v>4</v>
      </c>
      <c r="H242" s="849">
        <v>99000</v>
      </c>
      <c r="I242" s="86">
        <f t="shared" si="15"/>
        <v>396000</v>
      </c>
      <c r="J242" s="17">
        <f>I242*25%</f>
        <v>99000</v>
      </c>
      <c r="K242" s="171">
        <f t="shared" si="16"/>
        <v>297000</v>
      </c>
      <c r="N242" s="17">
        <f t="shared" si="17"/>
        <v>297000</v>
      </c>
      <c r="O242" s="10" t="s">
        <v>23</v>
      </c>
      <c r="P242" s="183"/>
      <c r="Q242" s="10" t="s">
        <v>5552</v>
      </c>
    </row>
    <row r="243" spans="1:17" s="17" customFormat="1">
      <c r="A243" s="880">
        <v>44483</v>
      </c>
      <c r="B243" s="76" t="s">
        <v>206</v>
      </c>
      <c r="C243" s="76" t="s">
        <v>7187</v>
      </c>
      <c r="D243" s="92" t="s">
        <v>7188</v>
      </c>
      <c r="E243" s="739" t="s">
        <v>7189</v>
      </c>
      <c r="F243" s="739" t="s">
        <v>7190</v>
      </c>
      <c r="G243" s="906">
        <v>2</v>
      </c>
      <c r="H243" s="849">
        <v>160000</v>
      </c>
      <c r="I243" s="86">
        <f t="shared" si="15"/>
        <v>320000</v>
      </c>
      <c r="K243" s="171">
        <f t="shared" si="16"/>
        <v>320000</v>
      </c>
      <c r="L243" s="17">
        <v>46500</v>
      </c>
      <c r="N243" s="17">
        <f t="shared" si="17"/>
        <v>366500</v>
      </c>
      <c r="O243" s="76" t="s">
        <v>206</v>
      </c>
      <c r="P243" s="183"/>
      <c r="Q243" s="76" t="s">
        <v>40</v>
      </c>
    </row>
    <row r="244" spans="1:17" s="17" customFormat="1">
      <c r="A244" s="880">
        <v>44483</v>
      </c>
      <c r="B244" s="76" t="s">
        <v>206</v>
      </c>
      <c r="C244" s="739" t="s">
        <v>7191</v>
      </c>
      <c r="D244" s="92" t="s">
        <v>7192</v>
      </c>
      <c r="E244" s="739" t="s">
        <v>7189</v>
      </c>
      <c r="F244" s="739" t="s">
        <v>7190</v>
      </c>
      <c r="G244" s="906">
        <v>1</v>
      </c>
      <c r="H244" s="849">
        <v>160000</v>
      </c>
      <c r="I244" s="86">
        <f t="shared" si="15"/>
        <v>160000</v>
      </c>
      <c r="K244" s="171">
        <f t="shared" si="16"/>
        <v>160000</v>
      </c>
      <c r="L244" s="17">
        <f>6700-6000</f>
        <v>700</v>
      </c>
      <c r="N244" s="17">
        <f t="shared" si="17"/>
        <v>160700</v>
      </c>
      <c r="O244" s="76" t="s">
        <v>206</v>
      </c>
      <c r="P244" s="183"/>
      <c r="Q244" s="76" t="s">
        <v>328</v>
      </c>
    </row>
    <row r="245" spans="1:17" s="17" customFormat="1">
      <c r="A245" s="880">
        <v>44483</v>
      </c>
      <c r="B245" s="76" t="s">
        <v>23</v>
      </c>
      <c r="C245" s="739" t="s">
        <v>7193</v>
      </c>
      <c r="D245" s="92" t="s">
        <v>7194</v>
      </c>
      <c r="E245" s="76" t="s">
        <v>6255</v>
      </c>
      <c r="F245" s="76" t="s">
        <v>6256</v>
      </c>
      <c r="G245" s="30">
        <v>1</v>
      </c>
      <c r="H245" s="849">
        <v>78000</v>
      </c>
      <c r="I245" s="86">
        <f t="shared" si="15"/>
        <v>78000</v>
      </c>
      <c r="K245" s="171">
        <f t="shared" si="16"/>
        <v>78000</v>
      </c>
      <c r="L245" s="17">
        <v>19000</v>
      </c>
      <c r="N245" s="17">
        <f t="shared" si="17"/>
        <v>97000</v>
      </c>
      <c r="O245" s="76" t="s">
        <v>23</v>
      </c>
      <c r="P245" s="183"/>
      <c r="Q245" s="76" t="s">
        <v>40</v>
      </c>
    </row>
    <row r="246" spans="1:17" s="17" customFormat="1">
      <c r="A246" s="880">
        <v>44484</v>
      </c>
      <c r="B246" s="76" t="s">
        <v>43</v>
      </c>
      <c r="C246" s="739" t="s">
        <v>7195</v>
      </c>
      <c r="D246" s="92" t="s">
        <v>7196</v>
      </c>
      <c r="E246" s="739" t="s">
        <v>7197</v>
      </c>
      <c r="F246" s="739" t="s">
        <v>7198</v>
      </c>
      <c r="G246" s="30">
        <v>1</v>
      </c>
      <c r="H246" s="849">
        <v>63000</v>
      </c>
      <c r="I246" s="86">
        <f t="shared" si="15"/>
        <v>63000</v>
      </c>
      <c r="K246" s="171">
        <f t="shared" si="16"/>
        <v>63000</v>
      </c>
      <c r="M246" s="17">
        <v>-3528</v>
      </c>
      <c r="N246" s="17">
        <f t="shared" si="17"/>
        <v>59472</v>
      </c>
      <c r="O246" s="76" t="s">
        <v>43</v>
      </c>
      <c r="P246" s="183"/>
      <c r="Q246" s="76" t="s">
        <v>176</v>
      </c>
    </row>
    <row r="247" spans="1:17" s="17" customFormat="1">
      <c r="A247" s="880">
        <v>44484</v>
      </c>
      <c r="B247" s="76" t="s">
        <v>43</v>
      </c>
      <c r="C247" s="76" t="s">
        <v>2213</v>
      </c>
      <c r="D247" s="92" t="s">
        <v>7199</v>
      </c>
      <c r="E247" s="739" t="s">
        <v>5627</v>
      </c>
      <c r="F247" s="739" t="s">
        <v>5628</v>
      </c>
      <c r="G247" s="30">
        <v>1</v>
      </c>
      <c r="H247" s="849">
        <v>37000</v>
      </c>
      <c r="I247" s="86">
        <f t="shared" si="15"/>
        <v>37000</v>
      </c>
      <c r="K247" s="171">
        <f t="shared" si="16"/>
        <v>37000</v>
      </c>
      <c r="L247" s="17">
        <v>42000</v>
      </c>
      <c r="M247" s="17">
        <v>-2072</v>
      </c>
      <c r="N247" s="17">
        <f t="shared" si="17"/>
        <v>76928</v>
      </c>
      <c r="O247" s="76" t="s">
        <v>43</v>
      </c>
      <c r="P247" s="92"/>
      <c r="Q247" s="76" t="s">
        <v>54</v>
      </c>
    </row>
    <row r="248" spans="1:17" s="17" customFormat="1">
      <c r="A248" s="880">
        <v>44484</v>
      </c>
      <c r="B248" s="76" t="s">
        <v>43</v>
      </c>
      <c r="C248" s="76" t="s">
        <v>7200</v>
      </c>
      <c r="D248" s="92" t="s">
        <v>7201</v>
      </c>
      <c r="E248" s="76" t="s">
        <v>1302</v>
      </c>
      <c r="F248" s="76" t="s">
        <v>1303</v>
      </c>
      <c r="G248" s="30">
        <v>1</v>
      </c>
      <c r="H248" s="849">
        <v>220000</v>
      </c>
      <c r="I248" s="86">
        <f t="shared" si="15"/>
        <v>220000</v>
      </c>
      <c r="K248" s="171">
        <f t="shared" si="16"/>
        <v>220000</v>
      </c>
      <c r="M248" s="17">
        <v>-12320</v>
      </c>
      <c r="N248" s="17">
        <f t="shared" si="17"/>
        <v>207680</v>
      </c>
      <c r="O248" s="76" t="s">
        <v>43</v>
      </c>
      <c r="P248" s="183"/>
      <c r="Q248" s="76" t="s">
        <v>176</v>
      </c>
    </row>
    <row r="249" spans="1:17" s="17" customFormat="1">
      <c r="A249" s="880">
        <v>44484</v>
      </c>
      <c r="B249" s="76" t="s">
        <v>43</v>
      </c>
      <c r="C249" s="76" t="s">
        <v>7202</v>
      </c>
      <c r="D249" s="92" t="s">
        <v>7203</v>
      </c>
      <c r="E249" s="907" t="s">
        <v>1351</v>
      </c>
      <c r="F249" s="907" t="s">
        <v>1352</v>
      </c>
      <c r="G249" s="30">
        <v>1</v>
      </c>
      <c r="H249" s="849">
        <v>41000</v>
      </c>
      <c r="I249" s="86">
        <f t="shared" si="15"/>
        <v>41000</v>
      </c>
      <c r="K249" s="171">
        <f t="shared" si="16"/>
        <v>41000</v>
      </c>
      <c r="L249" s="17">
        <v>3000</v>
      </c>
      <c r="M249" s="17">
        <v>-9072</v>
      </c>
      <c r="N249" s="17">
        <f t="shared" si="17"/>
        <v>34928</v>
      </c>
      <c r="O249" s="76" t="s">
        <v>43</v>
      </c>
      <c r="P249" s="183"/>
      <c r="Q249" s="76" t="s">
        <v>176</v>
      </c>
    </row>
    <row r="250" spans="1:17" s="17" customFormat="1">
      <c r="A250" s="880">
        <v>44484</v>
      </c>
      <c r="B250" s="76" t="s">
        <v>43</v>
      </c>
      <c r="C250" s="76" t="s">
        <v>7202</v>
      </c>
      <c r="D250" s="92" t="s">
        <v>7204</v>
      </c>
      <c r="E250" s="908" t="s">
        <v>2598</v>
      </c>
      <c r="F250" s="908" t="s">
        <v>2599</v>
      </c>
      <c r="G250" s="30">
        <v>1</v>
      </c>
      <c r="H250" s="849">
        <v>121000</v>
      </c>
      <c r="I250" s="86">
        <f t="shared" si="15"/>
        <v>121000</v>
      </c>
      <c r="K250" s="171">
        <f t="shared" si="16"/>
        <v>121000</v>
      </c>
      <c r="N250" s="17">
        <f t="shared" si="17"/>
        <v>121000</v>
      </c>
      <c r="O250" s="76" t="s">
        <v>43</v>
      </c>
      <c r="P250" s="191"/>
      <c r="Q250" s="76" t="s">
        <v>176</v>
      </c>
    </row>
    <row r="251" spans="1:17" s="17" customFormat="1">
      <c r="A251" s="880">
        <v>44484</v>
      </c>
      <c r="B251" s="76" t="s">
        <v>206</v>
      </c>
      <c r="C251" s="739" t="s">
        <v>7205</v>
      </c>
      <c r="D251" s="92" t="s">
        <v>7206</v>
      </c>
      <c r="E251" s="739" t="s">
        <v>7189</v>
      </c>
      <c r="F251" s="739" t="s">
        <v>7190</v>
      </c>
      <c r="G251" s="30">
        <v>2</v>
      </c>
      <c r="H251" s="849">
        <v>160000</v>
      </c>
      <c r="I251" s="86">
        <f t="shared" si="15"/>
        <v>320000</v>
      </c>
      <c r="K251" s="171">
        <f t="shared" si="16"/>
        <v>320000</v>
      </c>
      <c r="L251" s="17">
        <v>39500</v>
      </c>
      <c r="N251" s="17">
        <f t="shared" si="17"/>
        <v>359500</v>
      </c>
      <c r="O251" s="76" t="s">
        <v>206</v>
      </c>
      <c r="P251" s="191"/>
      <c r="Q251" s="76" t="s">
        <v>40</v>
      </c>
    </row>
    <row r="252" spans="1:17" s="17" customFormat="1">
      <c r="A252" s="880">
        <v>44484</v>
      </c>
      <c r="B252" s="76" t="s">
        <v>23</v>
      </c>
      <c r="C252" s="739" t="s">
        <v>7207</v>
      </c>
      <c r="D252" s="92" t="s">
        <v>7208</v>
      </c>
      <c r="E252" s="76" t="s">
        <v>2172</v>
      </c>
      <c r="F252" s="76" t="s">
        <v>2173</v>
      </c>
      <c r="G252" s="30">
        <v>1</v>
      </c>
      <c r="H252" s="849">
        <v>114500</v>
      </c>
      <c r="I252" s="86">
        <f t="shared" si="15"/>
        <v>114500</v>
      </c>
      <c r="K252" s="171">
        <f t="shared" si="16"/>
        <v>114500</v>
      </c>
      <c r="L252" s="17">
        <v>16000</v>
      </c>
      <c r="N252" s="17">
        <f t="shared" si="17"/>
        <v>130500</v>
      </c>
      <c r="O252" s="76" t="s">
        <v>23</v>
      </c>
      <c r="P252" s="191"/>
      <c r="Q252" s="76" t="s">
        <v>54</v>
      </c>
    </row>
    <row r="253" spans="1:17" s="17" customFormat="1">
      <c r="A253" s="880">
        <v>44484</v>
      </c>
      <c r="B253" s="76" t="s">
        <v>23</v>
      </c>
      <c r="C253" s="76" t="s">
        <v>7209</v>
      </c>
      <c r="D253" s="92" t="s">
        <v>7210</v>
      </c>
      <c r="E253" s="76" t="s">
        <v>7211</v>
      </c>
      <c r="F253" s="76" t="s">
        <v>7212</v>
      </c>
      <c r="G253" s="30">
        <v>1</v>
      </c>
      <c r="H253" s="849">
        <v>84500</v>
      </c>
      <c r="I253" s="86">
        <f t="shared" si="15"/>
        <v>84500</v>
      </c>
      <c r="K253" s="171">
        <f t="shared" si="16"/>
        <v>84500</v>
      </c>
      <c r="L253" s="17">
        <v>17000</v>
      </c>
      <c r="N253" s="17">
        <f t="shared" si="17"/>
        <v>101500</v>
      </c>
      <c r="O253" s="76" t="s">
        <v>23</v>
      </c>
      <c r="P253" s="191"/>
      <c r="Q253" s="76" t="s">
        <v>28</v>
      </c>
    </row>
    <row r="254" spans="1:17" s="17" customFormat="1">
      <c r="A254" s="880">
        <v>44484</v>
      </c>
      <c r="B254" s="76" t="s">
        <v>23</v>
      </c>
      <c r="C254" s="76" t="s">
        <v>7213</v>
      </c>
      <c r="D254" s="92" t="s">
        <v>7214</v>
      </c>
      <c r="E254" s="739" t="s">
        <v>7215</v>
      </c>
      <c r="F254" s="739" t="s">
        <v>7216</v>
      </c>
      <c r="G254" s="30">
        <v>1</v>
      </c>
      <c r="H254" s="849">
        <v>73000</v>
      </c>
      <c r="I254" s="86">
        <f t="shared" si="15"/>
        <v>73000</v>
      </c>
      <c r="K254" s="171">
        <f t="shared" si="16"/>
        <v>73000</v>
      </c>
      <c r="L254" s="17">
        <v>17000</v>
      </c>
      <c r="N254" s="17">
        <f t="shared" si="17"/>
        <v>90000</v>
      </c>
      <c r="O254" s="76" t="s">
        <v>23</v>
      </c>
      <c r="P254" s="191"/>
      <c r="Q254" s="76" t="s">
        <v>40</v>
      </c>
    </row>
    <row r="255" spans="1:17" s="17" customFormat="1">
      <c r="A255" s="880">
        <v>44484</v>
      </c>
      <c r="B255" s="76" t="s">
        <v>23</v>
      </c>
      <c r="C255" s="739" t="s">
        <v>7217</v>
      </c>
      <c r="D255" s="92" t="s">
        <v>7218</v>
      </c>
      <c r="E255" s="739" t="s">
        <v>7219</v>
      </c>
      <c r="F255" s="739" t="s">
        <v>7220</v>
      </c>
      <c r="G255" s="30">
        <v>1</v>
      </c>
      <c r="H255" s="849">
        <v>193000</v>
      </c>
      <c r="I255" s="86">
        <f t="shared" si="15"/>
        <v>193000</v>
      </c>
      <c r="K255" s="171">
        <f t="shared" si="16"/>
        <v>193000</v>
      </c>
      <c r="L255" s="17">
        <v>40000</v>
      </c>
      <c r="N255" s="17">
        <f t="shared" si="17"/>
        <v>233000</v>
      </c>
      <c r="O255" s="76" t="s">
        <v>23</v>
      </c>
      <c r="P255" s="191"/>
      <c r="Q255" s="76" t="s">
        <v>40</v>
      </c>
    </row>
    <row r="256" spans="1:17" s="17" customFormat="1" ht="273.60000000000002">
      <c r="A256" s="880">
        <v>44484</v>
      </c>
      <c r="B256" s="76" t="s">
        <v>23</v>
      </c>
      <c r="C256" s="11" t="s">
        <v>7221</v>
      </c>
      <c r="D256" s="881" t="s">
        <v>9449</v>
      </c>
      <c r="E256" s="76" t="s">
        <v>7222</v>
      </c>
      <c r="F256" s="76" t="s">
        <v>7223</v>
      </c>
      <c r="G256" s="16">
        <v>1</v>
      </c>
      <c r="H256" s="849">
        <v>96000</v>
      </c>
      <c r="I256" s="86">
        <f t="shared" si="15"/>
        <v>96000</v>
      </c>
      <c r="K256" s="171">
        <f t="shared" si="16"/>
        <v>96000</v>
      </c>
      <c r="L256" s="17">
        <v>40000</v>
      </c>
      <c r="N256" s="17">
        <f t="shared" si="17"/>
        <v>136000</v>
      </c>
      <c r="O256" s="76" t="s">
        <v>23</v>
      </c>
      <c r="P256" s="191"/>
      <c r="Q256" s="10" t="s">
        <v>40</v>
      </c>
    </row>
    <row r="257" spans="1:19" s="17" customFormat="1">
      <c r="A257" s="199">
        <v>44487</v>
      </c>
      <c r="B257" s="282" t="s">
        <v>23</v>
      </c>
      <c r="C257" s="282" t="s">
        <v>7224</v>
      </c>
      <c r="D257" s="92" t="s">
        <v>7225</v>
      </c>
      <c r="E257" s="740" t="s">
        <v>4882</v>
      </c>
      <c r="F257" s="740" t="s">
        <v>4883</v>
      </c>
      <c r="G257" s="56">
        <v>42</v>
      </c>
      <c r="H257" s="849">
        <v>89500</v>
      </c>
      <c r="I257" s="86">
        <f t="shared" si="15"/>
        <v>3759000</v>
      </c>
      <c r="J257" s="17">
        <f>I257*35%</f>
        <v>1315650</v>
      </c>
      <c r="K257" s="171">
        <f t="shared" si="16"/>
        <v>2443350</v>
      </c>
      <c r="L257" s="17">
        <v>35000</v>
      </c>
      <c r="N257" s="171">
        <f t="shared" si="17"/>
        <v>2478350</v>
      </c>
      <c r="O257" s="282" t="s">
        <v>23</v>
      </c>
      <c r="P257" s="191"/>
      <c r="Q257" s="282" t="s">
        <v>5552</v>
      </c>
    </row>
    <row r="258" spans="1:19" s="17" customFormat="1">
      <c r="A258" s="880">
        <v>44488</v>
      </c>
      <c r="B258" s="10" t="s">
        <v>206</v>
      </c>
      <c r="C258" s="10" t="s">
        <v>7226</v>
      </c>
      <c r="D258" s="92" t="s">
        <v>7227</v>
      </c>
      <c r="E258" s="909" t="s">
        <v>7228</v>
      </c>
      <c r="F258" s="909" t="s">
        <v>7229</v>
      </c>
      <c r="G258" s="30">
        <v>1</v>
      </c>
      <c r="H258" s="849">
        <v>96000</v>
      </c>
      <c r="I258" s="86">
        <f t="shared" si="15"/>
        <v>96000</v>
      </c>
      <c r="K258" s="171">
        <f t="shared" si="16"/>
        <v>96000</v>
      </c>
      <c r="L258" s="17">
        <f>44400-43000</f>
        <v>1400</v>
      </c>
      <c r="N258" s="171">
        <f t="shared" si="17"/>
        <v>97400</v>
      </c>
      <c r="O258" s="10" t="s">
        <v>206</v>
      </c>
      <c r="P258" s="191"/>
      <c r="Q258" s="10" t="s">
        <v>176</v>
      </c>
    </row>
    <row r="259" spans="1:19" s="17" customFormat="1">
      <c r="A259" s="880">
        <v>44488</v>
      </c>
      <c r="B259" s="10" t="s">
        <v>206</v>
      </c>
      <c r="C259" s="10" t="s">
        <v>7226</v>
      </c>
      <c r="D259" s="92" t="s">
        <v>7230</v>
      </c>
      <c r="E259" s="909" t="s">
        <v>4746</v>
      </c>
      <c r="F259" s="909" t="s">
        <v>4747</v>
      </c>
      <c r="G259" s="30">
        <v>1</v>
      </c>
      <c r="H259" s="849">
        <v>66000</v>
      </c>
      <c r="I259" s="86">
        <f t="shared" ref="I259:I298" si="20">H259*G259</f>
        <v>66000</v>
      </c>
      <c r="K259" s="171">
        <f t="shared" ref="K259:K298" si="21">I259-J259</f>
        <v>66000</v>
      </c>
      <c r="N259" s="171">
        <f t="shared" ref="N259:N298" si="22">K259+L259+M259</f>
        <v>66000</v>
      </c>
      <c r="O259" s="10" t="s">
        <v>206</v>
      </c>
      <c r="P259" s="191"/>
      <c r="Q259" s="10" t="s">
        <v>176</v>
      </c>
      <c r="S259" s="13"/>
    </row>
    <row r="260" spans="1:19" s="17" customFormat="1">
      <c r="A260" s="880">
        <v>44488</v>
      </c>
      <c r="B260" s="10" t="s">
        <v>206</v>
      </c>
      <c r="C260" s="10" t="s">
        <v>7226</v>
      </c>
      <c r="D260" s="92" t="s">
        <v>7231</v>
      </c>
      <c r="E260" s="909" t="s">
        <v>7232</v>
      </c>
      <c r="F260" s="909" t="s">
        <v>7233</v>
      </c>
      <c r="G260" s="30">
        <v>1</v>
      </c>
      <c r="H260" s="849">
        <v>47000</v>
      </c>
      <c r="I260" s="86">
        <f t="shared" si="20"/>
        <v>47000</v>
      </c>
      <c r="K260" s="171">
        <f t="shared" si="21"/>
        <v>47000</v>
      </c>
      <c r="N260" s="171">
        <f t="shared" si="22"/>
        <v>47000</v>
      </c>
      <c r="O260" s="10" t="s">
        <v>206</v>
      </c>
      <c r="P260" s="191"/>
      <c r="Q260" s="10" t="s">
        <v>176</v>
      </c>
      <c r="S260" s="13"/>
    </row>
    <row r="261" spans="1:19" s="17" customFormat="1">
      <c r="A261" s="880">
        <v>44488</v>
      </c>
      <c r="B261" s="10" t="s">
        <v>206</v>
      </c>
      <c r="C261" s="10" t="s">
        <v>7226</v>
      </c>
      <c r="D261" s="92" t="s">
        <v>7234</v>
      </c>
      <c r="E261" s="909" t="s">
        <v>7235</v>
      </c>
      <c r="F261" s="909" t="s">
        <v>3598</v>
      </c>
      <c r="G261" s="30">
        <v>1</v>
      </c>
      <c r="H261" s="849">
        <v>90000</v>
      </c>
      <c r="I261" s="86">
        <f t="shared" si="20"/>
        <v>90000</v>
      </c>
      <c r="K261" s="171">
        <f t="shared" si="21"/>
        <v>90000</v>
      </c>
      <c r="N261" s="171">
        <f t="shared" si="22"/>
        <v>90000</v>
      </c>
      <c r="O261" s="10" t="s">
        <v>206</v>
      </c>
      <c r="P261" s="191"/>
      <c r="Q261" s="10" t="s">
        <v>176</v>
      </c>
      <c r="S261" s="13"/>
    </row>
    <row r="262" spans="1:19" s="17" customFormat="1">
      <c r="A262" s="880">
        <v>44488</v>
      </c>
      <c r="B262" s="10" t="s">
        <v>177</v>
      </c>
      <c r="C262" s="10" t="s">
        <v>7236</v>
      </c>
      <c r="D262" s="92" t="s">
        <v>7237</v>
      </c>
      <c r="E262" s="739" t="s">
        <v>3439</v>
      </c>
      <c r="F262" s="739" t="s">
        <v>3440</v>
      </c>
      <c r="G262" s="30">
        <v>1</v>
      </c>
      <c r="H262" s="849">
        <v>108000</v>
      </c>
      <c r="I262" s="86">
        <f t="shared" si="20"/>
        <v>108000</v>
      </c>
      <c r="K262" s="171">
        <f t="shared" si="21"/>
        <v>108000</v>
      </c>
      <c r="L262" s="17">
        <v>9000</v>
      </c>
      <c r="N262" s="171">
        <f t="shared" si="22"/>
        <v>117000</v>
      </c>
      <c r="O262" s="10" t="s">
        <v>177</v>
      </c>
      <c r="P262" s="191"/>
      <c r="Q262" s="10" t="s">
        <v>54</v>
      </c>
      <c r="S262" s="13"/>
    </row>
    <row r="263" spans="1:19" s="17" customFormat="1">
      <c r="A263" s="880">
        <v>44488</v>
      </c>
      <c r="B263" s="10" t="s">
        <v>43</v>
      </c>
      <c r="C263" s="10" t="s">
        <v>7238</v>
      </c>
      <c r="D263" s="92" t="s">
        <v>7239</v>
      </c>
      <c r="E263" s="76" t="s">
        <v>2169</v>
      </c>
      <c r="F263" s="76" t="s">
        <v>128</v>
      </c>
      <c r="G263" s="30">
        <v>1</v>
      </c>
      <c r="H263" s="849">
        <v>77500</v>
      </c>
      <c r="I263" s="86">
        <f t="shared" si="20"/>
        <v>77500</v>
      </c>
      <c r="K263" s="171">
        <f t="shared" si="21"/>
        <v>77500</v>
      </c>
      <c r="L263" s="17">
        <v>35000</v>
      </c>
      <c r="M263" s="17">
        <v>-4340</v>
      </c>
      <c r="N263" s="171">
        <f t="shared" si="22"/>
        <v>108160</v>
      </c>
      <c r="O263" s="10" t="s">
        <v>43</v>
      </c>
      <c r="P263" s="72"/>
      <c r="Q263" s="10" t="s">
        <v>54</v>
      </c>
    </row>
    <row r="264" spans="1:19" s="17" customFormat="1">
      <c r="A264" s="880">
        <v>44488</v>
      </c>
      <c r="B264" s="10" t="s">
        <v>43</v>
      </c>
      <c r="C264" s="10" t="s">
        <v>7240</v>
      </c>
      <c r="D264" s="92" t="s">
        <v>7241</v>
      </c>
      <c r="E264" s="739" t="s">
        <v>7089</v>
      </c>
      <c r="F264" s="739" t="s">
        <v>7090</v>
      </c>
      <c r="G264" s="30">
        <v>1</v>
      </c>
      <c r="H264" s="849">
        <v>206000</v>
      </c>
      <c r="I264" s="86">
        <f t="shared" si="20"/>
        <v>206000</v>
      </c>
      <c r="K264" s="171">
        <f t="shared" si="21"/>
        <v>206000</v>
      </c>
      <c r="M264" s="17">
        <v>-11536</v>
      </c>
      <c r="N264" s="171">
        <f t="shared" si="22"/>
        <v>194464</v>
      </c>
      <c r="O264" s="10" t="s">
        <v>43</v>
      </c>
      <c r="P264" s="72"/>
      <c r="Q264" s="10" t="s">
        <v>54</v>
      </c>
    </row>
    <row r="265" spans="1:19" s="17" customFormat="1">
      <c r="A265" s="880">
        <v>44488</v>
      </c>
      <c r="B265" s="10" t="s">
        <v>43</v>
      </c>
      <c r="C265" s="10" t="s">
        <v>7242</v>
      </c>
      <c r="D265" s="92" t="s">
        <v>7243</v>
      </c>
      <c r="E265" s="76" t="s">
        <v>6399</v>
      </c>
      <c r="F265" s="76" t="s">
        <v>6400</v>
      </c>
      <c r="G265" s="30">
        <v>1</v>
      </c>
      <c r="H265" s="849">
        <v>26000</v>
      </c>
      <c r="I265" s="86">
        <f t="shared" si="20"/>
        <v>26000</v>
      </c>
      <c r="K265" s="171">
        <f t="shared" si="21"/>
        <v>26000</v>
      </c>
      <c r="L265" s="17">
        <v>30500</v>
      </c>
      <c r="M265" s="17">
        <v>-1456</v>
      </c>
      <c r="N265" s="171">
        <f t="shared" si="22"/>
        <v>55044</v>
      </c>
      <c r="O265" s="10" t="s">
        <v>43</v>
      </c>
      <c r="P265" s="183"/>
      <c r="Q265" s="10"/>
    </row>
    <row r="266" spans="1:19" s="17" customFormat="1">
      <c r="A266" s="880">
        <v>44488</v>
      </c>
      <c r="B266" s="10" t="s">
        <v>206</v>
      </c>
      <c r="C266" s="10" t="s">
        <v>7244</v>
      </c>
      <c r="D266" s="92" t="s">
        <v>7245</v>
      </c>
      <c r="E266" s="739" t="s">
        <v>7246</v>
      </c>
      <c r="F266" s="739" t="s">
        <v>7247</v>
      </c>
      <c r="G266" s="30">
        <v>1</v>
      </c>
      <c r="H266" s="849">
        <v>98000</v>
      </c>
      <c r="I266" s="86">
        <f t="shared" si="20"/>
        <v>98000</v>
      </c>
      <c r="K266" s="171">
        <f t="shared" si="21"/>
        <v>98000</v>
      </c>
      <c r="L266" s="17">
        <f>19500-19000</f>
        <v>500</v>
      </c>
      <c r="N266" s="171">
        <f t="shared" si="22"/>
        <v>98500</v>
      </c>
      <c r="O266" s="10" t="s">
        <v>206</v>
      </c>
      <c r="P266" s="72"/>
      <c r="Q266" s="10" t="s">
        <v>176</v>
      </c>
    </row>
    <row r="267" spans="1:19" s="17" customFormat="1">
      <c r="A267" s="880">
        <v>44488</v>
      </c>
      <c r="B267" s="10" t="s">
        <v>23</v>
      </c>
      <c r="C267" s="11" t="s">
        <v>7248</v>
      </c>
      <c r="D267" s="92" t="s">
        <v>7249</v>
      </c>
      <c r="E267" s="76" t="s">
        <v>7250</v>
      </c>
      <c r="F267" s="76" t="s">
        <v>122</v>
      </c>
      <c r="G267" s="30">
        <v>1</v>
      </c>
      <c r="H267" s="849">
        <v>59500</v>
      </c>
      <c r="I267" s="86">
        <f t="shared" si="20"/>
        <v>59500</v>
      </c>
      <c r="K267" s="171">
        <f t="shared" si="21"/>
        <v>59500</v>
      </c>
      <c r="L267" s="17">
        <v>17000</v>
      </c>
      <c r="N267" s="171">
        <f t="shared" si="22"/>
        <v>76500</v>
      </c>
      <c r="O267" s="10" t="s">
        <v>23</v>
      </c>
      <c r="P267" s="183"/>
      <c r="Q267" s="10" t="s">
        <v>40</v>
      </c>
    </row>
    <row r="268" spans="1:19" s="17" customFormat="1">
      <c r="A268" s="880">
        <v>44488</v>
      </c>
      <c r="B268" s="10" t="s">
        <v>23</v>
      </c>
      <c r="C268" s="11" t="s">
        <v>7251</v>
      </c>
      <c r="D268" s="92" t="s">
        <v>7252</v>
      </c>
      <c r="E268" s="76" t="s">
        <v>7253</v>
      </c>
      <c r="F268" s="76" t="s">
        <v>7254</v>
      </c>
      <c r="G268" s="30">
        <v>1</v>
      </c>
      <c r="H268" s="849">
        <v>64000</v>
      </c>
      <c r="I268" s="86">
        <f t="shared" si="20"/>
        <v>64000</v>
      </c>
      <c r="K268" s="171">
        <f t="shared" si="21"/>
        <v>64000</v>
      </c>
      <c r="L268" s="17">
        <v>16000</v>
      </c>
      <c r="N268" s="171">
        <f t="shared" si="22"/>
        <v>80000</v>
      </c>
      <c r="O268" s="10" t="s">
        <v>23</v>
      </c>
      <c r="P268" s="183"/>
      <c r="Q268" s="10" t="s">
        <v>40</v>
      </c>
      <c r="S268" s="13"/>
    </row>
    <row r="269" spans="1:19" s="17" customFormat="1">
      <c r="A269" s="880">
        <v>44488</v>
      </c>
      <c r="B269" s="10" t="s">
        <v>23</v>
      </c>
      <c r="C269" s="11" t="s">
        <v>7255</v>
      </c>
      <c r="D269" s="92" t="s">
        <v>7256</v>
      </c>
      <c r="E269" s="739" t="s">
        <v>7257</v>
      </c>
      <c r="F269" s="739" t="s">
        <v>7258</v>
      </c>
      <c r="G269" s="30">
        <v>1</v>
      </c>
      <c r="H269" s="849">
        <v>108000</v>
      </c>
      <c r="I269" s="86">
        <f t="shared" si="20"/>
        <v>108000</v>
      </c>
      <c r="K269" s="171">
        <f t="shared" si="21"/>
        <v>108000</v>
      </c>
      <c r="L269" s="17">
        <v>19000</v>
      </c>
      <c r="N269" s="171">
        <f t="shared" si="22"/>
        <v>127000</v>
      </c>
      <c r="O269" s="10" t="s">
        <v>23</v>
      </c>
      <c r="P269" s="183"/>
      <c r="Q269" s="10" t="s">
        <v>54</v>
      </c>
    </row>
    <row r="270" spans="1:19" s="17" customFormat="1">
      <c r="A270" s="880">
        <v>44490</v>
      </c>
      <c r="B270" s="10" t="s">
        <v>313</v>
      </c>
      <c r="C270" s="11" t="s">
        <v>7259</v>
      </c>
      <c r="D270" s="92" t="s">
        <v>7260</v>
      </c>
      <c r="E270" s="910" t="s">
        <v>4997</v>
      </c>
      <c r="F270" s="866" t="s">
        <v>4998</v>
      </c>
      <c r="G270" s="30">
        <v>1</v>
      </c>
      <c r="H270" s="849">
        <v>59500</v>
      </c>
      <c r="I270" s="86">
        <f t="shared" si="20"/>
        <v>59500</v>
      </c>
      <c r="K270" s="171">
        <f t="shared" si="21"/>
        <v>59500</v>
      </c>
      <c r="L270" s="17">
        <v>49059</v>
      </c>
      <c r="N270" s="171">
        <f t="shared" si="22"/>
        <v>108559</v>
      </c>
      <c r="O270" s="10" t="s">
        <v>313</v>
      </c>
      <c r="P270" s="183"/>
      <c r="Q270" s="10" t="s">
        <v>40</v>
      </c>
    </row>
    <row r="271" spans="1:19" s="17" customFormat="1">
      <c r="A271" s="880">
        <v>44490</v>
      </c>
      <c r="B271" s="10" t="s">
        <v>313</v>
      </c>
      <c r="C271" s="11" t="s">
        <v>7259</v>
      </c>
      <c r="D271" s="92" t="s">
        <v>7260</v>
      </c>
      <c r="E271" s="910" t="s">
        <v>4991</v>
      </c>
      <c r="F271" s="866" t="s">
        <v>4992</v>
      </c>
      <c r="G271" s="30">
        <v>1</v>
      </c>
      <c r="H271" s="849">
        <v>90000</v>
      </c>
      <c r="I271" s="86">
        <f t="shared" si="20"/>
        <v>90000</v>
      </c>
      <c r="K271" s="171">
        <f t="shared" si="21"/>
        <v>90000</v>
      </c>
      <c r="N271" s="171">
        <f t="shared" si="22"/>
        <v>90000</v>
      </c>
      <c r="O271" s="10" t="s">
        <v>313</v>
      </c>
      <c r="P271" s="183"/>
      <c r="Q271" s="10" t="s">
        <v>40</v>
      </c>
    </row>
    <row r="272" spans="1:19" s="17" customFormat="1">
      <c r="A272" s="880">
        <v>44490</v>
      </c>
      <c r="B272" s="10" t="s">
        <v>23</v>
      </c>
      <c r="C272" s="10" t="s">
        <v>7261</v>
      </c>
      <c r="D272" s="92" t="s">
        <v>9445</v>
      </c>
      <c r="E272" s="76" t="s">
        <v>7262</v>
      </c>
      <c r="F272" s="76" t="s">
        <v>7263</v>
      </c>
      <c r="G272" s="30">
        <v>1</v>
      </c>
      <c r="H272" s="849">
        <v>93000</v>
      </c>
      <c r="I272" s="86">
        <f t="shared" si="20"/>
        <v>93000</v>
      </c>
      <c r="J272" s="17">
        <f>I272*20%</f>
        <v>18600</v>
      </c>
      <c r="K272" s="171">
        <f t="shared" si="21"/>
        <v>74400</v>
      </c>
      <c r="L272" s="17">
        <v>12000</v>
      </c>
      <c r="N272" s="171">
        <f t="shared" si="22"/>
        <v>86400</v>
      </c>
      <c r="O272" s="10" t="s">
        <v>23</v>
      </c>
      <c r="P272" s="72"/>
      <c r="Q272" s="10" t="s">
        <v>40</v>
      </c>
    </row>
    <row r="273" spans="1:23" s="17" customFormat="1">
      <c r="A273" s="880">
        <v>44490</v>
      </c>
      <c r="B273" s="10" t="s">
        <v>23</v>
      </c>
      <c r="C273" s="11" t="s">
        <v>7264</v>
      </c>
      <c r="D273" s="92" t="s">
        <v>7265</v>
      </c>
      <c r="E273" s="76" t="s">
        <v>7262</v>
      </c>
      <c r="F273" s="76" t="s">
        <v>7263</v>
      </c>
      <c r="G273" s="30">
        <v>1</v>
      </c>
      <c r="H273" s="849">
        <v>93000</v>
      </c>
      <c r="I273" s="86">
        <f t="shared" si="20"/>
        <v>93000</v>
      </c>
      <c r="J273" s="17">
        <f>I273*20%</f>
        <v>18600</v>
      </c>
      <c r="K273" s="171">
        <f t="shared" si="21"/>
        <v>74400</v>
      </c>
      <c r="L273" s="17">
        <v>45000</v>
      </c>
      <c r="N273" s="171">
        <f t="shared" si="22"/>
        <v>119400</v>
      </c>
      <c r="O273" s="10" t="s">
        <v>23</v>
      </c>
      <c r="P273" s="72"/>
      <c r="Q273" s="10" t="s">
        <v>40</v>
      </c>
    </row>
    <row r="274" spans="1:23" s="17" customFormat="1">
      <c r="A274" s="880">
        <v>44490</v>
      </c>
      <c r="B274" s="10" t="s">
        <v>23</v>
      </c>
      <c r="C274" s="10" t="s">
        <v>7266</v>
      </c>
      <c r="D274" s="92" t="s">
        <v>7267</v>
      </c>
      <c r="E274" s="76" t="s">
        <v>7262</v>
      </c>
      <c r="F274" s="76" t="s">
        <v>7263</v>
      </c>
      <c r="G274" s="30">
        <v>1</v>
      </c>
      <c r="H274" s="849">
        <v>93000</v>
      </c>
      <c r="I274" s="86">
        <f t="shared" si="20"/>
        <v>93000</v>
      </c>
      <c r="J274" s="17">
        <f>I274*20%</f>
        <v>18600</v>
      </c>
      <c r="K274" s="171">
        <f t="shared" si="21"/>
        <v>74400</v>
      </c>
      <c r="L274" s="17">
        <v>16000</v>
      </c>
      <c r="N274" s="171">
        <f t="shared" si="22"/>
        <v>90400</v>
      </c>
      <c r="O274" s="10" t="s">
        <v>23</v>
      </c>
      <c r="P274" s="183"/>
      <c r="Q274" s="10" t="s">
        <v>40</v>
      </c>
    </row>
    <row r="275" spans="1:23" s="17" customFormat="1">
      <c r="A275" s="880">
        <v>44490</v>
      </c>
      <c r="B275" s="10" t="s">
        <v>313</v>
      </c>
      <c r="C275" s="11" t="s">
        <v>7268</v>
      </c>
      <c r="D275" s="92" t="s">
        <v>7269</v>
      </c>
      <c r="E275" s="911" t="s">
        <v>5130</v>
      </c>
      <c r="F275" s="911" t="s">
        <v>1858</v>
      </c>
      <c r="G275" s="30">
        <v>1</v>
      </c>
      <c r="H275" s="849">
        <v>113000</v>
      </c>
      <c r="I275" s="86">
        <f t="shared" si="20"/>
        <v>113000</v>
      </c>
      <c r="K275" s="171">
        <f t="shared" si="21"/>
        <v>113000</v>
      </c>
      <c r="L275" s="17">
        <v>210069</v>
      </c>
      <c r="N275" s="171">
        <f t="shared" si="22"/>
        <v>323069</v>
      </c>
      <c r="O275" s="10" t="s">
        <v>313</v>
      </c>
      <c r="P275" s="183"/>
      <c r="Q275" s="10" t="s">
        <v>40</v>
      </c>
    </row>
    <row r="276" spans="1:23" s="17" customFormat="1">
      <c r="A276" s="880">
        <v>44490</v>
      </c>
      <c r="B276" s="10" t="s">
        <v>313</v>
      </c>
      <c r="C276" s="11" t="s">
        <v>7268</v>
      </c>
      <c r="D276" s="92" t="s">
        <v>7269</v>
      </c>
      <c r="E276" s="912" t="s">
        <v>2134</v>
      </c>
      <c r="F276" s="912" t="s">
        <v>438</v>
      </c>
      <c r="G276" s="30">
        <v>1</v>
      </c>
      <c r="H276" s="849">
        <v>43000</v>
      </c>
      <c r="I276" s="86">
        <f t="shared" si="20"/>
        <v>43000</v>
      </c>
      <c r="K276" s="171">
        <f t="shared" si="21"/>
        <v>43000</v>
      </c>
      <c r="N276" s="171">
        <f t="shared" si="22"/>
        <v>43000</v>
      </c>
      <c r="O276" s="10" t="s">
        <v>313</v>
      </c>
      <c r="P276" s="183"/>
      <c r="Q276" s="10" t="s">
        <v>40</v>
      </c>
    </row>
    <row r="277" spans="1:23" s="17" customFormat="1">
      <c r="A277" s="880">
        <v>44490</v>
      </c>
      <c r="B277" s="10" t="s">
        <v>313</v>
      </c>
      <c r="C277" s="11" t="s">
        <v>7268</v>
      </c>
      <c r="D277" s="92" t="s">
        <v>7269</v>
      </c>
      <c r="E277" s="911" t="s">
        <v>5540</v>
      </c>
      <c r="F277" s="911" t="s">
        <v>5541</v>
      </c>
      <c r="G277" s="30">
        <v>1</v>
      </c>
      <c r="H277" s="849">
        <v>107000</v>
      </c>
      <c r="I277" s="86">
        <f t="shared" si="20"/>
        <v>107000</v>
      </c>
      <c r="K277" s="171">
        <f t="shared" si="21"/>
        <v>107000</v>
      </c>
      <c r="N277" s="171">
        <f t="shared" si="22"/>
        <v>107000</v>
      </c>
      <c r="O277" s="10" t="s">
        <v>313</v>
      </c>
      <c r="P277" s="183"/>
      <c r="Q277" s="10" t="s">
        <v>40</v>
      </c>
    </row>
    <row r="278" spans="1:23" s="17" customFormat="1">
      <c r="A278" s="880">
        <v>44490</v>
      </c>
      <c r="B278" s="10" t="s">
        <v>313</v>
      </c>
      <c r="C278" s="11" t="s">
        <v>7268</v>
      </c>
      <c r="D278" s="92" t="s">
        <v>7269</v>
      </c>
      <c r="E278" s="912" t="s">
        <v>5989</v>
      </c>
      <c r="F278" s="912" t="s">
        <v>5990</v>
      </c>
      <c r="G278" s="30">
        <v>1</v>
      </c>
      <c r="H278" s="849">
        <v>113000</v>
      </c>
      <c r="I278" s="86">
        <f t="shared" si="20"/>
        <v>113000</v>
      </c>
      <c r="K278" s="171">
        <f t="shared" si="21"/>
        <v>113000</v>
      </c>
      <c r="N278" s="171">
        <f t="shared" si="22"/>
        <v>113000</v>
      </c>
      <c r="O278" s="10" t="s">
        <v>313</v>
      </c>
      <c r="P278" s="72"/>
      <c r="Q278" s="10" t="s">
        <v>40</v>
      </c>
    </row>
    <row r="279" spans="1:23" s="17" customFormat="1">
      <c r="A279" s="880">
        <v>44490</v>
      </c>
      <c r="B279" s="10" t="s">
        <v>313</v>
      </c>
      <c r="C279" s="11" t="s">
        <v>7268</v>
      </c>
      <c r="D279" s="92" t="s">
        <v>7269</v>
      </c>
      <c r="E279" s="912" t="s">
        <v>735</v>
      </c>
      <c r="F279" s="912" t="s">
        <v>2302</v>
      </c>
      <c r="G279" s="30">
        <v>2</v>
      </c>
      <c r="H279" s="849">
        <v>150000</v>
      </c>
      <c r="I279" s="86">
        <f t="shared" si="20"/>
        <v>300000</v>
      </c>
      <c r="K279" s="171">
        <f t="shared" si="21"/>
        <v>300000</v>
      </c>
      <c r="N279" s="171">
        <f t="shared" si="22"/>
        <v>300000</v>
      </c>
      <c r="O279" s="10" t="s">
        <v>313</v>
      </c>
      <c r="P279" s="183"/>
      <c r="Q279" s="10" t="s">
        <v>40</v>
      </c>
    </row>
    <row r="280" spans="1:23" s="17" customFormat="1">
      <c r="A280" s="880">
        <v>44490</v>
      </c>
      <c r="B280" s="10" t="s">
        <v>313</v>
      </c>
      <c r="C280" s="11" t="s">
        <v>7268</v>
      </c>
      <c r="D280" s="92" t="s">
        <v>7269</v>
      </c>
      <c r="E280" s="911" t="s">
        <v>975</v>
      </c>
      <c r="F280" s="911" t="s">
        <v>976</v>
      </c>
      <c r="G280" s="30">
        <v>1</v>
      </c>
      <c r="H280" s="849">
        <v>67500</v>
      </c>
      <c r="I280" s="86">
        <f t="shared" si="20"/>
        <v>67500</v>
      </c>
      <c r="K280" s="171">
        <f t="shared" si="21"/>
        <v>67500</v>
      </c>
      <c r="N280" s="171">
        <f t="shared" si="22"/>
        <v>67500</v>
      </c>
      <c r="O280" s="10" t="s">
        <v>313</v>
      </c>
      <c r="P280" s="72"/>
      <c r="Q280" s="10" t="s">
        <v>40</v>
      </c>
    </row>
    <row r="281" spans="1:23" s="17" customFormat="1">
      <c r="A281" s="880">
        <v>44490</v>
      </c>
      <c r="B281" s="10" t="s">
        <v>313</v>
      </c>
      <c r="C281" s="11" t="s">
        <v>7268</v>
      </c>
      <c r="D281" s="92" t="s">
        <v>7269</v>
      </c>
      <c r="E281" s="912" t="s">
        <v>1514</v>
      </c>
      <c r="F281" s="912" t="s">
        <v>1515</v>
      </c>
      <c r="G281" s="30">
        <v>1</v>
      </c>
      <c r="H281" s="849">
        <v>84000</v>
      </c>
      <c r="I281" s="86">
        <f t="shared" si="20"/>
        <v>84000</v>
      </c>
      <c r="K281" s="171">
        <f t="shared" si="21"/>
        <v>84000</v>
      </c>
      <c r="N281" s="171">
        <f t="shared" si="22"/>
        <v>84000</v>
      </c>
      <c r="O281" s="10" t="s">
        <v>313</v>
      </c>
      <c r="P281" s="72"/>
      <c r="Q281" s="10" t="s">
        <v>40</v>
      </c>
    </row>
    <row r="282" spans="1:23" s="17" customFormat="1">
      <c r="A282" s="880">
        <v>44491</v>
      </c>
      <c r="B282" s="76" t="s">
        <v>43</v>
      </c>
      <c r="C282" s="10" t="s">
        <v>7270</v>
      </c>
      <c r="D282" s="92" t="s">
        <v>7271</v>
      </c>
      <c r="E282" s="913" t="s">
        <v>7272</v>
      </c>
      <c r="F282" s="913" t="s">
        <v>7273</v>
      </c>
      <c r="G282" s="16">
        <v>1</v>
      </c>
      <c r="H282" s="849">
        <v>112000</v>
      </c>
      <c r="I282" s="86">
        <f t="shared" si="20"/>
        <v>112000</v>
      </c>
      <c r="K282" s="171">
        <f t="shared" si="21"/>
        <v>112000</v>
      </c>
      <c r="L282" s="17">
        <v>10000</v>
      </c>
      <c r="M282" s="17">
        <v>-11480</v>
      </c>
      <c r="N282" s="171">
        <f t="shared" si="22"/>
        <v>110520</v>
      </c>
      <c r="O282" s="76" t="s">
        <v>43</v>
      </c>
      <c r="P282" s="72"/>
      <c r="Q282" s="10" t="s">
        <v>176</v>
      </c>
    </row>
    <row r="283" spans="1:23" s="17" customFormat="1">
      <c r="A283" s="880">
        <v>44491</v>
      </c>
      <c r="B283" s="76" t="s">
        <v>43</v>
      </c>
      <c r="C283" s="10" t="s">
        <v>7270</v>
      </c>
      <c r="D283" s="92" t="s">
        <v>7274</v>
      </c>
      <c r="E283" s="913" t="s">
        <v>7275</v>
      </c>
      <c r="F283" s="913" t="s">
        <v>7273</v>
      </c>
      <c r="G283" s="16">
        <v>1</v>
      </c>
      <c r="H283" s="849">
        <v>93000</v>
      </c>
      <c r="I283" s="86">
        <f t="shared" si="20"/>
        <v>93000</v>
      </c>
      <c r="K283" s="171">
        <f t="shared" si="21"/>
        <v>93000</v>
      </c>
      <c r="N283" s="171">
        <f t="shared" si="22"/>
        <v>93000</v>
      </c>
      <c r="O283" s="76" t="s">
        <v>43</v>
      </c>
      <c r="P283" s="183"/>
      <c r="Q283" s="10" t="s">
        <v>176</v>
      </c>
    </row>
    <row r="284" spans="1:23" s="17" customFormat="1">
      <c r="A284" s="880">
        <v>44491</v>
      </c>
      <c r="B284" s="76" t="s">
        <v>43</v>
      </c>
      <c r="C284" s="11" t="s">
        <v>7276</v>
      </c>
      <c r="D284" s="92" t="s">
        <v>7277</v>
      </c>
      <c r="E284" s="739" t="s">
        <v>7278</v>
      </c>
      <c r="F284" s="739" t="s">
        <v>7279</v>
      </c>
      <c r="G284" s="16">
        <v>1</v>
      </c>
      <c r="H284" s="849">
        <v>122000</v>
      </c>
      <c r="I284" s="86">
        <f t="shared" si="20"/>
        <v>122000</v>
      </c>
      <c r="K284" s="171">
        <f t="shared" si="21"/>
        <v>122000</v>
      </c>
      <c r="L284" s="17">
        <v>11200</v>
      </c>
      <c r="M284" s="17">
        <v>-6832</v>
      </c>
      <c r="N284" s="171">
        <f t="shared" si="22"/>
        <v>126368</v>
      </c>
      <c r="O284" s="76" t="s">
        <v>43</v>
      </c>
      <c r="P284" s="92"/>
      <c r="Q284" s="10" t="s">
        <v>54</v>
      </c>
    </row>
    <row r="285" spans="1:23" s="17" customFormat="1">
      <c r="A285" s="880">
        <v>44491</v>
      </c>
      <c r="B285" s="76" t="s">
        <v>43</v>
      </c>
      <c r="C285" s="11" t="s">
        <v>7280</v>
      </c>
      <c r="D285" s="92" t="s">
        <v>7281</v>
      </c>
      <c r="E285" s="781" t="s">
        <v>7282</v>
      </c>
      <c r="F285" s="781" t="s">
        <v>7283</v>
      </c>
      <c r="G285" s="16">
        <v>1</v>
      </c>
      <c r="H285" s="849">
        <v>61500</v>
      </c>
      <c r="I285" s="86">
        <f t="shared" si="20"/>
        <v>61500</v>
      </c>
      <c r="K285" s="171">
        <f t="shared" si="21"/>
        <v>61500</v>
      </c>
      <c r="L285" s="17">
        <v>3000</v>
      </c>
      <c r="M285" s="17">
        <v>-11396</v>
      </c>
      <c r="N285" s="171">
        <f t="shared" si="22"/>
        <v>53104</v>
      </c>
      <c r="O285" s="76" t="s">
        <v>43</v>
      </c>
      <c r="P285" s="72"/>
      <c r="Q285" s="10" t="s">
        <v>54</v>
      </c>
    </row>
    <row r="286" spans="1:23" s="20" customFormat="1">
      <c r="A286" s="880">
        <v>44491</v>
      </c>
      <c r="B286" s="76" t="s">
        <v>43</v>
      </c>
      <c r="C286" s="11" t="s">
        <v>7280</v>
      </c>
      <c r="D286" s="92" t="s">
        <v>7284</v>
      </c>
      <c r="E286" s="781" t="s">
        <v>6768</v>
      </c>
      <c r="F286" s="781" t="s">
        <v>6769</v>
      </c>
      <c r="G286" s="16">
        <v>1</v>
      </c>
      <c r="H286" s="849">
        <v>57000</v>
      </c>
      <c r="I286" s="86">
        <f t="shared" si="20"/>
        <v>57000</v>
      </c>
      <c r="J286" s="17"/>
      <c r="K286" s="171">
        <f t="shared" si="21"/>
        <v>57000</v>
      </c>
      <c r="L286" s="17"/>
      <c r="M286" s="17"/>
      <c r="N286" s="171">
        <f t="shared" si="22"/>
        <v>57000</v>
      </c>
      <c r="O286" s="76" t="s">
        <v>43</v>
      </c>
      <c r="P286" s="183"/>
      <c r="Q286" s="10" t="s">
        <v>54</v>
      </c>
      <c r="R286" s="17"/>
      <c r="S286" s="17"/>
      <c r="T286" s="17"/>
      <c r="U286" s="17"/>
      <c r="V286" s="17"/>
      <c r="W286" s="17"/>
    </row>
    <row r="287" spans="1:23" s="20" customFormat="1">
      <c r="A287" s="880">
        <v>44491</v>
      </c>
      <c r="B287" s="76" t="s">
        <v>43</v>
      </c>
      <c r="C287" s="11" t="s">
        <v>7280</v>
      </c>
      <c r="D287" s="92" t="s">
        <v>7285</v>
      </c>
      <c r="E287" s="781" t="s">
        <v>7286</v>
      </c>
      <c r="F287" s="781" t="s">
        <v>7287</v>
      </c>
      <c r="G287" s="16">
        <v>1</v>
      </c>
      <c r="H287" s="849">
        <v>85000</v>
      </c>
      <c r="I287" s="86">
        <f t="shared" si="20"/>
        <v>85000</v>
      </c>
      <c r="J287" s="17"/>
      <c r="K287" s="171">
        <f t="shared" si="21"/>
        <v>85000</v>
      </c>
      <c r="L287" s="17"/>
      <c r="M287" s="17"/>
      <c r="N287" s="171">
        <f t="shared" si="22"/>
        <v>85000</v>
      </c>
      <c r="O287" s="76" t="s">
        <v>43</v>
      </c>
      <c r="P287" s="72"/>
      <c r="Q287" s="10" t="s">
        <v>54</v>
      </c>
      <c r="R287" s="17"/>
      <c r="S287" s="17"/>
      <c r="T287" s="17"/>
      <c r="U287" s="17"/>
      <c r="V287" s="17"/>
      <c r="W287" s="17"/>
    </row>
    <row r="288" spans="1:23" s="20" customFormat="1">
      <c r="A288" s="880">
        <v>44491</v>
      </c>
      <c r="B288" s="76" t="s">
        <v>43</v>
      </c>
      <c r="C288" s="10" t="s">
        <v>7288</v>
      </c>
      <c r="D288" s="29" t="s">
        <v>7289</v>
      </c>
      <c r="E288" s="907" t="s">
        <v>4182</v>
      </c>
      <c r="F288" s="907" t="s">
        <v>4183</v>
      </c>
      <c r="G288" s="16">
        <v>1</v>
      </c>
      <c r="H288" s="849">
        <v>69500</v>
      </c>
      <c r="I288" s="86">
        <f t="shared" si="20"/>
        <v>69500</v>
      </c>
      <c r="J288" s="17"/>
      <c r="K288" s="171">
        <f t="shared" si="21"/>
        <v>69500</v>
      </c>
      <c r="L288" s="17">
        <v>23000</v>
      </c>
      <c r="M288" s="20">
        <v>-10967</v>
      </c>
      <c r="N288" s="171">
        <f t="shared" si="22"/>
        <v>81533</v>
      </c>
      <c r="O288" s="76" t="s">
        <v>43</v>
      </c>
      <c r="P288" s="183"/>
      <c r="Q288" s="10" t="s">
        <v>54</v>
      </c>
      <c r="R288" s="17"/>
      <c r="S288" s="17"/>
      <c r="T288" s="17"/>
      <c r="U288" s="17"/>
      <c r="V288" s="17"/>
      <c r="W288" s="17"/>
    </row>
    <row r="289" spans="1:23" s="20" customFormat="1">
      <c r="A289" s="880">
        <v>44491</v>
      </c>
      <c r="B289" s="76" t="s">
        <v>43</v>
      </c>
      <c r="C289" s="10" t="s">
        <v>7288</v>
      </c>
      <c r="D289" s="29" t="s">
        <v>7289</v>
      </c>
      <c r="E289" s="907" t="s">
        <v>247</v>
      </c>
      <c r="F289" s="907" t="s">
        <v>248</v>
      </c>
      <c r="G289" s="16">
        <v>1</v>
      </c>
      <c r="H289" s="849">
        <v>68000</v>
      </c>
      <c r="I289" s="86">
        <f t="shared" si="20"/>
        <v>68000</v>
      </c>
      <c r="J289" s="17"/>
      <c r="K289" s="171">
        <f t="shared" si="21"/>
        <v>68000</v>
      </c>
      <c r="L289" s="17"/>
      <c r="M289" s="17"/>
      <c r="N289" s="171">
        <f t="shared" si="22"/>
        <v>68000</v>
      </c>
      <c r="O289" s="76" t="s">
        <v>43</v>
      </c>
      <c r="P289" s="72"/>
      <c r="Q289" s="10" t="s">
        <v>54</v>
      </c>
      <c r="R289" s="17"/>
      <c r="S289" s="17"/>
      <c r="T289" s="17"/>
      <c r="U289" s="17"/>
      <c r="V289" s="17"/>
      <c r="W289" s="17"/>
    </row>
    <row r="290" spans="1:23" s="20" customFormat="1">
      <c r="A290" s="880">
        <v>44491</v>
      </c>
      <c r="B290" s="76" t="s">
        <v>43</v>
      </c>
      <c r="C290" s="10" t="s">
        <v>7288</v>
      </c>
      <c r="D290" s="29" t="s">
        <v>7289</v>
      </c>
      <c r="E290" s="907" t="s">
        <v>679</v>
      </c>
      <c r="F290" s="907" t="s">
        <v>680</v>
      </c>
      <c r="G290" s="16">
        <v>1</v>
      </c>
      <c r="H290" s="849">
        <v>58500</v>
      </c>
      <c r="I290" s="86">
        <f t="shared" si="20"/>
        <v>58500</v>
      </c>
      <c r="J290" s="17"/>
      <c r="K290" s="171">
        <f t="shared" si="21"/>
        <v>58500</v>
      </c>
      <c r="L290" s="17"/>
      <c r="M290" s="17"/>
      <c r="N290" s="171">
        <f t="shared" si="22"/>
        <v>58500</v>
      </c>
      <c r="O290" s="76" t="s">
        <v>43</v>
      </c>
      <c r="P290" s="183"/>
      <c r="Q290" s="10" t="s">
        <v>54</v>
      </c>
      <c r="R290" s="17"/>
      <c r="S290" s="17"/>
      <c r="T290" s="17"/>
      <c r="U290" s="17"/>
      <c r="V290" s="17"/>
      <c r="W290" s="17"/>
    </row>
    <row r="291" spans="1:23" s="20" customFormat="1">
      <c r="A291" s="880">
        <v>44491</v>
      </c>
      <c r="B291" s="76" t="s">
        <v>313</v>
      </c>
      <c r="C291" s="11" t="s">
        <v>7290</v>
      </c>
      <c r="D291" s="29" t="s">
        <v>7291</v>
      </c>
      <c r="E291" s="76" t="s">
        <v>7292</v>
      </c>
      <c r="F291" s="76" t="s">
        <v>7293</v>
      </c>
      <c r="G291" s="16">
        <v>1</v>
      </c>
      <c r="H291" s="849">
        <v>93000</v>
      </c>
      <c r="I291" s="86">
        <f t="shared" si="20"/>
        <v>93000</v>
      </c>
      <c r="J291" s="17"/>
      <c r="K291" s="171">
        <f t="shared" si="21"/>
        <v>93000</v>
      </c>
      <c r="L291" s="17">
        <v>7029</v>
      </c>
      <c r="M291" s="17"/>
      <c r="N291" s="171">
        <f t="shared" si="22"/>
        <v>100029</v>
      </c>
      <c r="O291" s="76" t="s">
        <v>313</v>
      </c>
      <c r="P291" s="72"/>
      <c r="Q291" s="10" t="s">
        <v>28</v>
      </c>
      <c r="R291" s="17"/>
      <c r="S291" s="17"/>
      <c r="T291" s="17"/>
      <c r="U291" s="17"/>
      <c r="V291" s="17"/>
      <c r="W291" s="17"/>
    </row>
    <row r="292" spans="1:23" s="20" customFormat="1">
      <c r="A292" s="880">
        <v>44491</v>
      </c>
      <c r="B292" s="76" t="s">
        <v>313</v>
      </c>
      <c r="C292" s="10" t="s">
        <v>7294</v>
      </c>
      <c r="D292" s="29" t="s">
        <v>7295</v>
      </c>
      <c r="E292" s="739" t="s">
        <v>665</v>
      </c>
      <c r="F292" s="739" t="s">
        <v>666</v>
      </c>
      <c r="G292" s="16">
        <v>1</v>
      </c>
      <c r="H292" s="849">
        <v>167000</v>
      </c>
      <c r="I292" s="86">
        <f t="shared" si="20"/>
        <v>167000</v>
      </c>
      <c r="J292" s="17"/>
      <c r="K292" s="171">
        <f t="shared" si="21"/>
        <v>167000</v>
      </c>
      <c r="L292" s="17">
        <v>11077</v>
      </c>
      <c r="M292" s="17"/>
      <c r="N292" s="171">
        <f t="shared" si="22"/>
        <v>178077</v>
      </c>
      <c r="O292" s="76" t="s">
        <v>313</v>
      </c>
      <c r="P292" s="183"/>
      <c r="Q292" s="10" t="s">
        <v>40</v>
      </c>
      <c r="R292" s="17"/>
      <c r="S292" s="17"/>
      <c r="T292" s="17"/>
      <c r="U292" s="17"/>
      <c r="V292" s="17"/>
      <c r="W292" s="17"/>
    </row>
    <row r="293" spans="1:23" s="20" customFormat="1">
      <c r="A293" s="880">
        <v>44491</v>
      </c>
      <c r="B293" s="76" t="s">
        <v>23</v>
      </c>
      <c r="C293" s="10" t="s">
        <v>7296</v>
      </c>
      <c r="D293" s="29" t="s">
        <v>7297</v>
      </c>
      <c r="E293" s="76" t="s">
        <v>6833</v>
      </c>
      <c r="F293" s="76" t="s">
        <v>6834</v>
      </c>
      <c r="G293" s="16">
        <v>1</v>
      </c>
      <c r="H293" s="849">
        <v>65000</v>
      </c>
      <c r="I293" s="86">
        <f t="shared" si="20"/>
        <v>65000</v>
      </c>
      <c r="J293" s="17"/>
      <c r="K293" s="171">
        <f t="shared" si="21"/>
        <v>65000</v>
      </c>
      <c r="L293" s="17">
        <v>16000</v>
      </c>
      <c r="M293" s="17"/>
      <c r="N293" s="171">
        <f t="shared" si="22"/>
        <v>81000</v>
      </c>
      <c r="O293" s="76" t="s">
        <v>23</v>
      </c>
      <c r="P293" s="183"/>
      <c r="Q293" s="10" t="s">
        <v>40</v>
      </c>
      <c r="R293" s="17"/>
      <c r="S293" s="17"/>
      <c r="T293" s="17"/>
      <c r="U293" s="17"/>
      <c r="V293" s="17"/>
      <c r="W293" s="17"/>
    </row>
    <row r="294" spans="1:23" s="20" customFormat="1">
      <c r="A294" s="880">
        <v>44491</v>
      </c>
      <c r="B294" s="76" t="s">
        <v>23</v>
      </c>
      <c r="C294" s="11" t="s">
        <v>7298</v>
      </c>
      <c r="D294" s="29" t="s">
        <v>7299</v>
      </c>
      <c r="E294" s="914" t="s">
        <v>3016</v>
      </c>
      <c r="F294" s="914" t="s">
        <v>3017</v>
      </c>
      <c r="G294" s="16">
        <v>1</v>
      </c>
      <c r="H294" s="849">
        <v>103000</v>
      </c>
      <c r="I294" s="86">
        <f t="shared" si="20"/>
        <v>103000</v>
      </c>
      <c r="J294" s="17"/>
      <c r="K294" s="171">
        <f t="shared" si="21"/>
        <v>103000</v>
      </c>
      <c r="L294" s="17">
        <v>39000</v>
      </c>
      <c r="M294" s="17"/>
      <c r="N294" s="171">
        <f t="shared" si="22"/>
        <v>142000</v>
      </c>
      <c r="O294" s="76" t="s">
        <v>23</v>
      </c>
      <c r="P294" s="183"/>
      <c r="Q294" s="10" t="s">
        <v>40</v>
      </c>
      <c r="R294" s="17"/>
      <c r="S294" s="17"/>
      <c r="T294" s="17"/>
      <c r="U294" s="17"/>
      <c r="V294" s="17"/>
      <c r="W294" s="17"/>
    </row>
    <row r="295" spans="1:23" s="20" customFormat="1">
      <c r="A295" s="880">
        <v>44491</v>
      </c>
      <c r="B295" s="76" t="s">
        <v>23</v>
      </c>
      <c r="C295" s="11" t="s">
        <v>7298</v>
      </c>
      <c r="D295" s="29" t="s">
        <v>7299</v>
      </c>
      <c r="E295" s="914" t="s">
        <v>6655</v>
      </c>
      <c r="F295" s="914" t="s">
        <v>5018</v>
      </c>
      <c r="G295" s="16">
        <v>1</v>
      </c>
      <c r="H295" s="849">
        <v>139000</v>
      </c>
      <c r="I295" s="86">
        <f t="shared" si="20"/>
        <v>139000</v>
      </c>
      <c r="J295" s="17"/>
      <c r="K295" s="171">
        <f t="shared" si="21"/>
        <v>139000</v>
      </c>
      <c r="L295" s="17"/>
      <c r="M295" s="17"/>
      <c r="N295" s="171">
        <f t="shared" si="22"/>
        <v>139000</v>
      </c>
      <c r="O295" s="76" t="s">
        <v>23</v>
      </c>
      <c r="P295" s="183"/>
      <c r="Q295" s="10" t="s">
        <v>40</v>
      </c>
      <c r="R295" s="17"/>
      <c r="S295" s="17"/>
      <c r="T295" s="17"/>
      <c r="U295" s="17"/>
      <c r="V295" s="17"/>
      <c r="W295" s="17"/>
    </row>
    <row r="296" spans="1:23" s="20" customFormat="1">
      <c r="A296" s="880">
        <v>44491</v>
      </c>
      <c r="B296" s="76" t="s">
        <v>23</v>
      </c>
      <c r="C296" s="915" t="s">
        <v>7300</v>
      </c>
      <c r="D296" s="29" t="s">
        <v>7301</v>
      </c>
      <c r="E296" s="76" t="s">
        <v>1911</v>
      </c>
      <c r="F296" s="76" t="s">
        <v>1912</v>
      </c>
      <c r="G296" s="16">
        <v>1</v>
      </c>
      <c r="H296" s="849">
        <v>98000</v>
      </c>
      <c r="I296" s="86">
        <f t="shared" si="20"/>
        <v>98000</v>
      </c>
      <c r="J296" s="17"/>
      <c r="K296" s="171">
        <f t="shared" si="21"/>
        <v>98000</v>
      </c>
      <c r="L296" s="17">
        <v>6000</v>
      </c>
      <c r="M296" s="17"/>
      <c r="N296" s="171">
        <f t="shared" si="22"/>
        <v>104000</v>
      </c>
      <c r="O296" s="76" t="s">
        <v>23</v>
      </c>
      <c r="P296" s="183"/>
      <c r="Q296" s="10" t="s">
        <v>28</v>
      </c>
      <c r="R296" s="17"/>
      <c r="S296" s="13"/>
      <c r="T296" s="17"/>
      <c r="U296" s="17"/>
      <c r="V296" s="17"/>
      <c r="W296" s="17"/>
    </row>
    <row r="297" spans="1:23" s="20" customFormat="1">
      <c r="A297" s="880">
        <v>44491</v>
      </c>
      <c r="B297" s="76" t="s">
        <v>23</v>
      </c>
      <c r="C297" s="10" t="s">
        <v>7302</v>
      </c>
      <c r="D297" s="29" t="s">
        <v>7303</v>
      </c>
      <c r="E297" s="76" t="s">
        <v>3507</v>
      </c>
      <c r="F297" s="76" t="s">
        <v>3508</v>
      </c>
      <c r="G297" s="16">
        <v>1</v>
      </c>
      <c r="H297" s="849">
        <v>94000</v>
      </c>
      <c r="I297" s="86">
        <f t="shared" si="20"/>
        <v>94000</v>
      </c>
      <c r="J297" s="17"/>
      <c r="K297" s="171">
        <f t="shared" si="21"/>
        <v>94000</v>
      </c>
      <c r="L297" s="17">
        <v>48000</v>
      </c>
      <c r="M297" s="17"/>
      <c r="N297" s="171">
        <f t="shared" si="22"/>
        <v>142000</v>
      </c>
      <c r="O297" s="76" t="s">
        <v>23</v>
      </c>
      <c r="P297" s="183"/>
      <c r="Q297" s="10" t="s">
        <v>40</v>
      </c>
      <c r="R297" s="17"/>
      <c r="S297" s="17"/>
      <c r="T297" s="17"/>
      <c r="U297" s="17"/>
      <c r="V297" s="17"/>
      <c r="W297" s="17"/>
    </row>
    <row r="298" spans="1:23" s="20" customFormat="1">
      <c r="A298" s="880">
        <v>44491</v>
      </c>
      <c r="B298" s="76" t="s">
        <v>23</v>
      </c>
      <c r="C298" s="11" t="s">
        <v>7304</v>
      </c>
      <c r="D298" s="29" t="s">
        <v>7305</v>
      </c>
      <c r="E298" s="76" t="s">
        <v>7306</v>
      </c>
      <c r="F298" s="29" t="s">
        <v>7307</v>
      </c>
      <c r="G298" s="16">
        <v>3</v>
      </c>
      <c r="H298" s="849">
        <v>108500</v>
      </c>
      <c r="I298" s="86">
        <f t="shared" si="20"/>
        <v>325500</v>
      </c>
      <c r="J298" s="17">
        <f>I298*20%</f>
        <v>65100</v>
      </c>
      <c r="K298" s="171">
        <f t="shared" si="21"/>
        <v>260400</v>
      </c>
      <c r="L298" s="17">
        <v>13000</v>
      </c>
      <c r="M298" s="17"/>
      <c r="N298" s="171">
        <f t="shared" si="22"/>
        <v>273400</v>
      </c>
      <c r="O298" s="76" t="s">
        <v>23</v>
      </c>
      <c r="P298" s="183"/>
      <c r="Q298" s="10" t="s">
        <v>40</v>
      </c>
      <c r="R298" s="17"/>
      <c r="S298" s="17"/>
      <c r="T298" s="17"/>
      <c r="U298" s="17"/>
      <c r="V298" s="17"/>
      <c r="W298" s="17"/>
    </row>
    <row r="299" spans="1:23">
      <c r="K299" s="171"/>
    </row>
  </sheetData>
  <dataValidations count="1">
    <dataValidation type="list" allowBlank="1" showErrorMessage="1" sqref="Q1" xr:uid="{00000000-0002-0000-0900-000000000000}">
      <formula1>#REF!</formula1>
    </dataValidation>
  </dataValidation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990"/>
  <sheetViews>
    <sheetView topLeftCell="A166" workbookViewId="0">
      <selection activeCell="D47" sqref="D47"/>
    </sheetView>
  </sheetViews>
  <sheetFormatPr defaultRowHeight="14.4"/>
  <cols>
    <col min="5" max="5" width="24.44140625" customWidth="1"/>
  </cols>
  <sheetData>
    <row r="1" spans="1:23" s="927" customFormat="1" ht="14.25" customHeight="1">
      <c r="A1" s="411" t="s">
        <v>0</v>
      </c>
      <c r="B1" s="412" t="s">
        <v>4666</v>
      </c>
      <c r="C1" s="412" t="s">
        <v>4667</v>
      </c>
      <c r="D1" s="412" t="s">
        <v>3</v>
      </c>
      <c r="E1" s="412" t="s">
        <v>4</v>
      </c>
      <c r="F1" s="412" t="s">
        <v>5</v>
      </c>
      <c r="G1" s="414" t="s">
        <v>4668</v>
      </c>
      <c r="H1" s="416" t="s">
        <v>6</v>
      </c>
      <c r="I1" s="735" t="s">
        <v>8</v>
      </c>
      <c r="J1" s="416" t="s">
        <v>9</v>
      </c>
      <c r="K1" s="416" t="s">
        <v>10</v>
      </c>
      <c r="L1" s="416" t="s">
        <v>11</v>
      </c>
      <c r="M1" s="416" t="s">
        <v>12</v>
      </c>
      <c r="N1" s="416" t="s">
        <v>13</v>
      </c>
      <c r="O1" s="418" t="s">
        <v>14</v>
      </c>
      <c r="P1" s="419" t="s">
        <v>15</v>
      </c>
      <c r="Q1" s="412" t="s">
        <v>16</v>
      </c>
      <c r="R1" s="412" t="s">
        <v>17</v>
      </c>
      <c r="S1" s="414" t="s">
        <v>18</v>
      </c>
      <c r="T1" s="416" t="s">
        <v>19</v>
      </c>
      <c r="U1" s="416" t="s">
        <v>20</v>
      </c>
      <c r="V1" s="416" t="s">
        <v>21</v>
      </c>
      <c r="W1" s="418" t="s">
        <v>22</v>
      </c>
    </row>
    <row r="2" spans="1:23" s="20" customFormat="1" ht="14.25" customHeight="1">
      <c r="A2" s="880">
        <v>44494</v>
      </c>
      <c r="B2" s="76" t="s">
        <v>43</v>
      </c>
      <c r="C2" s="11" t="s">
        <v>7308</v>
      </c>
      <c r="D2" s="92" t="s">
        <v>7309</v>
      </c>
      <c r="E2" s="739" t="s">
        <v>7310</v>
      </c>
      <c r="F2" s="739" t="s">
        <v>7311</v>
      </c>
      <c r="G2" s="16">
        <v>1</v>
      </c>
      <c r="H2" s="17">
        <v>66000</v>
      </c>
      <c r="I2" s="17">
        <f>H2*G2</f>
        <v>66000</v>
      </c>
      <c r="J2" s="17"/>
      <c r="K2" s="17">
        <f>I2-J2</f>
        <v>66000</v>
      </c>
      <c r="L2" s="17"/>
      <c r="M2" s="17">
        <v>-3696</v>
      </c>
      <c r="N2" s="17">
        <f>K2+L2+M2</f>
        <v>62304</v>
      </c>
      <c r="O2" s="76" t="s">
        <v>43</v>
      </c>
      <c r="P2" s="183"/>
      <c r="Q2" s="10" t="s">
        <v>176</v>
      </c>
      <c r="R2" s="17"/>
      <c r="S2" s="17"/>
      <c r="T2" s="17"/>
      <c r="U2" s="17"/>
      <c r="V2" s="17"/>
      <c r="W2" s="17"/>
    </row>
    <row r="3" spans="1:23" s="20" customFormat="1" ht="14.25" customHeight="1">
      <c r="A3" s="880">
        <v>44494</v>
      </c>
      <c r="B3" s="76" t="s">
        <v>43</v>
      </c>
      <c r="C3" s="11" t="s">
        <v>7312</v>
      </c>
      <c r="D3" s="92" t="s">
        <v>7313</v>
      </c>
      <c r="E3" s="913" t="s">
        <v>7272</v>
      </c>
      <c r="F3" s="913" t="s">
        <v>7273</v>
      </c>
      <c r="G3" s="16">
        <v>1</v>
      </c>
      <c r="H3" s="17">
        <v>112000</v>
      </c>
      <c r="I3" s="17">
        <f t="shared" ref="I3:I66" si="0">H3*G3</f>
        <v>112000</v>
      </c>
      <c r="J3" s="17"/>
      <c r="K3" s="17">
        <f t="shared" ref="K3:K66" si="1">I3-J3</f>
        <v>112000</v>
      </c>
      <c r="L3" s="17"/>
      <c r="M3" s="17">
        <v>-16688</v>
      </c>
      <c r="N3" s="17">
        <f t="shared" ref="N3:N66" si="2">K3+L3+M3</f>
        <v>95312</v>
      </c>
      <c r="O3" s="76" t="s">
        <v>43</v>
      </c>
      <c r="P3" s="72"/>
      <c r="Q3" s="10" t="s">
        <v>176</v>
      </c>
      <c r="R3" s="17"/>
      <c r="S3" s="17"/>
      <c r="T3" s="17"/>
      <c r="U3" s="17"/>
      <c r="V3" s="17"/>
      <c r="W3" s="17"/>
    </row>
    <row r="4" spans="1:23" s="20" customFormat="1" ht="14.25" customHeight="1">
      <c r="A4" s="880">
        <v>44494</v>
      </c>
      <c r="B4" s="76" t="s">
        <v>43</v>
      </c>
      <c r="C4" s="11" t="s">
        <v>7312</v>
      </c>
      <c r="D4" s="92" t="s">
        <v>7314</v>
      </c>
      <c r="E4" s="913" t="s">
        <v>7275</v>
      </c>
      <c r="F4" s="913" t="s">
        <v>7273</v>
      </c>
      <c r="G4" s="16">
        <v>2</v>
      </c>
      <c r="H4" s="17">
        <v>93000</v>
      </c>
      <c r="I4" s="17">
        <f t="shared" si="0"/>
        <v>186000</v>
      </c>
      <c r="J4" s="17"/>
      <c r="K4" s="17">
        <f t="shared" si="1"/>
        <v>186000</v>
      </c>
      <c r="L4" s="17"/>
      <c r="M4" s="17"/>
      <c r="N4" s="17">
        <f t="shared" si="2"/>
        <v>186000</v>
      </c>
      <c r="O4" s="76" t="s">
        <v>43</v>
      </c>
      <c r="P4" s="72"/>
      <c r="Q4" s="10" t="s">
        <v>176</v>
      </c>
      <c r="R4" s="17"/>
      <c r="S4" s="17"/>
      <c r="T4" s="17"/>
      <c r="U4" s="17"/>
      <c r="V4" s="17"/>
      <c r="W4" s="17"/>
    </row>
    <row r="5" spans="1:23" s="20" customFormat="1" ht="14.25" customHeight="1">
      <c r="A5" s="880">
        <v>44494</v>
      </c>
      <c r="B5" s="76" t="s">
        <v>43</v>
      </c>
      <c r="C5" s="11" t="s">
        <v>7315</v>
      </c>
      <c r="D5" s="92" t="s">
        <v>7316</v>
      </c>
      <c r="E5" s="76" t="s">
        <v>7317</v>
      </c>
      <c r="F5" s="76" t="s">
        <v>7318</v>
      </c>
      <c r="G5" s="16">
        <v>1</v>
      </c>
      <c r="H5" s="17">
        <v>61000</v>
      </c>
      <c r="I5" s="17">
        <f t="shared" si="0"/>
        <v>61000</v>
      </c>
      <c r="J5" s="17"/>
      <c r="K5" s="17">
        <f t="shared" si="1"/>
        <v>61000</v>
      </c>
      <c r="L5" s="17"/>
      <c r="M5" s="17">
        <v>-3416</v>
      </c>
      <c r="N5" s="17">
        <f t="shared" si="2"/>
        <v>57584</v>
      </c>
      <c r="O5" s="76" t="s">
        <v>43</v>
      </c>
      <c r="P5" s="72"/>
      <c r="Q5" s="10" t="s">
        <v>54</v>
      </c>
      <c r="R5" s="17"/>
      <c r="S5" s="13"/>
      <c r="T5" s="17"/>
      <c r="U5" s="17"/>
      <c r="V5" s="17"/>
      <c r="W5" s="17"/>
    </row>
    <row r="6" spans="1:23" s="20" customFormat="1" ht="14.25" customHeight="1">
      <c r="A6" s="880">
        <v>44494</v>
      </c>
      <c r="B6" s="76" t="s">
        <v>43</v>
      </c>
      <c r="C6" s="10" t="s">
        <v>7319</v>
      </c>
      <c r="D6" s="92" t="s">
        <v>7320</v>
      </c>
      <c r="E6" s="76" t="s">
        <v>6768</v>
      </c>
      <c r="F6" s="76" t="s">
        <v>6769</v>
      </c>
      <c r="G6" s="16">
        <v>1</v>
      </c>
      <c r="H6" s="92">
        <v>57000</v>
      </c>
      <c r="I6" s="17">
        <f t="shared" si="0"/>
        <v>57000</v>
      </c>
      <c r="J6" s="17"/>
      <c r="K6" s="17">
        <f t="shared" si="1"/>
        <v>57000</v>
      </c>
      <c r="L6" s="17"/>
      <c r="M6" s="17">
        <v>-3192</v>
      </c>
      <c r="N6" s="17">
        <f t="shared" si="2"/>
        <v>53808</v>
      </c>
      <c r="O6" s="76" t="s">
        <v>43</v>
      </c>
      <c r="P6" s="72"/>
      <c r="Q6" s="10" t="s">
        <v>176</v>
      </c>
      <c r="R6" s="17"/>
      <c r="S6" s="17"/>
      <c r="T6" s="17"/>
      <c r="U6" s="17"/>
      <c r="V6" s="17"/>
      <c r="W6" s="17"/>
    </row>
    <row r="7" spans="1:23" s="20" customFormat="1" ht="14.25" customHeight="1">
      <c r="A7" s="880">
        <v>44494</v>
      </c>
      <c r="B7" s="76" t="s">
        <v>206</v>
      </c>
      <c r="C7" s="11" t="s">
        <v>7321</v>
      </c>
      <c r="D7" s="92" t="s">
        <v>7322</v>
      </c>
      <c r="E7" s="76" t="s">
        <v>7323</v>
      </c>
      <c r="F7" s="76" t="s">
        <v>7324</v>
      </c>
      <c r="G7" s="16">
        <v>1</v>
      </c>
      <c r="H7" s="92">
        <v>75000</v>
      </c>
      <c r="I7" s="17">
        <f t="shared" si="0"/>
        <v>75000</v>
      </c>
      <c r="J7" s="17"/>
      <c r="K7" s="17">
        <f t="shared" si="1"/>
        <v>75000</v>
      </c>
      <c r="L7" s="17">
        <f>16400-16000</f>
        <v>400</v>
      </c>
      <c r="M7" s="17"/>
      <c r="N7" s="17">
        <f t="shared" si="2"/>
        <v>75400</v>
      </c>
      <c r="O7" s="76" t="s">
        <v>206</v>
      </c>
      <c r="P7" s="72"/>
      <c r="Q7" s="10" t="s">
        <v>328</v>
      </c>
      <c r="R7" s="17"/>
      <c r="S7" s="17"/>
      <c r="T7" s="17"/>
      <c r="U7" s="17"/>
      <c r="V7" s="17"/>
      <c r="W7" s="17"/>
    </row>
    <row r="8" spans="1:23" s="20" customFormat="1" ht="14.25" customHeight="1">
      <c r="A8" s="880">
        <v>44494</v>
      </c>
      <c r="B8" s="76" t="s">
        <v>177</v>
      </c>
      <c r="C8" s="10" t="s">
        <v>7325</v>
      </c>
      <c r="D8" s="92" t="s">
        <v>7326</v>
      </c>
      <c r="E8" s="739" t="s">
        <v>7327</v>
      </c>
      <c r="F8" s="739" t="s">
        <v>7328</v>
      </c>
      <c r="G8" s="16">
        <v>1</v>
      </c>
      <c r="H8" s="92">
        <v>108000</v>
      </c>
      <c r="I8" s="17">
        <f t="shared" si="0"/>
        <v>108000</v>
      </c>
      <c r="J8" s="17"/>
      <c r="K8" s="17">
        <f t="shared" si="1"/>
        <v>108000</v>
      </c>
      <c r="L8" s="17">
        <v>9500</v>
      </c>
      <c r="M8" s="17"/>
      <c r="N8" s="17">
        <f t="shared" si="2"/>
        <v>117500</v>
      </c>
      <c r="O8" s="76" t="s">
        <v>177</v>
      </c>
      <c r="P8" s="72"/>
      <c r="Q8" s="10" t="s">
        <v>54</v>
      </c>
      <c r="R8" s="17"/>
      <c r="S8" s="17"/>
      <c r="T8" s="17"/>
      <c r="U8" s="17"/>
      <c r="V8" s="17"/>
      <c r="W8" s="17"/>
    </row>
    <row r="9" spans="1:23" s="20" customFormat="1" ht="14.25" customHeight="1">
      <c r="A9" s="880">
        <v>44494</v>
      </c>
      <c r="B9" s="76" t="s">
        <v>177</v>
      </c>
      <c r="C9" s="10" t="s">
        <v>7329</v>
      </c>
      <c r="D9" s="92" t="s">
        <v>7330</v>
      </c>
      <c r="E9" s="76" t="s">
        <v>5876</v>
      </c>
      <c r="F9" s="76" t="s">
        <v>5877</v>
      </c>
      <c r="G9" s="16">
        <v>1</v>
      </c>
      <c r="H9" s="92">
        <v>68500</v>
      </c>
      <c r="I9" s="17">
        <f t="shared" si="0"/>
        <v>68500</v>
      </c>
      <c r="J9" s="17"/>
      <c r="K9" s="17">
        <f t="shared" si="1"/>
        <v>68500</v>
      </c>
      <c r="L9" s="17">
        <v>95000</v>
      </c>
      <c r="M9" s="17"/>
      <c r="N9" s="17">
        <f t="shared" si="2"/>
        <v>163500</v>
      </c>
      <c r="O9" s="76" t="s">
        <v>177</v>
      </c>
      <c r="P9" s="72"/>
      <c r="Q9" s="10" t="s">
        <v>54</v>
      </c>
      <c r="R9" s="17"/>
      <c r="S9" s="17"/>
      <c r="T9" s="17"/>
      <c r="U9" s="17"/>
      <c r="V9" s="17"/>
      <c r="W9" s="17"/>
    </row>
    <row r="10" spans="1:23" s="20" customFormat="1" ht="14.25" customHeight="1">
      <c r="A10" s="880">
        <v>44494</v>
      </c>
      <c r="B10" s="76" t="s">
        <v>313</v>
      </c>
      <c r="C10" s="11" t="s">
        <v>7331</v>
      </c>
      <c r="D10" s="92" t="s">
        <v>7332</v>
      </c>
      <c r="E10" s="739" t="s">
        <v>5454</v>
      </c>
      <c r="F10" s="739" t="s">
        <v>5455</v>
      </c>
      <c r="G10" s="16">
        <v>1</v>
      </c>
      <c r="H10" s="92">
        <v>83000</v>
      </c>
      <c r="I10" s="17">
        <f t="shared" si="0"/>
        <v>83000</v>
      </c>
      <c r="J10" s="17"/>
      <c r="K10" s="17">
        <f t="shared" si="1"/>
        <v>83000</v>
      </c>
      <c r="L10" s="17">
        <v>10051</v>
      </c>
      <c r="M10" s="17"/>
      <c r="N10" s="17">
        <f t="shared" si="2"/>
        <v>93051</v>
      </c>
      <c r="O10" s="76" t="s">
        <v>313</v>
      </c>
      <c r="P10" s="72"/>
      <c r="Q10" s="10" t="s">
        <v>40</v>
      </c>
      <c r="R10" s="17"/>
      <c r="S10" s="17"/>
      <c r="T10" s="17"/>
      <c r="U10" s="17"/>
      <c r="V10" s="17"/>
      <c r="W10" s="17"/>
    </row>
    <row r="11" spans="1:23" s="20" customFormat="1" ht="14.25" customHeight="1">
      <c r="A11" s="880">
        <v>44495</v>
      </c>
      <c r="B11" s="76" t="s">
        <v>206</v>
      </c>
      <c r="C11" s="11" t="s">
        <v>7333</v>
      </c>
      <c r="D11" s="92" t="s">
        <v>7334</v>
      </c>
      <c r="E11" s="780" t="s">
        <v>7335</v>
      </c>
      <c r="F11" s="780" t="s">
        <v>4508</v>
      </c>
      <c r="G11" s="16">
        <v>1</v>
      </c>
      <c r="H11" s="92">
        <v>48000</v>
      </c>
      <c r="I11" s="17">
        <f t="shared" si="0"/>
        <v>48000</v>
      </c>
      <c r="J11" s="17"/>
      <c r="K11" s="17">
        <f t="shared" si="1"/>
        <v>48000</v>
      </c>
      <c r="L11" s="17">
        <v>34100</v>
      </c>
      <c r="M11" s="17"/>
      <c r="N11" s="17">
        <f t="shared" si="2"/>
        <v>82100</v>
      </c>
      <c r="O11" s="76" t="s">
        <v>206</v>
      </c>
      <c r="P11" s="183"/>
      <c r="Q11" s="10" t="s">
        <v>328</v>
      </c>
      <c r="R11" s="17"/>
      <c r="S11" s="17"/>
      <c r="T11" s="17"/>
      <c r="U11" s="17"/>
      <c r="V11" s="17"/>
      <c r="W11" s="17"/>
    </row>
    <row r="12" spans="1:23" s="20" customFormat="1" ht="14.25" customHeight="1">
      <c r="A12" s="880">
        <v>44495</v>
      </c>
      <c r="B12" s="76" t="s">
        <v>206</v>
      </c>
      <c r="C12" s="11" t="s">
        <v>7333</v>
      </c>
      <c r="D12" s="92" t="s">
        <v>7336</v>
      </c>
      <c r="E12" s="780" t="s">
        <v>7337</v>
      </c>
      <c r="F12" s="780" t="s">
        <v>4675</v>
      </c>
      <c r="G12" s="16">
        <v>1</v>
      </c>
      <c r="H12" s="92">
        <v>93000</v>
      </c>
      <c r="I12" s="17">
        <f t="shared" si="0"/>
        <v>93000</v>
      </c>
      <c r="J12" s="17"/>
      <c r="K12" s="17">
        <f t="shared" si="1"/>
        <v>93000</v>
      </c>
      <c r="L12" s="17"/>
      <c r="M12" s="17"/>
      <c r="N12" s="17">
        <f t="shared" si="2"/>
        <v>93000</v>
      </c>
      <c r="O12" s="76" t="s">
        <v>206</v>
      </c>
      <c r="P12" s="72"/>
      <c r="Q12" s="10" t="s">
        <v>328</v>
      </c>
      <c r="R12" s="17"/>
      <c r="S12" s="17"/>
      <c r="T12" s="17"/>
      <c r="U12" s="17"/>
      <c r="V12" s="17"/>
      <c r="W12" s="17"/>
    </row>
    <row r="13" spans="1:23" s="20" customFormat="1" ht="14.25" customHeight="1">
      <c r="A13" s="880">
        <v>44495</v>
      </c>
      <c r="B13" s="76" t="s">
        <v>206</v>
      </c>
      <c r="C13" s="11" t="s">
        <v>7333</v>
      </c>
      <c r="D13" s="92" t="s">
        <v>7338</v>
      </c>
      <c r="E13" s="780" t="s">
        <v>7339</v>
      </c>
      <c r="F13" s="780" t="s">
        <v>7340</v>
      </c>
      <c r="G13" s="16">
        <v>1</v>
      </c>
      <c r="H13" s="92">
        <v>85000</v>
      </c>
      <c r="I13" s="17">
        <f t="shared" si="0"/>
        <v>85000</v>
      </c>
      <c r="J13" s="17"/>
      <c r="K13" s="17">
        <f t="shared" si="1"/>
        <v>85000</v>
      </c>
      <c r="L13" s="17"/>
      <c r="M13" s="17"/>
      <c r="N13" s="17">
        <f t="shared" si="2"/>
        <v>85000</v>
      </c>
      <c r="O13" s="76" t="s">
        <v>206</v>
      </c>
      <c r="P13" s="183"/>
      <c r="Q13" s="10" t="s">
        <v>328</v>
      </c>
      <c r="R13" s="17"/>
      <c r="S13" s="13"/>
      <c r="T13" s="17"/>
      <c r="U13" s="17"/>
      <c r="V13" s="17"/>
      <c r="W13" s="17"/>
    </row>
    <row r="14" spans="1:23" s="20" customFormat="1" ht="14.25" customHeight="1">
      <c r="A14" s="880">
        <v>44495</v>
      </c>
      <c r="B14" s="76" t="s">
        <v>206</v>
      </c>
      <c r="C14" s="11" t="s">
        <v>7333</v>
      </c>
      <c r="D14" s="92" t="s">
        <v>7341</v>
      </c>
      <c r="E14" s="748" t="s">
        <v>7342</v>
      </c>
      <c r="F14" s="748" t="s">
        <v>7343</v>
      </c>
      <c r="G14" s="16">
        <v>1</v>
      </c>
      <c r="H14" s="92">
        <v>138000</v>
      </c>
      <c r="I14" s="17">
        <f t="shared" si="0"/>
        <v>138000</v>
      </c>
      <c r="J14" s="17"/>
      <c r="K14" s="17">
        <f t="shared" si="1"/>
        <v>138000</v>
      </c>
      <c r="L14" s="17"/>
      <c r="M14" s="17"/>
      <c r="N14" s="17">
        <f t="shared" si="2"/>
        <v>138000</v>
      </c>
      <c r="O14" s="76" t="s">
        <v>206</v>
      </c>
      <c r="P14" s="183"/>
      <c r="Q14" s="10" t="s">
        <v>328</v>
      </c>
      <c r="R14" s="17"/>
      <c r="S14" s="13"/>
      <c r="T14" s="17"/>
      <c r="U14" s="17"/>
      <c r="V14" s="17"/>
      <c r="W14" s="17"/>
    </row>
    <row r="15" spans="1:23" s="20" customFormat="1" ht="14.25" customHeight="1">
      <c r="A15" s="880">
        <v>44495</v>
      </c>
      <c r="B15" s="76" t="s">
        <v>206</v>
      </c>
      <c r="C15" s="11" t="s">
        <v>7333</v>
      </c>
      <c r="D15" s="92" t="s">
        <v>7344</v>
      </c>
      <c r="E15" s="748" t="s">
        <v>5867</v>
      </c>
      <c r="F15" s="748" t="s">
        <v>2353</v>
      </c>
      <c r="G15" s="16">
        <v>1</v>
      </c>
      <c r="H15" s="92">
        <v>116000</v>
      </c>
      <c r="I15" s="17">
        <f t="shared" si="0"/>
        <v>116000</v>
      </c>
      <c r="J15" s="17"/>
      <c r="K15" s="17">
        <f t="shared" si="1"/>
        <v>116000</v>
      </c>
      <c r="L15" s="17"/>
      <c r="M15" s="17"/>
      <c r="N15" s="17">
        <f t="shared" si="2"/>
        <v>116000</v>
      </c>
      <c r="O15" s="76" t="s">
        <v>206</v>
      </c>
      <c r="P15" s="183"/>
      <c r="Q15" s="10" t="s">
        <v>328</v>
      </c>
      <c r="R15" s="17"/>
      <c r="S15" s="13"/>
      <c r="T15" s="17"/>
      <c r="U15" s="17"/>
      <c r="V15" s="17"/>
      <c r="W15" s="17"/>
    </row>
    <row r="16" spans="1:23" s="20" customFormat="1" ht="14.25" customHeight="1">
      <c r="A16" s="880">
        <v>44495</v>
      </c>
      <c r="B16" s="76" t="s">
        <v>23</v>
      </c>
      <c r="C16" s="10" t="s">
        <v>7345</v>
      </c>
      <c r="D16" s="92" t="s">
        <v>7346</v>
      </c>
      <c r="E16" s="76" t="s">
        <v>7347</v>
      </c>
      <c r="F16" s="76" t="s">
        <v>7348</v>
      </c>
      <c r="G16" s="16">
        <v>1</v>
      </c>
      <c r="H16" s="92">
        <v>97000</v>
      </c>
      <c r="I16" s="17">
        <f t="shared" si="0"/>
        <v>97000</v>
      </c>
      <c r="J16" s="17"/>
      <c r="K16" s="17">
        <f t="shared" si="1"/>
        <v>97000</v>
      </c>
      <c r="L16" s="17">
        <v>24000</v>
      </c>
      <c r="M16" s="17"/>
      <c r="N16" s="17">
        <f t="shared" si="2"/>
        <v>121000</v>
      </c>
      <c r="O16" s="76" t="s">
        <v>23</v>
      </c>
      <c r="P16" s="72"/>
      <c r="Q16" s="10" t="s">
        <v>40</v>
      </c>
      <c r="R16" s="17"/>
      <c r="S16" s="17"/>
      <c r="T16" s="17"/>
      <c r="U16" s="17"/>
      <c r="V16" s="17"/>
      <c r="W16" s="17"/>
    </row>
    <row r="17" spans="1:23" s="20" customFormat="1" ht="14.25" customHeight="1">
      <c r="A17" s="880">
        <v>44495</v>
      </c>
      <c r="B17" s="76" t="s">
        <v>23</v>
      </c>
      <c r="C17" s="10" t="s">
        <v>7349</v>
      </c>
      <c r="D17" s="92" t="s">
        <v>7350</v>
      </c>
      <c r="E17" s="739" t="s">
        <v>7351</v>
      </c>
      <c r="F17" s="739" t="s">
        <v>7349</v>
      </c>
      <c r="G17" s="16">
        <v>5</v>
      </c>
      <c r="H17" s="92">
        <v>44000</v>
      </c>
      <c r="I17" s="17">
        <f t="shared" si="0"/>
        <v>220000</v>
      </c>
      <c r="J17" s="17"/>
      <c r="K17" s="17">
        <f t="shared" si="1"/>
        <v>220000</v>
      </c>
      <c r="L17" s="17">
        <v>16000</v>
      </c>
      <c r="M17" s="17"/>
      <c r="N17" s="17">
        <f t="shared" si="2"/>
        <v>236000</v>
      </c>
      <c r="O17" s="76" t="s">
        <v>23</v>
      </c>
      <c r="P17" s="183"/>
      <c r="Q17" s="10" t="s">
        <v>40</v>
      </c>
      <c r="R17" s="17"/>
      <c r="S17" s="17"/>
      <c r="T17" s="17"/>
      <c r="U17" s="17"/>
      <c r="V17" s="17"/>
      <c r="W17" s="17"/>
    </row>
    <row r="18" spans="1:23" s="20" customFormat="1" ht="14.25" customHeight="1">
      <c r="A18" s="880">
        <v>44495</v>
      </c>
      <c r="B18" s="76" t="s">
        <v>23</v>
      </c>
      <c r="C18" s="10" t="s">
        <v>7352</v>
      </c>
      <c r="D18" s="92" t="s">
        <v>7353</v>
      </c>
      <c r="E18" s="928" t="s">
        <v>7354</v>
      </c>
      <c r="F18" s="928" t="s">
        <v>7355</v>
      </c>
      <c r="G18" s="16">
        <v>1</v>
      </c>
      <c r="H18" s="92">
        <v>108000</v>
      </c>
      <c r="I18" s="17">
        <f t="shared" si="0"/>
        <v>108000</v>
      </c>
      <c r="J18" s="17"/>
      <c r="K18" s="17">
        <f t="shared" si="1"/>
        <v>108000</v>
      </c>
      <c r="L18" s="17">
        <v>32000</v>
      </c>
      <c r="M18" s="17"/>
      <c r="N18" s="17">
        <f t="shared" si="2"/>
        <v>140000</v>
      </c>
      <c r="O18" s="76" t="s">
        <v>23</v>
      </c>
      <c r="P18" s="183"/>
      <c r="Q18" s="10" t="s">
        <v>40</v>
      </c>
      <c r="R18" s="17"/>
      <c r="S18" s="17"/>
      <c r="T18" s="17"/>
      <c r="U18" s="17"/>
      <c r="V18" s="17"/>
      <c r="W18" s="17"/>
    </row>
    <row r="19" spans="1:23" s="20" customFormat="1" ht="14.25" customHeight="1">
      <c r="A19" s="880">
        <v>44495</v>
      </c>
      <c r="B19" s="76" t="s">
        <v>23</v>
      </c>
      <c r="C19" s="10" t="s">
        <v>7352</v>
      </c>
      <c r="D19" s="92" t="s">
        <v>7353</v>
      </c>
      <c r="E19" s="928" t="s">
        <v>7356</v>
      </c>
      <c r="F19" s="928" t="s">
        <v>7357</v>
      </c>
      <c r="G19" s="16">
        <v>1</v>
      </c>
      <c r="H19" s="92">
        <v>91500</v>
      </c>
      <c r="I19" s="17">
        <f t="shared" si="0"/>
        <v>91500</v>
      </c>
      <c r="J19" s="17"/>
      <c r="K19" s="17">
        <f t="shared" si="1"/>
        <v>91500</v>
      </c>
      <c r="L19" s="17"/>
      <c r="M19" s="17"/>
      <c r="N19" s="17">
        <f t="shared" si="2"/>
        <v>91500</v>
      </c>
      <c r="O19" s="76" t="s">
        <v>23</v>
      </c>
      <c r="P19" s="183"/>
      <c r="Q19" s="10" t="s">
        <v>40</v>
      </c>
      <c r="R19" s="17"/>
      <c r="S19" s="17"/>
      <c r="T19" s="17"/>
      <c r="U19" s="17"/>
      <c r="V19" s="17"/>
      <c r="W19" s="17"/>
    </row>
    <row r="20" spans="1:23" s="20" customFormat="1" ht="14.25" customHeight="1">
      <c r="A20" s="880">
        <v>44495</v>
      </c>
      <c r="B20" s="76" t="s">
        <v>23</v>
      </c>
      <c r="C20" s="10" t="s">
        <v>7352</v>
      </c>
      <c r="D20" s="92" t="s">
        <v>7353</v>
      </c>
      <c r="E20" s="928" t="s">
        <v>6173</v>
      </c>
      <c r="F20" s="928" t="s">
        <v>3358</v>
      </c>
      <c r="G20" s="16">
        <v>1</v>
      </c>
      <c r="H20" s="92">
        <v>84000</v>
      </c>
      <c r="I20" s="17">
        <f t="shared" si="0"/>
        <v>84000</v>
      </c>
      <c r="J20" s="17"/>
      <c r="K20" s="17">
        <f t="shared" si="1"/>
        <v>84000</v>
      </c>
      <c r="L20" s="17"/>
      <c r="M20" s="17"/>
      <c r="N20" s="17">
        <f t="shared" si="2"/>
        <v>84000</v>
      </c>
      <c r="O20" s="76" t="s">
        <v>23</v>
      </c>
      <c r="P20" s="183"/>
      <c r="Q20" s="10" t="s">
        <v>40</v>
      </c>
      <c r="R20" s="17"/>
      <c r="S20" s="17"/>
      <c r="T20" s="17"/>
      <c r="U20" s="17"/>
      <c r="V20" s="17"/>
      <c r="W20" s="17"/>
    </row>
    <row r="21" spans="1:23" s="20" customFormat="1" ht="14.25" customHeight="1">
      <c r="A21" s="880">
        <v>44495</v>
      </c>
      <c r="B21" s="76" t="s">
        <v>23</v>
      </c>
      <c r="C21" s="10" t="s">
        <v>7352</v>
      </c>
      <c r="D21" s="92" t="s">
        <v>7353</v>
      </c>
      <c r="E21" s="929" t="s">
        <v>7358</v>
      </c>
      <c r="F21" s="929" t="s">
        <v>7359</v>
      </c>
      <c r="G21" s="16">
        <v>1</v>
      </c>
      <c r="H21" s="92">
        <v>84000</v>
      </c>
      <c r="I21" s="17">
        <f t="shared" si="0"/>
        <v>84000</v>
      </c>
      <c r="J21" s="17"/>
      <c r="K21" s="17">
        <f t="shared" si="1"/>
        <v>84000</v>
      </c>
      <c r="L21" s="17"/>
      <c r="M21" s="17"/>
      <c r="N21" s="17">
        <f t="shared" si="2"/>
        <v>84000</v>
      </c>
      <c r="O21" s="76" t="s">
        <v>23</v>
      </c>
      <c r="P21" s="183"/>
      <c r="Q21" s="10" t="s">
        <v>40</v>
      </c>
      <c r="R21" s="17"/>
      <c r="S21" s="17"/>
      <c r="T21" s="17"/>
      <c r="U21" s="17"/>
      <c r="V21" s="17"/>
      <c r="W21" s="17"/>
    </row>
    <row r="22" spans="1:23" s="20" customFormat="1" ht="14.25" customHeight="1">
      <c r="A22" s="880">
        <v>44495</v>
      </c>
      <c r="B22" s="76" t="s">
        <v>23</v>
      </c>
      <c r="C22" s="10" t="s">
        <v>7352</v>
      </c>
      <c r="D22" s="92" t="s">
        <v>7353</v>
      </c>
      <c r="E22" s="929" t="s">
        <v>7360</v>
      </c>
      <c r="F22" s="929" t="s">
        <v>7361</v>
      </c>
      <c r="G22" s="16">
        <v>1</v>
      </c>
      <c r="H22" s="92">
        <v>183000</v>
      </c>
      <c r="I22" s="17">
        <f t="shared" si="0"/>
        <v>183000</v>
      </c>
      <c r="J22" s="17"/>
      <c r="K22" s="17">
        <f t="shared" si="1"/>
        <v>183000</v>
      </c>
      <c r="L22" s="17"/>
      <c r="M22" s="17"/>
      <c r="N22" s="17">
        <f t="shared" si="2"/>
        <v>183000</v>
      </c>
      <c r="O22" s="76" t="s">
        <v>23</v>
      </c>
      <c r="P22" s="183"/>
      <c r="Q22" s="10" t="s">
        <v>40</v>
      </c>
      <c r="R22" s="17"/>
      <c r="S22" s="17"/>
      <c r="T22" s="17"/>
      <c r="U22" s="17"/>
      <c r="V22" s="17"/>
      <c r="W22" s="17"/>
    </row>
    <row r="23" spans="1:23" s="20" customFormat="1" ht="14.25" customHeight="1">
      <c r="A23" s="880">
        <v>44495</v>
      </c>
      <c r="B23" s="76" t="s">
        <v>313</v>
      </c>
      <c r="C23" s="11" t="s">
        <v>7362</v>
      </c>
      <c r="D23" s="92" t="s">
        <v>7363</v>
      </c>
      <c r="E23" s="739" t="s">
        <v>6689</v>
      </c>
      <c r="F23" s="739" t="s">
        <v>6690</v>
      </c>
      <c r="G23" s="16">
        <v>7</v>
      </c>
      <c r="H23" s="92">
        <v>82000</v>
      </c>
      <c r="I23" s="17">
        <f t="shared" si="0"/>
        <v>574000</v>
      </c>
      <c r="J23" s="17"/>
      <c r="K23" s="17">
        <f t="shared" si="1"/>
        <v>574000</v>
      </c>
      <c r="L23" s="17">
        <v>110058</v>
      </c>
      <c r="M23" s="17"/>
      <c r="N23" s="17">
        <f t="shared" si="2"/>
        <v>684058</v>
      </c>
      <c r="O23" s="76" t="s">
        <v>313</v>
      </c>
      <c r="P23" s="183"/>
      <c r="Q23" s="10" t="s">
        <v>40</v>
      </c>
      <c r="R23" s="17"/>
      <c r="S23" s="17"/>
      <c r="T23" s="17"/>
      <c r="U23" s="17"/>
      <c r="V23" s="17"/>
      <c r="W23" s="17"/>
    </row>
    <row r="24" spans="1:23" s="20" customFormat="1" ht="14.25" customHeight="1">
      <c r="A24" s="880">
        <v>44496</v>
      </c>
      <c r="B24" s="76" t="s">
        <v>313</v>
      </c>
      <c r="C24" s="10" t="s">
        <v>7364</v>
      </c>
      <c r="D24" s="29" t="s">
        <v>7365</v>
      </c>
      <c r="E24" s="930" t="s">
        <v>783</v>
      </c>
      <c r="F24" s="930" t="s">
        <v>784</v>
      </c>
      <c r="G24" s="16">
        <v>3</v>
      </c>
      <c r="H24" s="92">
        <v>82000</v>
      </c>
      <c r="I24" s="17">
        <f t="shared" si="0"/>
        <v>246000</v>
      </c>
      <c r="J24" s="17"/>
      <c r="K24" s="17">
        <f t="shared" si="1"/>
        <v>246000</v>
      </c>
      <c r="L24" s="17">
        <v>41042</v>
      </c>
      <c r="M24" s="17"/>
      <c r="N24" s="17">
        <f t="shared" si="2"/>
        <v>287042</v>
      </c>
      <c r="O24" s="76"/>
      <c r="P24" s="183"/>
      <c r="Q24" s="10"/>
      <c r="R24" s="17"/>
      <c r="S24" s="17"/>
      <c r="T24" s="17"/>
      <c r="U24" s="17"/>
      <c r="V24" s="17"/>
      <c r="W24" s="17"/>
    </row>
    <row r="25" spans="1:23" s="20" customFormat="1" ht="14.25" customHeight="1">
      <c r="A25" s="880">
        <v>44495</v>
      </c>
      <c r="B25" s="76" t="s">
        <v>23</v>
      </c>
      <c r="C25" s="10" t="s">
        <v>7366</v>
      </c>
      <c r="D25" s="770" t="s">
        <v>7367</v>
      </c>
      <c r="E25" s="931" t="s">
        <v>2547</v>
      </c>
      <c r="F25" s="931" t="s">
        <v>2548</v>
      </c>
      <c r="G25" s="16">
        <v>1</v>
      </c>
      <c r="H25" s="92">
        <v>70700</v>
      </c>
      <c r="I25" s="17">
        <f t="shared" si="0"/>
        <v>70700</v>
      </c>
      <c r="J25" s="17"/>
      <c r="K25" s="17">
        <f t="shared" si="1"/>
        <v>70700</v>
      </c>
      <c r="L25" s="17">
        <v>20000</v>
      </c>
      <c r="M25" s="17"/>
      <c r="N25" s="17">
        <f t="shared" si="2"/>
        <v>90700</v>
      </c>
      <c r="O25" s="76" t="s">
        <v>23</v>
      </c>
      <c r="P25" s="183"/>
      <c r="Q25" s="10" t="s">
        <v>54</v>
      </c>
      <c r="R25" s="17"/>
      <c r="S25" s="17"/>
      <c r="T25" s="17"/>
      <c r="U25" s="17"/>
      <c r="V25" s="17"/>
      <c r="W25" s="17"/>
    </row>
    <row r="26" spans="1:23" s="20" customFormat="1" ht="14.25" customHeight="1">
      <c r="A26" s="880">
        <v>44495</v>
      </c>
      <c r="B26" s="76" t="s">
        <v>23</v>
      </c>
      <c r="C26" s="10" t="s">
        <v>7366</v>
      </c>
      <c r="D26" s="770" t="s">
        <v>7368</v>
      </c>
      <c r="E26" s="931" t="s">
        <v>5216</v>
      </c>
      <c r="F26" s="931" t="s">
        <v>7369</v>
      </c>
      <c r="G26" s="16">
        <v>1</v>
      </c>
      <c r="H26" s="92">
        <v>101600</v>
      </c>
      <c r="I26" s="17">
        <f t="shared" si="0"/>
        <v>101600</v>
      </c>
      <c r="J26" s="17"/>
      <c r="K26" s="17">
        <f t="shared" si="1"/>
        <v>101600</v>
      </c>
      <c r="L26" s="17"/>
      <c r="M26" s="17"/>
      <c r="N26" s="17">
        <f t="shared" si="2"/>
        <v>101600</v>
      </c>
      <c r="O26" s="76" t="s">
        <v>23</v>
      </c>
      <c r="P26" s="183"/>
      <c r="Q26" s="10" t="s">
        <v>54</v>
      </c>
      <c r="R26" s="17"/>
      <c r="S26" s="17"/>
      <c r="T26" s="17"/>
      <c r="U26" s="17"/>
      <c r="V26" s="17"/>
      <c r="W26" s="17"/>
    </row>
    <row r="27" spans="1:23" s="20" customFormat="1" ht="14.25" customHeight="1">
      <c r="A27" s="880">
        <v>44495</v>
      </c>
      <c r="B27" s="76" t="s">
        <v>23</v>
      </c>
      <c r="C27" s="10" t="s">
        <v>7370</v>
      </c>
      <c r="D27" s="29" t="s">
        <v>7371</v>
      </c>
      <c r="E27" s="739" t="s">
        <v>3918</v>
      </c>
      <c r="F27" s="739" t="s">
        <v>384</v>
      </c>
      <c r="G27" s="16">
        <v>1</v>
      </c>
      <c r="H27" s="20">
        <v>85000</v>
      </c>
      <c r="I27" s="17">
        <f t="shared" si="0"/>
        <v>85000</v>
      </c>
      <c r="J27" s="17"/>
      <c r="K27" s="17">
        <f t="shared" si="1"/>
        <v>85000</v>
      </c>
      <c r="L27" s="17">
        <v>46000</v>
      </c>
      <c r="M27" s="17"/>
      <c r="N27" s="17">
        <f t="shared" si="2"/>
        <v>131000</v>
      </c>
      <c r="O27" s="76" t="s">
        <v>23</v>
      </c>
      <c r="P27" s="72"/>
      <c r="Q27" s="10" t="s">
        <v>40</v>
      </c>
      <c r="R27" s="17"/>
      <c r="S27" s="17"/>
      <c r="T27" s="17"/>
      <c r="U27" s="17"/>
      <c r="V27" s="17"/>
      <c r="W27" s="17"/>
    </row>
    <row r="28" spans="1:23" s="20" customFormat="1" ht="14.25" customHeight="1">
      <c r="A28" s="880">
        <v>44495</v>
      </c>
      <c r="B28" s="76" t="s">
        <v>313</v>
      </c>
      <c r="C28" s="10" t="s">
        <v>7364</v>
      </c>
      <c r="D28" s="29" t="s">
        <v>7365</v>
      </c>
      <c r="E28" s="76" t="s">
        <v>3024</v>
      </c>
      <c r="F28" s="76" t="s">
        <v>4256</v>
      </c>
      <c r="G28" s="16">
        <v>2</v>
      </c>
      <c r="H28" s="20">
        <v>85000</v>
      </c>
      <c r="I28" s="17">
        <f t="shared" si="0"/>
        <v>170000</v>
      </c>
      <c r="J28" s="17"/>
      <c r="K28" s="17">
        <f t="shared" si="1"/>
        <v>170000</v>
      </c>
      <c r="L28" s="17">
        <v>41055</v>
      </c>
      <c r="M28" s="17"/>
      <c r="N28" s="17">
        <f t="shared" si="2"/>
        <v>211055</v>
      </c>
      <c r="O28" s="76" t="s">
        <v>313</v>
      </c>
      <c r="P28" s="72"/>
      <c r="Q28" s="10" t="s">
        <v>40</v>
      </c>
      <c r="R28" s="17"/>
      <c r="S28" s="17"/>
      <c r="T28" s="17"/>
      <c r="U28" s="17"/>
      <c r="V28" s="17"/>
      <c r="W28" s="17"/>
    </row>
    <row r="29" spans="1:23" s="20" customFormat="1" ht="14.25" customHeight="1">
      <c r="A29" s="137">
        <v>44496</v>
      </c>
      <c r="B29" s="138" t="s">
        <v>206</v>
      </c>
      <c r="C29" s="146" t="s">
        <v>7372</v>
      </c>
      <c r="D29" s="29" t="s">
        <v>7373</v>
      </c>
      <c r="E29" s="146" t="s">
        <v>7374</v>
      </c>
      <c r="F29" s="146" t="s">
        <v>7375</v>
      </c>
      <c r="G29" s="932">
        <v>1</v>
      </c>
      <c r="H29" s="20">
        <v>69000</v>
      </c>
      <c r="I29" s="17">
        <f t="shared" si="0"/>
        <v>69000</v>
      </c>
      <c r="J29" s="17"/>
      <c r="K29" s="17">
        <f t="shared" si="1"/>
        <v>69000</v>
      </c>
      <c r="L29" s="17">
        <v>16000</v>
      </c>
      <c r="M29" s="17"/>
      <c r="N29" s="17">
        <f t="shared" si="2"/>
        <v>85000</v>
      </c>
      <c r="O29" s="138" t="s">
        <v>206</v>
      </c>
      <c r="P29" s="72"/>
      <c r="Q29" s="138" t="s">
        <v>176</v>
      </c>
      <c r="R29" s="17"/>
      <c r="S29" s="17"/>
      <c r="T29" s="17"/>
      <c r="U29" s="17"/>
      <c r="V29" s="17"/>
      <c r="W29" s="17"/>
    </row>
    <row r="30" spans="1:23" s="20" customFormat="1" ht="14.25" customHeight="1">
      <c r="A30" s="137">
        <v>44496</v>
      </c>
      <c r="B30" s="138" t="s">
        <v>206</v>
      </c>
      <c r="C30" s="146" t="s">
        <v>7376</v>
      </c>
      <c r="D30" s="29" t="s">
        <v>7377</v>
      </c>
      <c r="E30" s="146" t="s">
        <v>7374</v>
      </c>
      <c r="F30" s="146" t="s">
        <v>7375</v>
      </c>
      <c r="G30" s="932">
        <v>1</v>
      </c>
      <c r="H30" s="20">
        <v>69000</v>
      </c>
      <c r="I30" s="17">
        <f t="shared" si="0"/>
        <v>69000</v>
      </c>
      <c r="J30" s="17"/>
      <c r="K30" s="17">
        <f t="shared" si="1"/>
        <v>69000</v>
      </c>
      <c r="L30" s="17">
        <f>16000-16000</f>
        <v>0</v>
      </c>
      <c r="M30" s="17"/>
      <c r="N30" s="17">
        <f t="shared" si="2"/>
        <v>69000</v>
      </c>
      <c r="O30" s="138" t="s">
        <v>206</v>
      </c>
      <c r="P30" s="282"/>
      <c r="Q30" s="138" t="s">
        <v>176</v>
      </c>
      <c r="R30" s="17"/>
      <c r="S30" s="17"/>
      <c r="T30" s="17"/>
      <c r="U30" s="17"/>
      <c r="V30" s="17"/>
      <c r="W30" s="17"/>
    </row>
    <row r="31" spans="1:23" s="20" customFormat="1" ht="14.25" customHeight="1">
      <c r="A31" s="137">
        <v>44496</v>
      </c>
      <c r="B31" s="138" t="s">
        <v>23</v>
      </c>
      <c r="C31" s="146" t="s">
        <v>7378</v>
      </c>
      <c r="D31" s="29" t="s">
        <v>7379</v>
      </c>
      <c r="E31" s="138" t="s">
        <v>3476</v>
      </c>
      <c r="F31" s="138" t="s">
        <v>3477</v>
      </c>
      <c r="G31" s="141">
        <v>1</v>
      </c>
      <c r="H31" s="20">
        <v>100500</v>
      </c>
      <c r="I31" s="17">
        <f t="shared" si="0"/>
        <v>100500</v>
      </c>
      <c r="J31" s="17"/>
      <c r="K31" s="17">
        <f t="shared" si="1"/>
        <v>100500</v>
      </c>
      <c r="L31" s="17">
        <v>10000</v>
      </c>
      <c r="M31" s="17"/>
      <c r="N31" s="17">
        <f t="shared" si="2"/>
        <v>110500</v>
      </c>
      <c r="O31" s="138" t="s">
        <v>23</v>
      </c>
      <c r="P31" s="183"/>
      <c r="Q31" s="138" t="s">
        <v>54</v>
      </c>
      <c r="R31" s="17"/>
      <c r="S31" s="17"/>
      <c r="T31" s="17"/>
      <c r="U31" s="17"/>
      <c r="V31" s="17"/>
      <c r="W31" s="17"/>
    </row>
    <row r="32" spans="1:23" s="20" customFormat="1" ht="14.25" customHeight="1">
      <c r="A32" s="137">
        <v>44496</v>
      </c>
      <c r="B32" s="138" t="s">
        <v>23</v>
      </c>
      <c r="C32" s="138" t="s">
        <v>5286</v>
      </c>
      <c r="D32" s="29" t="s">
        <v>7380</v>
      </c>
      <c r="E32" s="138" t="s">
        <v>3137</v>
      </c>
      <c r="F32" s="138" t="s">
        <v>3138</v>
      </c>
      <c r="G32" s="141">
        <v>1</v>
      </c>
      <c r="H32" s="20">
        <v>64500</v>
      </c>
      <c r="I32" s="17">
        <f t="shared" si="0"/>
        <v>64500</v>
      </c>
      <c r="J32" s="17"/>
      <c r="K32" s="17">
        <f t="shared" si="1"/>
        <v>64500</v>
      </c>
      <c r="L32" s="17">
        <v>11000</v>
      </c>
      <c r="M32" s="17"/>
      <c r="N32" s="17">
        <f t="shared" si="2"/>
        <v>75500</v>
      </c>
      <c r="O32" s="138" t="s">
        <v>23</v>
      </c>
      <c r="P32" s="183"/>
      <c r="Q32" s="138" t="s">
        <v>40</v>
      </c>
      <c r="R32" s="17"/>
      <c r="S32" s="17"/>
      <c r="T32" s="17"/>
      <c r="U32" s="17"/>
      <c r="V32" s="17"/>
      <c r="W32" s="17"/>
    </row>
    <row r="33" spans="1:23" s="20" customFormat="1" ht="14.25" customHeight="1">
      <c r="A33" s="880">
        <v>44496</v>
      </c>
      <c r="B33" s="76" t="s">
        <v>23</v>
      </c>
      <c r="C33" s="10" t="s">
        <v>7381</v>
      </c>
      <c r="D33" s="29" t="s">
        <v>7382</v>
      </c>
      <c r="E33" s="739" t="s">
        <v>7383</v>
      </c>
      <c r="F33" s="739" t="s">
        <v>7384</v>
      </c>
      <c r="G33" s="16">
        <v>1</v>
      </c>
      <c r="H33" s="20">
        <v>142000</v>
      </c>
      <c r="I33" s="17">
        <f t="shared" si="0"/>
        <v>142000</v>
      </c>
      <c r="J33" s="17"/>
      <c r="K33" s="17">
        <f t="shared" si="1"/>
        <v>142000</v>
      </c>
      <c r="L33" s="17">
        <v>55000</v>
      </c>
      <c r="M33" s="17"/>
      <c r="N33" s="17">
        <f t="shared" si="2"/>
        <v>197000</v>
      </c>
      <c r="O33" s="76" t="s">
        <v>23</v>
      </c>
      <c r="P33" s="72"/>
      <c r="Q33" s="10" t="s">
        <v>40</v>
      </c>
      <c r="R33" s="17"/>
      <c r="S33" s="17"/>
      <c r="T33" s="17"/>
      <c r="U33" s="17"/>
      <c r="V33" s="17"/>
      <c r="W33" s="17"/>
    </row>
    <row r="34" spans="1:23" s="20" customFormat="1" ht="14.25" customHeight="1">
      <c r="A34" s="880">
        <v>44496</v>
      </c>
      <c r="B34" s="76" t="s">
        <v>23</v>
      </c>
      <c r="C34" s="10" t="s">
        <v>7158</v>
      </c>
      <c r="D34" s="29" t="s">
        <v>7159</v>
      </c>
      <c r="E34" s="76" t="s">
        <v>1479</v>
      </c>
      <c r="F34" s="76" t="s">
        <v>1480</v>
      </c>
      <c r="G34" s="16">
        <v>2</v>
      </c>
      <c r="H34" s="20">
        <v>75500</v>
      </c>
      <c r="I34" s="17">
        <f t="shared" si="0"/>
        <v>151000</v>
      </c>
      <c r="J34" s="17"/>
      <c r="K34" s="17">
        <f t="shared" si="1"/>
        <v>151000</v>
      </c>
      <c r="L34" s="17">
        <v>20000</v>
      </c>
      <c r="M34" s="17"/>
      <c r="N34" s="17">
        <f t="shared" si="2"/>
        <v>171000</v>
      </c>
      <c r="O34" s="76" t="s">
        <v>23</v>
      </c>
      <c r="P34" s="282"/>
      <c r="Q34" s="10" t="s">
        <v>54</v>
      </c>
      <c r="R34" s="17"/>
      <c r="S34" s="17"/>
      <c r="T34" s="17"/>
      <c r="U34" s="17"/>
      <c r="V34" s="17"/>
      <c r="W34" s="17"/>
    </row>
    <row r="35" spans="1:23" s="20" customFormat="1" ht="14.25" customHeight="1">
      <c r="A35" s="880">
        <v>44496</v>
      </c>
      <c r="B35" s="76" t="s">
        <v>313</v>
      </c>
      <c r="C35" s="10" t="s">
        <v>7364</v>
      </c>
      <c r="D35" s="29" t="s">
        <v>7385</v>
      </c>
      <c r="E35" s="739" t="s">
        <v>7386</v>
      </c>
      <c r="F35" s="739" t="s">
        <v>7387</v>
      </c>
      <c r="G35" s="16">
        <v>2</v>
      </c>
      <c r="H35" s="20">
        <v>128000</v>
      </c>
      <c r="I35" s="17">
        <f t="shared" si="0"/>
        <v>256000</v>
      </c>
      <c r="J35" s="17"/>
      <c r="K35" s="17">
        <f t="shared" si="1"/>
        <v>256000</v>
      </c>
      <c r="L35" s="17">
        <v>41033</v>
      </c>
      <c r="M35" s="17"/>
      <c r="N35" s="17">
        <f t="shared" si="2"/>
        <v>297033</v>
      </c>
      <c r="O35" s="76" t="s">
        <v>313</v>
      </c>
      <c r="P35" s="72"/>
      <c r="Q35" s="10" t="s">
        <v>40</v>
      </c>
      <c r="R35" s="17"/>
      <c r="S35" s="17"/>
      <c r="T35" s="17"/>
      <c r="U35" s="17"/>
      <c r="V35" s="17"/>
      <c r="W35" s="17"/>
    </row>
    <row r="36" spans="1:23" s="20" customFormat="1" ht="14.25" customHeight="1">
      <c r="A36" s="880">
        <v>44496</v>
      </c>
      <c r="B36" s="76" t="s">
        <v>23</v>
      </c>
      <c r="C36" s="10" t="s">
        <v>7388</v>
      </c>
      <c r="D36" s="29" t="s">
        <v>31</v>
      </c>
      <c r="E36" s="739" t="s">
        <v>7389</v>
      </c>
      <c r="F36" s="739" t="s">
        <v>7390</v>
      </c>
      <c r="G36" s="16">
        <v>1</v>
      </c>
      <c r="H36" s="20">
        <v>184000</v>
      </c>
      <c r="I36" s="17">
        <f t="shared" si="0"/>
        <v>184000</v>
      </c>
      <c r="J36" s="17"/>
      <c r="K36" s="17">
        <f t="shared" si="1"/>
        <v>184000</v>
      </c>
      <c r="L36" s="17"/>
      <c r="M36" s="17"/>
      <c r="N36" s="17">
        <f t="shared" si="2"/>
        <v>184000</v>
      </c>
      <c r="O36" s="76" t="s">
        <v>23</v>
      </c>
      <c r="P36" s="72"/>
      <c r="Q36" s="10" t="s">
        <v>35</v>
      </c>
      <c r="R36" s="17"/>
      <c r="S36" s="17"/>
      <c r="T36" s="17"/>
      <c r="U36" s="17"/>
      <c r="V36" s="17"/>
      <c r="W36" s="17"/>
    </row>
    <row r="37" spans="1:23" s="20" customFormat="1" ht="14.25" customHeight="1">
      <c r="A37" s="880">
        <v>44497</v>
      </c>
      <c r="B37" s="76" t="s">
        <v>43</v>
      </c>
      <c r="C37" s="11" t="s">
        <v>7391</v>
      </c>
      <c r="D37" s="29" t="s">
        <v>7392</v>
      </c>
      <c r="E37" s="76" t="s">
        <v>4636</v>
      </c>
      <c r="F37" s="76" t="s">
        <v>4637</v>
      </c>
      <c r="G37" s="16">
        <v>1</v>
      </c>
      <c r="H37" s="20">
        <v>96000</v>
      </c>
      <c r="I37" s="17">
        <f t="shared" si="0"/>
        <v>96000</v>
      </c>
      <c r="J37" s="17"/>
      <c r="K37" s="17">
        <f t="shared" si="1"/>
        <v>96000</v>
      </c>
      <c r="L37" s="17"/>
      <c r="M37" s="17">
        <v>-5376</v>
      </c>
      <c r="N37" s="17">
        <f t="shared" si="2"/>
        <v>90624</v>
      </c>
      <c r="O37" s="76" t="s">
        <v>43</v>
      </c>
      <c r="P37" s="72"/>
      <c r="Q37" s="10" t="s">
        <v>176</v>
      </c>
      <c r="R37" s="17"/>
      <c r="S37" s="17"/>
      <c r="T37" s="17"/>
      <c r="U37" s="17"/>
      <c r="V37" s="17"/>
      <c r="W37" s="17"/>
    </row>
    <row r="38" spans="1:23" s="20" customFormat="1" ht="14.25" customHeight="1">
      <c r="A38" s="880">
        <v>44497</v>
      </c>
      <c r="B38" s="76" t="s">
        <v>43</v>
      </c>
      <c r="C38" s="11" t="s">
        <v>7393</v>
      </c>
      <c r="D38" s="29" t="s">
        <v>7394</v>
      </c>
      <c r="E38" s="76" t="s">
        <v>1772</v>
      </c>
      <c r="F38" s="76" t="s">
        <v>1773</v>
      </c>
      <c r="G38" s="16">
        <v>1</v>
      </c>
      <c r="H38" s="20">
        <v>65500</v>
      </c>
      <c r="I38" s="17">
        <f t="shared" si="0"/>
        <v>65500</v>
      </c>
      <c r="J38" s="17"/>
      <c r="K38" s="17">
        <f t="shared" si="1"/>
        <v>65500</v>
      </c>
      <c r="L38" s="17"/>
      <c r="M38" s="17">
        <v>-3668</v>
      </c>
      <c r="N38" s="17">
        <f t="shared" si="2"/>
        <v>61832</v>
      </c>
      <c r="O38" s="76" t="s">
        <v>43</v>
      </c>
      <c r="P38" s="72"/>
      <c r="Q38" s="10" t="s">
        <v>176</v>
      </c>
      <c r="R38" s="17"/>
      <c r="S38" s="17"/>
      <c r="T38" s="17"/>
      <c r="U38" s="17"/>
      <c r="V38" s="17"/>
      <c r="W38" s="17"/>
    </row>
    <row r="39" spans="1:23" s="20" customFormat="1" ht="14.25" customHeight="1">
      <c r="A39" s="880">
        <v>44497</v>
      </c>
      <c r="B39" s="76" t="s">
        <v>43</v>
      </c>
      <c r="C39" s="11" t="s">
        <v>7395</v>
      </c>
      <c r="D39" s="29" t="s">
        <v>7396</v>
      </c>
      <c r="E39" s="929" t="s">
        <v>6724</v>
      </c>
      <c r="F39" s="929" t="s">
        <v>6725</v>
      </c>
      <c r="G39" s="16">
        <v>1</v>
      </c>
      <c r="H39" s="20">
        <v>62000</v>
      </c>
      <c r="I39" s="17">
        <f t="shared" si="0"/>
        <v>62000</v>
      </c>
      <c r="J39" s="17">
        <f>I39*15%</f>
        <v>9300</v>
      </c>
      <c r="K39" s="17">
        <f t="shared" si="1"/>
        <v>52700</v>
      </c>
      <c r="L39" s="17">
        <v>-8806</v>
      </c>
      <c r="M39" s="17"/>
      <c r="N39" s="17">
        <f t="shared" si="2"/>
        <v>43894</v>
      </c>
      <c r="O39" s="76" t="s">
        <v>43</v>
      </c>
      <c r="P39" s="72"/>
      <c r="Q39" s="10" t="s">
        <v>176</v>
      </c>
      <c r="R39" s="17"/>
      <c r="S39" s="17"/>
      <c r="T39" s="17"/>
      <c r="U39" s="17"/>
      <c r="V39" s="17"/>
      <c r="W39" s="17"/>
    </row>
    <row r="40" spans="1:23" s="20" customFormat="1" ht="14.25" customHeight="1">
      <c r="A40" s="880">
        <v>44497</v>
      </c>
      <c r="B40" s="76" t="s">
        <v>43</v>
      </c>
      <c r="C40" s="11" t="s">
        <v>7395</v>
      </c>
      <c r="D40" s="29" t="s">
        <v>7397</v>
      </c>
      <c r="E40" s="929" t="s">
        <v>6860</v>
      </c>
      <c r="F40" s="929" t="s">
        <v>6861</v>
      </c>
      <c r="G40" s="16">
        <v>1</v>
      </c>
      <c r="H40" s="20">
        <v>123000</v>
      </c>
      <c r="I40" s="17">
        <f t="shared" si="0"/>
        <v>123000</v>
      </c>
      <c r="J40" s="17">
        <f>I40*15%</f>
        <v>18450</v>
      </c>
      <c r="K40" s="17">
        <f t="shared" si="1"/>
        <v>104550</v>
      </c>
      <c r="L40" s="17"/>
      <c r="M40" s="17"/>
      <c r="N40" s="17">
        <f t="shared" si="2"/>
        <v>104550</v>
      </c>
      <c r="O40" s="76" t="s">
        <v>43</v>
      </c>
      <c r="P40" s="72"/>
      <c r="Q40" s="10" t="s">
        <v>176</v>
      </c>
      <c r="R40" s="17"/>
      <c r="S40" s="17"/>
      <c r="T40" s="17"/>
      <c r="U40" s="17"/>
      <c r="V40" s="17"/>
      <c r="W40" s="17"/>
    </row>
    <row r="41" spans="1:23" s="20" customFormat="1" ht="14.25" customHeight="1">
      <c r="A41" s="880">
        <v>44497</v>
      </c>
      <c r="B41" s="76" t="s">
        <v>43</v>
      </c>
      <c r="C41" s="11" t="s">
        <v>7398</v>
      </c>
      <c r="D41" s="29" t="s">
        <v>7399</v>
      </c>
      <c r="E41" s="739" t="s">
        <v>5660</v>
      </c>
      <c r="F41" s="739" t="s">
        <v>5661</v>
      </c>
      <c r="G41" s="16">
        <v>1</v>
      </c>
      <c r="H41" s="20">
        <v>114000</v>
      </c>
      <c r="I41" s="17">
        <f t="shared" si="0"/>
        <v>114000</v>
      </c>
      <c r="J41" s="17"/>
      <c r="K41" s="17">
        <f t="shared" si="1"/>
        <v>114000</v>
      </c>
      <c r="L41" s="17">
        <v>-6384</v>
      </c>
      <c r="M41" s="17"/>
      <c r="N41" s="17">
        <f t="shared" si="2"/>
        <v>107616</v>
      </c>
      <c r="O41" s="76" t="s">
        <v>43</v>
      </c>
      <c r="P41" s="72"/>
      <c r="Q41" s="10" t="s">
        <v>176</v>
      </c>
      <c r="R41" s="17"/>
      <c r="S41" s="17"/>
      <c r="T41" s="17"/>
      <c r="U41" s="17"/>
      <c r="V41" s="17"/>
      <c r="W41" s="17"/>
    </row>
    <row r="42" spans="1:23" s="20" customFormat="1" ht="14.25" customHeight="1">
      <c r="A42" s="880">
        <v>44497</v>
      </c>
      <c r="B42" s="76" t="s">
        <v>43</v>
      </c>
      <c r="C42" s="11" t="s">
        <v>7400</v>
      </c>
      <c r="D42" s="29" t="s">
        <v>7401</v>
      </c>
      <c r="E42" s="739" t="s">
        <v>5932</v>
      </c>
      <c r="F42" s="739" t="s">
        <v>5933</v>
      </c>
      <c r="G42" s="16">
        <v>1</v>
      </c>
      <c r="H42" s="20">
        <v>57000</v>
      </c>
      <c r="I42" s="17">
        <f t="shared" si="0"/>
        <v>57000</v>
      </c>
      <c r="J42" s="17"/>
      <c r="K42" s="17">
        <f t="shared" si="1"/>
        <v>57000</v>
      </c>
      <c r="L42" s="17">
        <v>-3192</v>
      </c>
      <c r="M42" s="17"/>
      <c r="N42" s="17">
        <f t="shared" si="2"/>
        <v>53808</v>
      </c>
      <c r="O42" s="76" t="s">
        <v>43</v>
      </c>
      <c r="P42" s="72"/>
      <c r="Q42" s="10" t="s">
        <v>176</v>
      </c>
      <c r="R42" s="17"/>
      <c r="S42" s="17"/>
      <c r="T42" s="17"/>
      <c r="U42" s="17"/>
      <c r="V42" s="17"/>
      <c r="W42" s="17"/>
    </row>
    <row r="43" spans="1:23" s="20" customFormat="1" ht="14.25" customHeight="1">
      <c r="A43" s="880">
        <v>44497</v>
      </c>
      <c r="B43" s="76" t="s">
        <v>177</v>
      </c>
      <c r="C43" s="10" t="s">
        <v>7402</v>
      </c>
      <c r="D43" s="29" t="s">
        <v>7403</v>
      </c>
      <c r="E43" s="76" t="s">
        <v>7404</v>
      </c>
      <c r="F43" s="76" t="s">
        <v>7405</v>
      </c>
      <c r="G43" s="16">
        <v>1</v>
      </c>
      <c r="H43" s="20">
        <v>83000</v>
      </c>
      <c r="I43" s="17">
        <f t="shared" si="0"/>
        <v>83000</v>
      </c>
      <c r="J43" s="17"/>
      <c r="K43" s="17">
        <f t="shared" si="1"/>
        <v>83000</v>
      </c>
      <c r="L43" s="17">
        <v>7000</v>
      </c>
      <c r="M43" s="17"/>
      <c r="N43" s="17">
        <f t="shared" si="2"/>
        <v>90000</v>
      </c>
      <c r="O43" s="76" t="s">
        <v>177</v>
      </c>
      <c r="P43" s="72"/>
      <c r="Q43" s="10" t="s">
        <v>54</v>
      </c>
      <c r="R43" s="17"/>
      <c r="S43" s="17"/>
      <c r="T43" s="17"/>
      <c r="U43" s="17"/>
      <c r="V43" s="17"/>
      <c r="W43" s="17"/>
    </row>
    <row r="44" spans="1:23" s="20" customFormat="1" ht="14.25" customHeight="1">
      <c r="A44" s="880">
        <v>44497</v>
      </c>
      <c r="B44" s="76" t="s">
        <v>313</v>
      </c>
      <c r="C44" s="11" t="s">
        <v>7406</v>
      </c>
      <c r="D44" s="29" t="s">
        <v>7407</v>
      </c>
      <c r="E44" s="76" t="s">
        <v>7408</v>
      </c>
      <c r="F44" s="76" t="s">
        <v>7409</v>
      </c>
      <c r="G44" s="16">
        <v>1</v>
      </c>
      <c r="H44" s="20">
        <v>92000</v>
      </c>
      <c r="I44" s="17">
        <f t="shared" si="0"/>
        <v>92000</v>
      </c>
      <c r="J44" s="17"/>
      <c r="K44" s="17">
        <f t="shared" si="1"/>
        <v>92000</v>
      </c>
      <c r="L44" s="17">
        <v>23073</v>
      </c>
      <c r="M44" s="17"/>
      <c r="N44" s="17">
        <f t="shared" si="2"/>
        <v>115073</v>
      </c>
      <c r="O44" s="76" t="s">
        <v>313</v>
      </c>
      <c r="P44" s="183"/>
      <c r="Q44" s="10" t="s">
        <v>54</v>
      </c>
      <c r="R44" s="17"/>
      <c r="S44" s="13"/>
      <c r="T44" s="17"/>
      <c r="U44" s="17"/>
      <c r="V44" s="17"/>
      <c r="W44" s="17"/>
    </row>
    <row r="45" spans="1:23" s="20" customFormat="1" ht="14.25" customHeight="1">
      <c r="A45" s="880">
        <v>44497</v>
      </c>
      <c r="B45" s="76" t="s">
        <v>23</v>
      </c>
      <c r="C45" s="11" t="s">
        <v>7410</v>
      </c>
      <c r="D45" s="29" t="s">
        <v>7411</v>
      </c>
      <c r="E45" s="739" t="s">
        <v>7412</v>
      </c>
      <c r="F45" s="739" t="s">
        <v>7413</v>
      </c>
      <c r="G45" s="16">
        <v>1</v>
      </c>
      <c r="H45" s="20">
        <v>57000</v>
      </c>
      <c r="I45" s="17">
        <f t="shared" si="0"/>
        <v>57000</v>
      </c>
      <c r="J45" s="17"/>
      <c r="K45" s="17">
        <f t="shared" si="1"/>
        <v>57000</v>
      </c>
      <c r="L45" s="17">
        <v>64000</v>
      </c>
      <c r="M45" s="17"/>
      <c r="N45" s="17">
        <f t="shared" si="2"/>
        <v>121000</v>
      </c>
      <c r="O45" s="76" t="s">
        <v>23</v>
      </c>
      <c r="P45" s="72"/>
      <c r="Q45" s="10" t="s">
        <v>54</v>
      </c>
      <c r="R45" s="17"/>
      <c r="S45" s="17"/>
      <c r="T45" s="17"/>
      <c r="U45" s="17"/>
      <c r="V45" s="17"/>
      <c r="W45" s="17"/>
    </row>
    <row r="46" spans="1:23" s="20" customFormat="1" ht="14.25" customHeight="1">
      <c r="A46" s="880">
        <v>44497</v>
      </c>
      <c r="B46" s="76" t="s">
        <v>23</v>
      </c>
      <c r="C46" s="10" t="s">
        <v>7414</v>
      </c>
      <c r="D46" s="29" t="s">
        <v>9453</v>
      </c>
      <c r="E46" s="907" t="s">
        <v>1056</v>
      </c>
      <c r="F46" s="907" t="s">
        <v>1057</v>
      </c>
      <c r="G46" s="933">
        <v>1</v>
      </c>
      <c r="H46" s="20">
        <v>193000</v>
      </c>
      <c r="I46" s="17">
        <f t="shared" si="0"/>
        <v>193000</v>
      </c>
      <c r="J46" s="17"/>
      <c r="K46" s="17">
        <f t="shared" si="1"/>
        <v>193000</v>
      </c>
      <c r="L46" s="17">
        <v>75000</v>
      </c>
      <c r="M46" s="17"/>
      <c r="N46" s="17">
        <f t="shared" si="2"/>
        <v>268000</v>
      </c>
      <c r="O46" s="76" t="s">
        <v>23</v>
      </c>
      <c r="P46" s="92"/>
      <c r="Q46" s="10" t="s">
        <v>54</v>
      </c>
      <c r="R46" s="17"/>
      <c r="S46" s="17"/>
      <c r="T46" s="17"/>
      <c r="U46" s="17"/>
      <c r="V46" s="17"/>
      <c r="W46" s="17"/>
    </row>
    <row r="47" spans="1:23" s="20" customFormat="1" ht="14.25" customHeight="1">
      <c r="A47" s="880">
        <v>44497</v>
      </c>
      <c r="B47" s="76" t="s">
        <v>23</v>
      </c>
      <c r="C47" s="10" t="s">
        <v>7414</v>
      </c>
      <c r="D47" s="29" t="s">
        <v>9453</v>
      </c>
      <c r="E47" s="907" t="s">
        <v>4384</v>
      </c>
      <c r="F47" s="907" t="s">
        <v>1323</v>
      </c>
      <c r="G47" s="16">
        <v>1</v>
      </c>
      <c r="H47" s="20">
        <v>98500</v>
      </c>
      <c r="I47" s="17">
        <f t="shared" si="0"/>
        <v>98500</v>
      </c>
      <c r="J47" s="17"/>
      <c r="K47" s="17">
        <f t="shared" si="1"/>
        <v>98500</v>
      </c>
      <c r="L47" s="17"/>
      <c r="M47" s="17"/>
      <c r="N47" s="17">
        <f t="shared" si="2"/>
        <v>98500</v>
      </c>
      <c r="O47" s="76" t="s">
        <v>23</v>
      </c>
      <c r="P47" s="183"/>
      <c r="Q47" s="10" t="s">
        <v>54</v>
      </c>
      <c r="R47" s="17"/>
      <c r="S47" s="17"/>
      <c r="T47" s="17"/>
      <c r="U47" s="17"/>
      <c r="V47" s="17"/>
      <c r="W47" s="17"/>
    </row>
    <row r="48" spans="1:23" s="20" customFormat="1" ht="14.25" customHeight="1">
      <c r="A48" s="880">
        <v>44497</v>
      </c>
      <c r="B48" s="76" t="s">
        <v>23</v>
      </c>
      <c r="C48" s="11" t="s">
        <v>7415</v>
      </c>
      <c r="D48" s="29" t="s">
        <v>7416</v>
      </c>
      <c r="E48" s="739" t="s">
        <v>1758</v>
      </c>
      <c r="F48" s="739" t="s">
        <v>1759</v>
      </c>
      <c r="G48" s="16">
        <v>1</v>
      </c>
      <c r="H48" s="20">
        <v>55000</v>
      </c>
      <c r="I48" s="17">
        <f t="shared" si="0"/>
        <v>55000</v>
      </c>
      <c r="J48" s="17"/>
      <c r="K48" s="17">
        <f t="shared" si="1"/>
        <v>55000</v>
      </c>
      <c r="L48" s="17">
        <v>68000</v>
      </c>
      <c r="M48" s="17"/>
      <c r="N48" s="17">
        <f t="shared" si="2"/>
        <v>123000</v>
      </c>
      <c r="O48" s="76" t="s">
        <v>23</v>
      </c>
      <c r="P48" s="183"/>
      <c r="Q48" s="10" t="s">
        <v>54</v>
      </c>
      <c r="R48" s="17"/>
      <c r="S48" s="17"/>
      <c r="T48" s="17"/>
      <c r="U48" s="17"/>
      <c r="V48" s="17"/>
      <c r="W48" s="17"/>
    </row>
    <row r="49" spans="1:23" s="20" customFormat="1" ht="14.25" customHeight="1">
      <c r="A49" s="880">
        <v>44497</v>
      </c>
      <c r="B49" s="76" t="s">
        <v>23</v>
      </c>
      <c r="C49" s="11" t="s">
        <v>7417</v>
      </c>
      <c r="D49" s="29" t="s">
        <v>7418</v>
      </c>
      <c r="E49" s="76" t="s">
        <v>4200</v>
      </c>
      <c r="F49" s="76" t="s">
        <v>4201</v>
      </c>
      <c r="G49" s="16">
        <v>1</v>
      </c>
      <c r="H49" s="20">
        <v>62500</v>
      </c>
      <c r="I49" s="17">
        <f t="shared" si="0"/>
        <v>62500</v>
      </c>
      <c r="J49" s="17"/>
      <c r="K49" s="17">
        <f t="shared" si="1"/>
        <v>62500</v>
      </c>
      <c r="L49" s="17">
        <v>64000</v>
      </c>
      <c r="M49" s="17"/>
      <c r="N49" s="17">
        <f t="shared" si="2"/>
        <v>126500</v>
      </c>
      <c r="O49" s="76" t="s">
        <v>23</v>
      </c>
      <c r="P49" s="183"/>
      <c r="Q49" s="10" t="s">
        <v>54</v>
      </c>
      <c r="R49" s="17"/>
      <c r="S49" s="17"/>
      <c r="T49" s="17"/>
      <c r="U49" s="17"/>
      <c r="V49" s="17"/>
      <c r="W49" s="17"/>
    </row>
    <row r="50" spans="1:23" s="20" customFormat="1" ht="14.25" customHeight="1">
      <c r="A50" s="880">
        <v>44497</v>
      </c>
      <c r="B50" s="76" t="s">
        <v>23</v>
      </c>
      <c r="C50" s="11" t="s">
        <v>7419</v>
      </c>
      <c r="D50" s="29" t="s">
        <v>7420</v>
      </c>
      <c r="E50" s="908" t="s">
        <v>4279</v>
      </c>
      <c r="F50" s="908" t="s">
        <v>4280</v>
      </c>
      <c r="G50" s="16">
        <v>1</v>
      </c>
      <c r="H50" s="20">
        <v>142000</v>
      </c>
      <c r="I50" s="17">
        <f t="shared" si="0"/>
        <v>142000</v>
      </c>
      <c r="J50" s="17"/>
      <c r="K50" s="17">
        <f t="shared" si="1"/>
        <v>142000</v>
      </c>
      <c r="L50" s="17">
        <v>32000</v>
      </c>
      <c r="M50" s="17"/>
      <c r="N50" s="17">
        <f t="shared" si="2"/>
        <v>174000</v>
      </c>
      <c r="O50" s="76" t="s">
        <v>23</v>
      </c>
      <c r="P50" s="183"/>
      <c r="Q50" s="10" t="s">
        <v>54</v>
      </c>
      <c r="R50" s="17"/>
      <c r="S50" s="17"/>
      <c r="T50" s="17"/>
      <c r="U50" s="17"/>
      <c r="V50" s="17"/>
      <c r="W50" s="17"/>
    </row>
    <row r="51" spans="1:23" s="20" customFormat="1" ht="14.25" customHeight="1">
      <c r="A51" s="880">
        <v>44497</v>
      </c>
      <c r="B51" s="76" t="s">
        <v>23</v>
      </c>
      <c r="C51" s="11" t="s">
        <v>7419</v>
      </c>
      <c r="D51" s="29" t="s">
        <v>7420</v>
      </c>
      <c r="E51" s="908" t="s">
        <v>5867</v>
      </c>
      <c r="F51" s="908" t="s">
        <v>2353</v>
      </c>
      <c r="G51" s="16">
        <v>1</v>
      </c>
      <c r="H51" s="20">
        <v>116000</v>
      </c>
      <c r="I51" s="17">
        <f t="shared" si="0"/>
        <v>116000</v>
      </c>
      <c r="J51" s="888"/>
      <c r="K51" s="17">
        <f t="shared" si="1"/>
        <v>116000</v>
      </c>
      <c r="L51" s="888"/>
      <c r="M51" s="888"/>
      <c r="N51" s="17">
        <f t="shared" si="2"/>
        <v>116000</v>
      </c>
      <c r="O51" s="76" t="s">
        <v>23</v>
      </c>
      <c r="P51" s="921"/>
      <c r="Q51" s="10" t="s">
        <v>54</v>
      </c>
      <c r="R51" s="888"/>
      <c r="S51" s="888"/>
      <c r="T51" s="888"/>
      <c r="U51" s="888"/>
      <c r="V51" s="888"/>
      <c r="W51" s="888"/>
    </row>
    <row r="52" spans="1:23" s="20" customFormat="1" ht="14.25" customHeight="1">
      <c r="A52" s="880">
        <v>44497</v>
      </c>
      <c r="B52" s="76" t="s">
        <v>23</v>
      </c>
      <c r="C52" s="11" t="s">
        <v>7419</v>
      </c>
      <c r="D52" s="29" t="s">
        <v>7420</v>
      </c>
      <c r="E52" s="907" t="s">
        <v>6096</v>
      </c>
      <c r="F52" s="907" t="s">
        <v>6097</v>
      </c>
      <c r="G52" s="16">
        <v>1</v>
      </c>
      <c r="H52" s="20">
        <v>138000</v>
      </c>
      <c r="I52" s="17">
        <f t="shared" si="0"/>
        <v>138000</v>
      </c>
      <c r="J52" s="888"/>
      <c r="K52" s="17">
        <f t="shared" si="1"/>
        <v>138000</v>
      </c>
      <c r="L52" s="888"/>
      <c r="M52" s="888"/>
      <c r="N52" s="17">
        <f t="shared" si="2"/>
        <v>138000</v>
      </c>
      <c r="O52" s="76" t="s">
        <v>23</v>
      </c>
      <c r="P52" s="922"/>
      <c r="Q52" s="10" t="s">
        <v>54</v>
      </c>
      <c r="R52" s="888"/>
      <c r="S52" s="888"/>
      <c r="T52" s="888"/>
      <c r="U52" s="888"/>
      <c r="V52" s="888"/>
      <c r="W52" s="888"/>
    </row>
    <row r="53" spans="1:23" s="20" customFormat="1" ht="14.25" customHeight="1">
      <c r="A53" s="880">
        <v>44497</v>
      </c>
      <c r="B53" s="76" t="s">
        <v>23</v>
      </c>
      <c r="C53" s="11" t="s">
        <v>7419</v>
      </c>
      <c r="D53" s="29" t="s">
        <v>7420</v>
      </c>
      <c r="E53" s="908" t="s">
        <v>2395</v>
      </c>
      <c r="F53" s="908" t="s">
        <v>2396</v>
      </c>
      <c r="G53" s="16">
        <v>1</v>
      </c>
      <c r="H53" s="20">
        <v>296000</v>
      </c>
      <c r="I53" s="17">
        <f t="shared" si="0"/>
        <v>296000</v>
      </c>
      <c r="J53" s="888"/>
      <c r="K53" s="17">
        <f t="shared" si="1"/>
        <v>296000</v>
      </c>
      <c r="L53" s="888"/>
      <c r="M53" s="888"/>
      <c r="N53" s="17">
        <f t="shared" si="2"/>
        <v>296000</v>
      </c>
      <c r="O53" s="76" t="s">
        <v>23</v>
      </c>
      <c r="P53" s="922"/>
      <c r="Q53" s="10" t="s">
        <v>54</v>
      </c>
      <c r="R53" s="888"/>
      <c r="S53" s="924"/>
      <c r="T53" s="888"/>
      <c r="U53" s="888"/>
      <c r="V53" s="888"/>
      <c r="W53" s="888"/>
    </row>
    <row r="54" spans="1:23" s="20" customFormat="1" ht="14.25" customHeight="1">
      <c r="A54" s="880">
        <v>44497</v>
      </c>
      <c r="B54" s="76" t="s">
        <v>23</v>
      </c>
      <c r="C54" s="11" t="s">
        <v>7419</v>
      </c>
      <c r="D54" s="29" t="s">
        <v>7420</v>
      </c>
      <c r="E54" s="908" t="s">
        <v>7421</v>
      </c>
      <c r="F54" s="908" t="s">
        <v>7422</v>
      </c>
      <c r="G54" s="16">
        <v>1</v>
      </c>
      <c r="H54" s="20">
        <v>148000</v>
      </c>
      <c r="I54" s="17">
        <f t="shared" si="0"/>
        <v>148000</v>
      </c>
      <c r="J54" s="888"/>
      <c r="K54" s="17">
        <f t="shared" si="1"/>
        <v>148000</v>
      </c>
      <c r="L54" s="888"/>
      <c r="M54" s="888"/>
      <c r="N54" s="17">
        <f t="shared" si="2"/>
        <v>148000</v>
      </c>
      <c r="O54" s="76" t="s">
        <v>23</v>
      </c>
      <c r="P54" s="922"/>
      <c r="Q54" s="10" t="s">
        <v>54</v>
      </c>
      <c r="R54" s="888"/>
      <c r="S54" s="924"/>
      <c r="T54" s="888"/>
      <c r="U54" s="888"/>
      <c r="V54" s="888"/>
      <c r="W54" s="888"/>
    </row>
    <row r="55" spans="1:23" s="20" customFormat="1" ht="14.25" customHeight="1">
      <c r="A55" s="880">
        <v>44497</v>
      </c>
      <c r="B55" s="76" t="s">
        <v>23</v>
      </c>
      <c r="C55" s="11" t="s">
        <v>7423</v>
      </c>
      <c r="D55" s="29" t="s">
        <v>7424</v>
      </c>
      <c r="E55" s="76" t="s">
        <v>7425</v>
      </c>
      <c r="F55" s="76" t="s">
        <v>7426</v>
      </c>
      <c r="G55" s="16">
        <v>1</v>
      </c>
      <c r="H55" s="20">
        <v>88500</v>
      </c>
      <c r="I55" s="17">
        <f t="shared" si="0"/>
        <v>88500</v>
      </c>
      <c r="J55" s="888"/>
      <c r="K55" s="17">
        <f t="shared" si="1"/>
        <v>88500</v>
      </c>
      <c r="L55" s="888">
        <v>17000</v>
      </c>
      <c r="M55" s="888"/>
      <c r="N55" s="17">
        <f t="shared" si="2"/>
        <v>105500</v>
      </c>
      <c r="O55" s="76" t="s">
        <v>23</v>
      </c>
      <c r="P55" s="922"/>
      <c r="Q55" s="10" t="s">
        <v>40</v>
      </c>
      <c r="R55" s="888"/>
      <c r="S55" s="888"/>
      <c r="T55" s="888"/>
      <c r="U55" s="888"/>
      <c r="V55" s="888"/>
      <c r="W55" s="888"/>
    </row>
    <row r="56" spans="1:23" s="20" customFormat="1" ht="14.25" customHeight="1">
      <c r="A56" s="880">
        <v>44498</v>
      </c>
      <c r="B56" s="76" t="s">
        <v>43</v>
      </c>
      <c r="C56" s="10" t="s">
        <v>7427</v>
      </c>
      <c r="D56" s="887" t="s">
        <v>9452</v>
      </c>
      <c r="E56" s="76" t="s">
        <v>7428</v>
      </c>
      <c r="F56" s="76" t="s">
        <v>7429</v>
      </c>
      <c r="G56" s="16">
        <v>1</v>
      </c>
      <c r="H56" s="888">
        <v>93500</v>
      </c>
      <c r="I56" s="17">
        <f t="shared" si="0"/>
        <v>93500</v>
      </c>
      <c r="J56" s="888"/>
      <c r="K56" s="17">
        <f t="shared" si="1"/>
        <v>93500</v>
      </c>
      <c r="L56" s="888">
        <v>17000</v>
      </c>
      <c r="M56" s="888"/>
      <c r="N56" s="17">
        <f t="shared" si="2"/>
        <v>110500</v>
      </c>
      <c r="O56" s="76" t="s">
        <v>43</v>
      </c>
      <c r="P56" s="921"/>
      <c r="Q56" s="10" t="s">
        <v>176</v>
      </c>
      <c r="R56" s="888"/>
      <c r="S56" s="888"/>
      <c r="T56" s="888"/>
      <c r="U56" s="888"/>
      <c r="V56" s="888"/>
      <c r="W56" s="888"/>
    </row>
    <row r="57" spans="1:23" s="20" customFormat="1" ht="14.25" customHeight="1">
      <c r="A57" s="880">
        <v>44498</v>
      </c>
      <c r="B57" s="76" t="s">
        <v>313</v>
      </c>
      <c r="C57" s="10" t="s">
        <v>7430</v>
      </c>
      <c r="D57" s="887" t="s">
        <v>7431</v>
      </c>
      <c r="E57" s="934" t="s">
        <v>781</v>
      </c>
      <c r="F57" s="934" t="s">
        <v>782</v>
      </c>
      <c r="G57" s="16">
        <v>1</v>
      </c>
      <c r="H57" s="20">
        <v>57500</v>
      </c>
      <c r="I57" s="17">
        <f t="shared" si="0"/>
        <v>57500</v>
      </c>
      <c r="K57" s="17">
        <f t="shared" si="1"/>
        <v>57500</v>
      </c>
      <c r="L57" s="888">
        <v>17051</v>
      </c>
      <c r="M57" s="888"/>
      <c r="N57" s="17">
        <f t="shared" si="2"/>
        <v>74551</v>
      </c>
      <c r="O57" s="76" t="s">
        <v>313</v>
      </c>
      <c r="P57" s="921"/>
      <c r="Q57" s="10" t="s">
        <v>40</v>
      </c>
      <c r="R57" s="888"/>
      <c r="S57" s="888"/>
      <c r="T57" s="888"/>
      <c r="U57" s="888"/>
      <c r="V57" s="888"/>
      <c r="W57" s="888"/>
    </row>
    <row r="58" spans="1:23" s="20" customFormat="1" ht="14.25" customHeight="1">
      <c r="A58" s="880">
        <v>44498</v>
      </c>
      <c r="B58" s="76" t="s">
        <v>313</v>
      </c>
      <c r="C58" s="10" t="s">
        <v>7430</v>
      </c>
      <c r="D58" s="887" t="s">
        <v>7431</v>
      </c>
      <c r="E58" s="934" t="s">
        <v>5699</v>
      </c>
      <c r="F58" s="934" t="s">
        <v>2311</v>
      </c>
      <c r="G58" s="16">
        <v>1</v>
      </c>
      <c r="H58" s="20">
        <v>76000</v>
      </c>
      <c r="I58" s="17">
        <f t="shared" si="0"/>
        <v>76000</v>
      </c>
      <c r="K58" s="17">
        <f t="shared" si="1"/>
        <v>76000</v>
      </c>
      <c r="L58" s="888"/>
      <c r="M58" s="888"/>
      <c r="N58" s="17">
        <f t="shared" si="2"/>
        <v>76000</v>
      </c>
      <c r="O58" s="76" t="s">
        <v>313</v>
      </c>
      <c r="P58" s="922"/>
      <c r="Q58" s="10" t="s">
        <v>40</v>
      </c>
      <c r="R58" s="888"/>
      <c r="S58" s="888"/>
      <c r="T58" s="888"/>
      <c r="U58" s="888"/>
      <c r="V58" s="888"/>
      <c r="W58" s="888"/>
    </row>
    <row r="59" spans="1:23" s="20" customFormat="1" ht="14.25" customHeight="1">
      <c r="A59" s="880">
        <v>44498</v>
      </c>
      <c r="B59" s="76" t="s">
        <v>313</v>
      </c>
      <c r="C59" s="10" t="s">
        <v>7430</v>
      </c>
      <c r="D59" s="887" t="s">
        <v>7431</v>
      </c>
      <c r="E59" s="934" t="s">
        <v>7432</v>
      </c>
      <c r="F59" s="934" t="s">
        <v>7433</v>
      </c>
      <c r="G59" s="16">
        <v>1</v>
      </c>
      <c r="H59" s="20">
        <v>63000</v>
      </c>
      <c r="I59" s="17">
        <f t="shared" si="0"/>
        <v>63000</v>
      </c>
      <c r="K59" s="17">
        <f t="shared" si="1"/>
        <v>63000</v>
      </c>
      <c r="L59" s="888"/>
      <c r="M59" s="888"/>
      <c r="N59" s="17">
        <f t="shared" si="2"/>
        <v>63000</v>
      </c>
      <c r="O59" s="76" t="s">
        <v>313</v>
      </c>
      <c r="P59" s="922"/>
      <c r="Q59" s="10" t="s">
        <v>40</v>
      </c>
      <c r="R59" s="888"/>
      <c r="S59" s="924"/>
      <c r="T59" s="888"/>
      <c r="U59" s="888"/>
      <c r="V59" s="888"/>
      <c r="W59" s="888"/>
    </row>
    <row r="60" spans="1:23" s="20" customFormat="1" ht="14.25" customHeight="1">
      <c r="A60" s="880">
        <v>44498</v>
      </c>
      <c r="B60" s="76" t="s">
        <v>313</v>
      </c>
      <c r="C60" s="10" t="s">
        <v>7430</v>
      </c>
      <c r="D60" s="887" t="s">
        <v>7431</v>
      </c>
      <c r="E60" s="935" t="s">
        <v>7434</v>
      </c>
      <c r="F60" s="913" t="s">
        <v>1542</v>
      </c>
      <c r="G60" s="16">
        <v>1</v>
      </c>
      <c r="H60" s="20">
        <v>122500</v>
      </c>
      <c r="I60" s="17">
        <f t="shared" si="0"/>
        <v>122500</v>
      </c>
      <c r="K60" s="17">
        <f t="shared" si="1"/>
        <v>122500</v>
      </c>
      <c r="L60" s="888"/>
      <c r="M60" s="888"/>
      <c r="N60" s="17">
        <f t="shared" si="2"/>
        <v>122500</v>
      </c>
      <c r="O60" s="76" t="s">
        <v>313</v>
      </c>
      <c r="P60" s="922"/>
      <c r="Q60" s="10" t="s">
        <v>40</v>
      </c>
      <c r="R60" s="888"/>
      <c r="S60" s="888"/>
      <c r="T60" s="888"/>
      <c r="U60" s="888"/>
      <c r="V60" s="888"/>
      <c r="W60" s="888"/>
    </row>
    <row r="61" spans="1:23" s="20" customFormat="1" ht="14.25" customHeight="1">
      <c r="A61" s="880">
        <v>44498</v>
      </c>
      <c r="B61" s="76" t="s">
        <v>43</v>
      </c>
      <c r="C61" s="11" t="s">
        <v>7435</v>
      </c>
      <c r="D61" s="887" t="s">
        <v>7436</v>
      </c>
      <c r="E61" s="76" t="s">
        <v>6749</v>
      </c>
      <c r="F61" s="76" t="s">
        <v>2986</v>
      </c>
      <c r="G61" s="16">
        <v>1</v>
      </c>
      <c r="H61" s="20">
        <v>90000</v>
      </c>
      <c r="I61" s="17">
        <f t="shared" si="0"/>
        <v>90000</v>
      </c>
      <c r="J61" s="20">
        <f>I61*15%</f>
        <v>13500</v>
      </c>
      <c r="K61" s="17">
        <f t="shared" si="1"/>
        <v>76500</v>
      </c>
      <c r="L61" s="888">
        <v>-4284</v>
      </c>
      <c r="M61" s="888"/>
      <c r="N61" s="17">
        <f t="shared" si="2"/>
        <v>72216</v>
      </c>
      <c r="O61" s="76" t="s">
        <v>43</v>
      </c>
      <c r="P61" s="922"/>
      <c r="Q61" s="10" t="s">
        <v>176</v>
      </c>
      <c r="R61" s="888"/>
      <c r="S61" s="888"/>
      <c r="T61" s="888"/>
      <c r="U61" s="888"/>
      <c r="V61" s="888"/>
      <c r="W61" s="888"/>
    </row>
    <row r="62" spans="1:23" s="20" customFormat="1" ht="14.25" customHeight="1">
      <c r="A62" s="936">
        <v>44501</v>
      </c>
      <c r="B62" s="76" t="s">
        <v>43</v>
      </c>
      <c r="C62" s="11" t="s">
        <v>7437</v>
      </c>
      <c r="D62" s="887" t="s">
        <v>7438</v>
      </c>
      <c r="E62" s="913" t="s">
        <v>6924</v>
      </c>
      <c r="F62" s="913" t="s">
        <v>6925</v>
      </c>
      <c r="G62" s="16">
        <v>1</v>
      </c>
      <c r="H62" s="20">
        <v>101500</v>
      </c>
      <c r="I62" s="17">
        <f t="shared" si="0"/>
        <v>101500</v>
      </c>
      <c r="J62" s="20">
        <f>I62*15%</f>
        <v>15225</v>
      </c>
      <c r="K62" s="17">
        <f t="shared" si="1"/>
        <v>86275</v>
      </c>
      <c r="L62" s="888">
        <v>-8069</v>
      </c>
      <c r="M62" s="888"/>
      <c r="N62" s="17">
        <f t="shared" si="2"/>
        <v>78206</v>
      </c>
      <c r="O62" s="76" t="s">
        <v>43</v>
      </c>
      <c r="P62" s="922"/>
      <c r="Q62" s="78" t="s">
        <v>176</v>
      </c>
      <c r="R62" s="888"/>
      <c r="S62" s="888"/>
      <c r="T62" s="888"/>
      <c r="U62" s="888"/>
      <c r="V62" s="888"/>
      <c r="W62" s="888"/>
    </row>
    <row r="63" spans="1:23" s="20" customFormat="1" ht="14.25" customHeight="1">
      <c r="A63" s="936">
        <v>44501</v>
      </c>
      <c r="B63" s="76" t="s">
        <v>43</v>
      </c>
      <c r="C63" s="11" t="s">
        <v>7437</v>
      </c>
      <c r="D63" s="887" t="s">
        <v>7439</v>
      </c>
      <c r="E63" s="913" t="s">
        <v>7440</v>
      </c>
      <c r="F63" s="913" t="s">
        <v>7441</v>
      </c>
      <c r="G63" s="16">
        <v>1</v>
      </c>
      <c r="H63" s="20">
        <v>68000</v>
      </c>
      <c r="I63" s="17">
        <f t="shared" si="0"/>
        <v>68000</v>
      </c>
      <c r="J63" s="20">
        <f>I63*15%</f>
        <v>10200</v>
      </c>
      <c r="K63" s="17">
        <f t="shared" si="1"/>
        <v>57800</v>
      </c>
      <c r="L63" s="17"/>
      <c r="M63" s="17"/>
      <c r="N63" s="17">
        <f t="shared" si="2"/>
        <v>57800</v>
      </c>
      <c r="O63" s="76" t="s">
        <v>43</v>
      </c>
      <c r="P63" s="72"/>
      <c r="Q63" s="78" t="s">
        <v>176</v>
      </c>
      <c r="R63" s="17"/>
      <c r="S63" s="17"/>
      <c r="T63" s="17"/>
      <c r="U63" s="17"/>
      <c r="V63" s="17"/>
      <c r="W63" s="17"/>
    </row>
    <row r="64" spans="1:23" s="20" customFormat="1" ht="14.25" customHeight="1">
      <c r="A64" s="936">
        <v>44501</v>
      </c>
      <c r="B64" s="76" t="s">
        <v>43</v>
      </c>
      <c r="C64" s="11" t="s">
        <v>7442</v>
      </c>
      <c r="D64" s="887" t="s">
        <v>7443</v>
      </c>
      <c r="E64" s="739" t="s">
        <v>306</v>
      </c>
      <c r="F64" s="739" t="s">
        <v>307</v>
      </c>
      <c r="G64" s="937">
        <v>1</v>
      </c>
      <c r="H64" s="20">
        <v>90500</v>
      </c>
      <c r="I64" s="17">
        <f t="shared" si="0"/>
        <v>90500</v>
      </c>
      <c r="J64" s="20">
        <f>I64*15%</f>
        <v>13575</v>
      </c>
      <c r="K64" s="17">
        <f t="shared" si="1"/>
        <v>76925</v>
      </c>
      <c r="L64" s="17">
        <v>-4308</v>
      </c>
      <c r="M64" s="17"/>
      <c r="N64" s="17">
        <f t="shared" si="2"/>
        <v>72617</v>
      </c>
      <c r="O64" s="76" t="s">
        <v>43</v>
      </c>
      <c r="P64" s="72"/>
      <c r="Q64" s="78" t="s">
        <v>176</v>
      </c>
      <c r="R64" s="17"/>
      <c r="S64" s="17"/>
      <c r="T64" s="17"/>
      <c r="U64" s="17"/>
      <c r="V64" s="17"/>
      <c r="W64" s="17"/>
    </row>
    <row r="65" spans="1:23" s="20" customFormat="1" ht="14.25" customHeight="1">
      <c r="A65" s="936">
        <v>44501</v>
      </c>
      <c r="B65" s="76" t="s">
        <v>43</v>
      </c>
      <c r="C65" s="11" t="s">
        <v>7444</v>
      </c>
      <c r="D65" s="887" t="s">
        <v>7445</v>
      </c>
      <c r="E65" s="76" t="s">
        <v>4574</v>
      </c>
      <c r="F65" s="76" t="s">
        <v>4048</v>
      </c>
      <c r="G65" s="405">
        <v>1</v>
      </c>
      <c r="H65" s="20">
        <v>192500</v>
      </c>
      <c r="I65" s="17">
        <f t="shared" si="0"/>
        <v>192500</v>
      </c>
      <c r="K65" s="17">
        <f t="shared" si="1"/>
        <v>192500</v>
      </c>
      <c r="L65" s="888">
        <v>-10780</v>
      </c>
      <c r="M65" s="17"/>
      <c r="N65" s="17">
        <f t="shared" si="2"/>
        <v>181720</v>
      </c>
      <c r="O65" s="76" t="s">
        <v>43</v>
      </c>
      <c r="P65" s="72"/>
      <c r="Q65" s="78" t="s">
        <v>54</v>
      </c>
      <c r="R65" s="17"/>
      <c r="S65" s="17"/>
      <c r="T65" s="17"/>
      <c r="U65" s="17"/>
      <c r="V65" s="17"/>
      <c r="W65" s="17"/>
    </row>
    <row r="66" spans="1:23" s="20" customFormat="1" ht="14.25" customHeight="1">
      <c r="A66" s="936">
        <v>44501</v>
      </c>
      <c r="B66" s="76" t="s">
        <v>43</v>
      </c>
      <c r="C66" s="11" t="s">
        <v>7446</v>
      </c>
      <c r="D66" s="887" t="s">
        <v>7447</v>
      </c>
      <c r="E66" s="76" t="s">
        <v>4574</v>
      </c>
      <c r="F66" s="76" t="s">
        <v>4048</v>
      </c>
      <c r="G66" s="405">
        <v>1</v>
      </c>
      <c r="H66" s="20">
        <v>192500</v>
      </c>
      <c r="I66" s="17">
        <f t="shared" si="0"/>
        <v>192500</v>
      </c>
      <c r="J66" s="20">
        <f>I66*15%</f>
        <v>28875</v>
      </c>
      <c r="K66" s="17">
        <f t="shared" si="1"/>
        <v>163625</v>
      </c>
      <c r="L66" s="888">
        <v>-9164</v>
      </c>
      <c r="M66" s="17"/>
      <c r="N66" s="17">
        <f t="shared" si="2"/>
        <v>154461</v>
      </c>
      <c r="O66" s="76" t="s">
        <v>43</v>
      </c>
      <c r="P66" s="72"/>
      <c r="Q66" s="78" t="s">
        <v>176</v>
      </c>
      <c r="R66" s="17"/>
      <c r="S66" s="17"/>
      <c r="T66" s="17"/>
      <c r="U66" s="17"/>
      <c r="V66" s="17"/>
      <c r="W66" s="17"/>
    </row>
    <row r="67" spans="1:23" s="20" customFormat="1">
      <c r="A67" s="936">
        <v>44501</v>
      </c>
      <c r="B67" s="76" t="s">
        <v>43</v>
      </c>
      <c r="C67" s="739" t="s">
        <v>7448</v>
      </c>
      <c r="D67" s="887" t="s">
        <v>7449</v>
      </c>
      <c r="E67" s="76" t="s">
        <v>339</v>
      </c>
      <c r="F67" s="76" t="s">
        <v>340</v>
      </c>
      <c r="G67" s="16">
        <v>1</v>
      </c>
      <c r="H67" s="20">
        <v>58500</v>
      </c>
      <c r="I67" s="17">
        <f t="shared" ref="I67:I130" si="3">H67*G67</f>
        <v>58500</v>
      </c>
      <c r="K67" s="17">
        <f t="shared" ref="K67:K130" si="4">I67-J67</f>
        <v>58500</v>
      </c>
      <c r="L67" s="888">
        <v>-3276</v>
      </c>
      <c r="M67" s="17"/>
      <c r="N67" s="17">
        <f t="shared" ref="N67:N130" si="5">K67+L67+M67</f>
        <v>55224</v>
      </c>
      <c r="O67" s="76" t="s">
        <v>43</v>
      </c>
      <c r="P67" s="72"/>
      <c r="Q67" s="78" t="s">
        <v>54</v>
      </c>
      <c r="R67" s="17"/>
      <c r="S67" s="17"/>
      <c r="T67" s="17"/>
      <c r="U67" s="17"/>
      <c r="V67" s="17"/>
      <c r="W67" s="17"/>
    </row>
    <row r="68" spans="1:23" s="20" customFormat="1">
      <c r="A68" s="936">
        <v>44501</v>
      </c>
      <c r="B68" s="76" t="s">
        <v>206</v>
      </c>
      <c r="C68" s="10" t="s">
        <v>7450</v>
      </c>
      <c r="D68" s="887" t="s">
        <v>7451</v>
      </c>
      <c r="E68" s="739" t="s">
        <v>7065</v>
      </c>
      <c r="F68" s="739" t="s">
        <v>7066</v>
      </c>
      <c r="G68" s="938">
        <v>1</v>
      </c>
      <c r="H68" s="20">
        <v>107000</v>
      </c>
      <c r="I68" s="17">
        <f t="shared" si="3"/>
        <v>107000</v>
      </c>
      <c r="K68" s="17">
        <f t="shared" si="4"/>
        <v>107000</v>
      </c>
      <c r="L68" s="17">
        <f>17500-17000</f>
        <v>500</v>
      </c>
      <c r="M68" s="17"/>
      <c r="N68" s="17">
        <f t="shared" si="5"/>
        <v>107500</v>
      </c>
      <c r="O68" s="76" t="s">
        <v>206</v>
      </c>
      <c r="P68" s="72"/>
      <c r="Q68" s="78" t="s">
        <v>176</v>
      </c>
      <c r="R68" s="17"/>
      <c r="S68" s="13"/>
      <c r="T68" s="17"/>
      <c r="U68" s="17"/>
      <c r="V68" s="17"/>
      <c r="W68" s="17"/>
    </row>
    <row r="69" spans="1:23" s="20" customFormat="1">
      <c r="A69" s="936">
        <v>44501</v>
      </c>
      <c r="B69" s="76" t="s">
        <v>177</v>
      </c>
      <c r="C69" s="11" t="s">
        <v>7452</v>
      </c>
      <c r="D69" s="887" t="s">
        <v>7453</v>
      </c>
      <c r="E69" s="739" t="s">
        <v>6429</v>
      </c>
      <c r="F69" s="739" t="s">
        <v>7454</v>
      </c>
      <c r="G69" s="16">
        <v>1</v>
      </c>
      <c r="H69" s="20">
        <v>135000</v>
      </c>
      <c r="I69" s="17">
        <f t="shared" si="3"/>
        <v>135000</v>
      </c>
      <c r="K69" s="17">
        <f t="shared" si="4"/>
        <v>135000</v>
      </c>
      <c r="L69" s="888">
        <v>9000</v>
      </c>
      <c r="M69" s="17"/>
      <c r="N69" s="17">
        <f t="shared" si="5"/>
        <v>144000</v>
      </c>
      <c r="O69" s="76" t="s">
        <v>177</v>
      </c>
      <c r="P69" s="183"/>
      <c r="Q69" s="78" t="s">
        <v>54</v>
      </c>
      <c r="R69" s="17"/>
      <c r="S69" s="17"/>
      <c r="T69" s="17"/>
      <c r="U69" s="17"/>
      <c r="V69" s="17"/>
      <c r="W69" s="17"/>
    </row>
    <row r="70" spans="1:23" s="20" customFormat="1">
      <c r="A70" s="936">
        <v>44501</v>
      </c>
      <c r="B70" s="76" t="s">
        <v>177</v>
      </c>
      <c r="C70" s="11" t="s">
        <v>7455</v>
      </c>
      <c r="D70" s="887" t="s">
        <v>7456</v>
      </c>
      <c r="E70" s="739" t="s">
        <v>7457</v>
      </c>
      <c r="F70" s="739" t="s">
        <v>7458</v>
      </c>
      <c r="G70" s="16">
        <v>1</v>
      </c>
      <c r="H70" s="20">
        <v>67000</v>
      </c>
      <c r="I70" s="17">
        <f t="shared" si="3"/>
        <v>67000</v>
      </c>
      <c r="K70" s="17">
        <f t="shared" si="4"/>
        <v>67000</v>
      </c>
      <c r="L70" s="888">
        <v>90500</v>
      </c>
      <c r="M70" s="17"/>
      <c r="N70" s="17">
        <f t="shared" si="5"/>
        <v>157500</v>
      </c>
      <c r="O70" s="76" t="s">
        <v>177</v>
      </c>
      <c r="P70" s="183"/>
      <c r="Q70" s="78" t="s">
        <v>54</v>
      </c>
      <c r="R70" s="17"/>
      <c r="S70" s="17"/>
      <c r="T70" s="17"/>
      <c r="U70" s="17"/>
      <c r="V70" s="17"/>
      <c r="W70" s="17"/>
    </row>
    <row r="71" spans="1:23" s="20" customFormat="1">
      <c r="A71" s="936">
        <v>44501</v>
      </c>
      <c r="B71" s="76" t="s">
        <v>177</v>
      </c>
      <c r="C71" s="10" t="s">
        <v>7459</v>
      </c>
      <c r="D71" s="887" t="s">
        <v>7460</v>
      </c>
      <c r="E71" s="739" t="s">
        <v>7461</v>
      </c>
      <c r="F71" s="739" t="s">
        <v>7462</v>
      </c>
      <c r="G71" s="16">
        <v>1</v>
      </c>
      <c r="H71" s="20">
        <v>65000</v>
      </c>
      <c r="I71" s="17">
        <f t="shared" si="3"/>
        <v>65000</v>
      </c>
      <c r="K71" s="17">
        <f t="shared" si="4"/>
        <v>65000</v>
      </c>
      <c r="L71" s="888">
        <v>7000</v>
      </c>
      <c r="M71" s="17"/>
      <c r="N71" s="17">
        <f t="shared" si="5"/>
        <v>72000</v>
      </c>
      <c r="O71" s="76" t="s">
        <v>177</v>
      </c>
      <c r="P71" s="183"/>
      <c r="Q71" s="78" t="s">
        <v>54</v>
      </c>
      <c r="R71" s="17"/>
      <c r="S71" s="17"/>
      <c r="T71" s="17"/>
      <c r="U71" s="17"/>
      <c r="V71" s="17"/>
      <c r="W71" s="17"/>
    </row>
    <row r="72" spans="1:23" s="20" customFormat="1">
      <c r="A72" s="880">
        <v>44502</v>
      </c>
      <c r="B72" s="76" t="s">
        <v>43</v>
      </c>
      <c r="C72" s="10" t="s">
        <v>7463</v>
      </c>
      <c r="D72" s="887" t="s">
        <v>7464</v>
      </c>
      <c r="E72" s="739" t="s">
        <v>1253</v>
      </c>
      <c r="F72" s="739" t="s">
        <v>1254</v>
      </c>
      <c r="G72" s="939">
        <v>1</v>
      </c>
      <c r="H72" s="20">
        <v>81000</v>
      </c>
      <c r="I72" s="17">
        <f t="shared" si="3"/>
        <v>81000</v>
      </c>
      <c r="K72" s="17">
        <f t="shared" si="4"/>
        <v>81000</v>
      </c>
      <c r="L72" s="17"/>
      <c r="M72" s="17">
        <v>-4536</v>
      </c>
      <c r="N72" s="17">
        <f t="shared" si="5"/>
        <v>76464</v>
      </c>
      <c r="O72" s="76" t="s">
        <v>43</v>
      </c>
      <c r="P72" s="183"/>
      <c r="Q72" s="10" t="s">
        <v>54</v>
      </c>
      <c r="R72" s="17"/>
      <c r="S72" s="17"/>
      <c r="T72" s="17"/>
      <c r="U72" s="17"/>
      <c r="V72" s="17"/>
      <c r="W72" s="17"/>
    </row>
    <row r="73" spans="1:23" s="20" customFormat="1">
      <c r="A73" s="880">
        <v>44502</v>
      </c>
      <c r="B73" s="76" t="s">
        <v>206</v>
      </c>
      <c r="C73" s="11" t="s">
        <v>7465</v>
      </c>
      <c r="D73" s="887" t="s">
        <v>7466</v>
      </c>
      <c r="E73" s="76" t="s">
        <v>4984</v>
      </c>
      <c r="F73" s="76" t="s">
        <v>4985</v>
      </c>
      <c r="G73" s="16">
        <v>1</v>
      </c>
      <c r="H73" s="20">
        <v>86000</v>
      </c>
      <c r="I73" s="17">
        <f t="shared" si="3"/>
        <v>86000</v>
      </c>
      <c r="K73" s="17">
        <f t="shared" si="4"/>
        <v>86000</v>
      </c>
      <c r="L73" s="17">
        <f>16500-16000</f>
        <v>500</v>
      </c>
      <c r="M73" s="17"/>
      <c r="N73" s="17">
        <f t="shared" si="5"/>
        <v>86500</v>
      </c>
      <c r="O73" s="76" t="s">
        <v>206</v>
      </c>
      <c r="P73" s="183"/>
      <c r="Q73" s="10" t="s">
        <v>328</v>
      </c>
      <c r="R73" s="17"/>
      <c r="S73" s="17"/>
      <c r="T73" s="17"/>
      <c r="U73" s="17"/>
      <c r="V73" s="17"/>
      <c r="W73" s="17"/>
    </row>
    <row r="74" spans="1:23" s="20" customFormat="1">
      <c r="A74" s="880">
        <v>44502</v>
      </c>
      <c r="B74" s="76" t="s">
        <v>23</v>
      </c>
      <c r="C74" s="11" t="s">
        <v>7467</v>
      </c>
      <c r="D74" s="887" t="s">
        <v>7468</v>
      </c>
      <c r="E74" s="914" t="s">
        <v>7469</v>
      </c>
      <c r="F74" s="914" t="s">
        <v>7470</v>
      </c>
      <c r="G74" s="16">
        <v>1</v>
      </c>
      <c r="H74" s="20">
        <v>79000</v>
      </c>
      <c r="I74" s="17">
        <f t="shared" si="3"/>
        <v>79000</v>
      </c>
      <c r="K74" s="17">
        <f t="shared" si="4"/>
        <v>79000</v>
      </c>
      <c r="L74" s="888">
        <v>16000</v>
      </c>
      <c r="M74" s="17"/>
      <c r="N74" s="17">
        <f t="shared" si="5"/>
        <v>95000</v>
      </c>
      <c r="O74" s="76" t="s">
        <v>23</v>
      </c>
      <c r="P74" s="72"/>
      <c r="Q74" s="10" t="s">
        <v>54</v>
      </c>
      <c r="R74" s="17"/>
      <c r="S74" s="17"/>
      <c r="T74" s="17"/>
      <c r="U74" s="17"/>
      <c r="V74" s="17"/>
      <c r="W74" s="17"/>
    </row>
    <row r="75" spans="1:23" s="29" customFormat="1">
      <c r="A75" s="880">
        <v>44502</v>
      </c>
      <c r="B75" s="76" t="s">
        <v>23</v>
      </c>
      <c r="C75" s="11" t="s">
        <v>7467</v>
      </c>
      <c r="D75" s="887" t="s">
        <v>7468</v>
      </c>
      <c r="E75" s="909" t="s">
        <v>1903</v>
      </c>
      <c r="F75" s="909" t="s">
        <v>595</v>
      </c>
      <c r="G75" s="16">
        <v>1</v>
      </c>
      <c r="H75" s="29">
        <v>104000</v>
      </c>
      <c r="I75" s="17">
        <f t="shared" si="3"/>
        <v>104000</v>
      </c>
      <c r="K75" s="17">
        <f t="shared" si="4"/>
        <v>104000</v>
      </c>
      <c r="L75" s="92"/>
      <c r="M75" s="92"/>
      <c r="N75" s="17">
        <f t="shared" si="5"/>
        <v>104000</v>
      </c>
      <c r="O75" s="76" t="s">
        <v>23</v>
      </c>
      <c r="P75" s="72"/>
      <c r="Q75" s="10" t="s">
        <v>54</v>
      </c>
      <c r="R75" s="92"/>
      <c r="S75" s="92"/>
      <c r="T75" s="92"/>
      <c r="U75" s="92"/>
      <c r="V75" s="92"/>
      <c r="W75" s="92"/>
    </row>
    <row r="76" spans="1:23" s="20" customFormat="1">
      <c r="A76" s="880">
        <v>44502</v>
      </c>
      <c r="B76" s="76" t="s">
        <v>23</v>
      </c>
      <c r="C76" s="10" t="s">
        <v>7471</v>
      </c>
      <c r="D76" s="29" t="s">
        <v>7472</v>
      </c>
      <c r="E76" s="76" t="s">
        <v>1644</v>
      </c>
      <c r="F76" s="76" t="s">
        <v>3865</v>
      </c>
      <c r="G76" s="16">
        <v>1</v>
      </c>
      <c r="H76" s="29">
        <v>102000</v>
      </c>
      <c r="I76" s="17">
        <f t="shared" si="3"/>
        <v>102000</v>
      </c>
      <c r="J76" s="17"/>
      <c r="K76" s="17">
        <f t="shared" si="4"/>
        <v>102000</v>
      </c>
      <c r="L76" s="17">
        <v>61000</v>
      </c>
      <c r="M76" s="17"/>
      <c r="N76" s="17">
        <f t="shared" si="5"/>
        <v>163000</v>
      </c>
      <c r="O76" s="76" t="s">
        <v>23</v>
      </c>
      <c r="P76" s="183"/>
      <c r="Q76" s="10" t="s">
        <v>40</v>
      </c>
      <c r="R76" s="17"/>
      <c r="S76" s="17"/>
      <c r="T76" s="17"/>
      <c r="U76" s="17"/>
      <c r="V76" s="17"/>
      <c r="W76" s="17"/>
    </row>
    <row r="77" spans="1:23" s="20" customFormat="1">
      <c r="A77" s="880">
        <v>44502</v>
      </c>
      <c r="B77" s="76" t="s">
        <v>23</v>
      </c>
      <c r="C77" s="10" t="s">
        <v>7473</v>
      </c>
      <c r="D77" s="29" t="s">
        <v>7474</v>
      </c>
      <c r="E77" s="934" t="s">
        <v>2985</v>
      </c>
      <c r="F77" s="934" t="s">
        <v>2986</v>
      </c>
      <c r="G77" s="16">
        <v>1</v>
      </c>
      <c r="H77" s="29">
        <v>157000</v>
      </c>
      <c r="I77" s="17">
        <f t="shared" si="3"/>
        <v>157000</v>
      </c>
      <c r="J77" s="17"/>
      <c r="K77" s="17">
        <f t="shared" si="4"/>
        <v>157000</v>
      </c>
      <c r="L77" s="17">
        <v>16000</v>
      </c>
      <c r="M77" s="17"/>
      <c r="N77" s="17">
        <f t="shared" si="5"/>
        <v>173000</v>
      </c>
      <c r="O77" s="76" t="s">
        <v>23</v>
      </c>
      <c r="P77" s="72"/>
      <c r="Q77" s="10" t="s">
        <v>40</v>
      </c>
      <c r="R77" s="17"/>
      <c r="S77" s="17"/>
      <c r="T77" s="17"/>
      <c r="U77" s="17"/>
      <c r="V77" s="17"/>
      <c r="W77" s="17"/>
    </row>
    <row r="78" spans="1:23" s="20" customFormat="1">
      <c r="A78" s="880">
        <v>44502</v>
      </c>
      <c r="B78" s="76" t="s">
        <v>23</v>
      </c>
      <c r="C78" s="10" t="s">
        <v>7473</v>
      </c>
      <c r="D78" s="29" t="s">
        <v>7474</v>
      </c>
      <c r="E78" s="934" t="s">
        <v>7475</v>
      </c>
      <c r="F78" s="934" t="s">
        <v>7476</v>
      </c>
      <c r="G78" s="16">
        <v>1</v>
      </c>
      <c r="H78" s="29">
        <v>134000</v>
      </c>
      <c r="I78" s="17">
        <f t="shared" si="3"/>
        <v>134000</v>
      </c>
      <c r="J78" s="17"/>
      <c r="K78" s="17">
        <f t="shared" si="4"/>
        <v>134000</v>
      </c>
      <c r="L78" s="17"/>
      <c r="M78" s="17"/>
      <c r="N78" s="17">
        <f t="shared" si="5"/>
        <v>134000</v>
      </c>
      <c r="O78" s="76" t="s">
        <v>23</v>
      </c>
      <c r="P78" s="183"/>
      <c r="Q78" s="10" t="s">
        <v>40</v>
      </c>
      <c r="R78" s="17"/>
      <c r="S78" s="17"/>
      <c r="T78" s="17"/>
      <c r="U78" s="17"/>
      <c r="V78" s="17"/>
      <c r="W78" s="17"/>
    </row>
    <row r="79" spans="1:23" s="20" customFormat="1">
      <c r="A79" s="880">
        <v>44502</v>
      </c>
      <c r="B79" s="76" t="s">
        <v>23</v>
      </c>
      <c r="C79" s="11" t="s">
        <v>7477</v>
      </c>
      <c r="D79" s="29" t="s">
        <v>7478</v>
      </c>
      <c r="E79" s="76" t="s">
        <v>3063</v>
      </c>
      <c r="F79" s="76" t="s">
        <v>3064</v>
      </c>
      <c r="G79" s="940">
        <v>5</v>
      </c>
      <c r="H79" s="29">
        <v>91500</v>
      </c>
      <c r="I79" s="17">
        <f t="shared" si="3"/>
        <v>457500</v>
      </c>
      <c r="J79" s="17">
        <f>I79*20%</f>
        <v>91500</v>
      </c>
      <c r="K79" s="17">
        <f t="shared" si="4"/>
        <v>366000</v>
      </c>
      <c r="L79" s="17">
        <v>34000</v>
      </c>
      <c r="M79" s="17"/>
      <c r="N79" s="17">
        <f t="shared" si="5"/>
        <v>400000</v>
      </c>
      <c r="O79" s="76" t="s">
        <v>23</v>
      </c>
      <c r="P79" s="183"/>
      <c r="Q79" s="10" t="s">
        <v>40</v>
      </c>
      <c r="R79" s="17"/>
      <c r="S79" s="17"/>
      <c r="T79" s="17"/>
      <c r="U79" s="17"/>
      <c r="V79" s="17"/>
      <c r="W79" s="17"/>
    </row>
    <row r="80" spans="1:23" s="20" customFormat="1">
      <c r="A80" s="880">
        <v>44502</v>
      </c>
      <c r="B80" s="76" t="s">
        <v>313</v>
      </c>
      <c r="C80" s="11" t="s">
        <v>7479</v>
      </c>
      <c r="D80" s="29" t="s">
        <v>7480</v>
      </c>
      <c r="E80" s="76" t="s">
        <v>7481</v>
      </c>
      <c r="F80" s="76" t="s">
        <v>7479</v>
      </c>
      <c r="G80" s="16">
        <v>3</v>
      </c>
      <c r="H80" s="29">
        <v>72500</v>
      </c>
      <c r="I80" s="17">
        <f t="shared" si="3"/>
        <v>217500</v>
      </c>
      <c r="J80" s="17"/>
      <c r="K80" s="17">
        <f t="shared" si="4"/>
        <v>217500</v>
      </c>
      <c r="L80" s="17">
        <v>81049</v>
      </c>
      <c r="M80" s="17"/>
      <c r="N80" s="17">
        <f t="shared" si="5"/>
        <v>298549</v>
      </c>
      <c r="O80" s="76" t="s">
        <v>313</v>
      </c>
      <c r="P80" s="72"/>
      <c r="Q80" s="10" t="s">
        <v>40</v>
      </c>
      <c r="R80" s="17"/>
      <c r="S80" s="17"/>
      <c r="T80" s="17"/>
      <c r="U80" s="17"/>
      <c r="V80" s="17"/>
      <c r="W80" s="17"/>
    </row>
    <row r="81" spans="1:23" s="20" customFormat="1">
      <c r="A81" s="880">
        <v>44502</v>
      </c>
      <c r="B81" s="76" t="s">
        <v>23</v>
      </c>
      <c r="C81" s="11" t="s">
        <v>7482</v>
      </c>
      <c r="D81" s="29" t="s">
        <v>7483</v>
      </c>
      <c r="E81" s="76" t="s">
        <v>7484</v>
      </c>
      <c r="F81" s="76" t="s">
        <v>6969</v>
      </c>
      <c r="G81" s="16">
        <v>7</v>
      </c>
      <c r="H81" s="29">
        <v>63000</v>
      </c>
      <c r="I81" s="17">
        <f t="shared" si="3"/>
        <v>441000</v>
      </c>
      <c r="J81" s="17"/>
      <c r="K81" s="17">
        <f t="shared" si="4"/>
        <v>441000</v>
      </c>
      <c r="L81" s="17">
        <v>32000</v>
      </c>
      <c r="M81" s="17"/>
      <c r="N81" s="17">
        <f t="shared" si="5"/>
        <v>473000</v>
      </c>
      <c r="O81" s="76" t="s">
        <v>23</v>
      </c>
      <c r="P81" s="72"/>
      <c r="Q81" s="10" t="s">
        <v>28</v>
      </c>
      <c r="R81" s="17"/>
      <c r="S81" s="17"/>
      <c r="T81" s="17"/>
      <c r="U81" s="17"/>
      <c r="V81" s="17"/>
      <c r="W81" s="17"/>
    </row>
    <row r="82" spans="1:23" s="20" customFormat="1">
      <c r="A82" s="880">
        <v>44503</v>
      </c>
      <c r="B82" s="76" t="s">
        <v>43</v>
      </c>
      <c r="C82" s="10" t="s">
        <v>7485</v>
      </c>
      <c r="D82" s="29" t="s">
        <v>7486</v>
      </c>
      <c r="E82" s="739" t="s">
        <v>7383</v>
      </c>
      <c r="F82" s="739" t="s">
        <v>7384</v>
      </c>
      <c r="G82" s="16">
        <v>1</v>
      </c>
      <c r="H82" s="29">
        <v>90000</v>
      </c>
      <c r="I82" s="17">
        <f t="shared" si="3"/>
        <v>90000</v>
      </c>
      <c r="J82" s="17">
        <f>I82*15%</f>
        <v>13500</v>
      </c>
      <c r="K82" s="17">
        <f t="shared" si="4"/>
        <v>76500</v>
      </c>
      <c r="L82" s="17"/>
      <c r="M82" s="17">
        <v>-4284</v>
      </c>
      <c r="N82" s="17">
        <f t="shared" si="5"/>
        <v>72216</v>
      </c>
      <c r="O82" s="76" t="s">
        <v>43</v>
      </c>
      <c r="P82" s="72"/>
      <c r="Q82" s="10" t="s">
        <v>54</v>
      </c>
      <c r="R82" s="17"/>
      <c r="S82" s="17"/>
      <c r="T82" s="17"/>
      <c r="U82" s="17"/>
      <c r="V82" s="17"/>
      <c r="W82" s="17"/>
    </row>
    <row r="83" spans="1:23" s="20" customFormat="1">
      <c r="A83" s="880">
        <v>44503</v>
      </c>
      <c r="B83" s="76" t="s">
        <v>43</v>
      </c>
      <c r="C83" s="10" t="s">
        <v>7487</v>
      </c>
      <c r="D83" s="29" t="s">
        <v>7488</v>
      </c>
      <c r="E83" s="76" t="s">
        <v>6199</v>
      </c>
      <c r="F83" s="76" t="s">
        <v>6200</v>
      </c>
      <c r="G83" s="16">
        <v>1</v>
      </c>
      <c r="H83" s="29">
        <v>82500</v>
      </c>
      <c r="I83" s="17">
        <f t="shared" si="3"/>
        <v>82500</v>
      </c>
      <c r="J83" s="17">
        <f>I83*15%</f>
        <v>12375</v>
      </c>
      <c r="K83" s="17">
        <f t="shared" si="4"/>
        <v>70125</v>
      </c>
      <c r="L83" s="17"/>
      <c r="M83" s="17">
        <v>-3928</v>
      </c>
      <c r="N83" s="17">
        <f t="shared" si="5"/>
        <v>66197</v>
      </c>
      <c r="O83" s="76" t="s">
        <v>43</v>
      </c>
      <c r="P83" s="72"/>
      <c r="Q83" s="10" t="s">
        <v>54</v>
      </c>
      <c r="R83" s="17"/>
      <c r="S83" s="17"/>
      <c r="T83" s="17"/>
      <c r="U83" s="17"/>
      <c r="V83" s="17"/>
      <c r="W83" s="17"/>
    </row>
    <row r="84" spans="1:23" s="20" customFormat="1">
      <c r="A84" s="880">
        <v>44503</v>
      </c>
      <c r="B84" s="76" t="s">
        <v>43</v>
      </c>
      <c r="C84" s="11" t="s">
        <v>7489</v>
      </c>
      <c r="D84" s="29" t="s">
        <v>7490</v>
      </c>
      <c r="E84" s="76" t="s">
        <v>4574</v>
      </c>
      <c r="F84" s="76" t="s">
        <v>4048</v>
      </c>
      <c r="G84" s="16">
        <v>1</v>
      </c>
      <c r="H84" s="29">
        <v>192500</v>
      </c>
      <c r="I84" s="17">
        <f t="shared" si="3"/>
        <v>192500</v>
      </c>
      <c r="J84" s="17">
        <f>I84*15%</f>
        <v>28875</v>
      </c>
      <c r="K84" s="17">
        <f t="shared" si="4"/>
        <v>163625</v>
      </c>
      <c r="L84" s="17"/>
      <c r="M84" s="17">
        <v>-9164</v>
      </c>
      <c r="N84" s="17">
        <f t="shared" si="5"/>
        <v>154461</v>
      </c>
      <c r="O84" s="76" t="s">
        <v>43</v>
      </c>
      <c r="P84" s="72"/>
      <c r="Q84" s="10" t="s">
        <v>176</v>
      </c>
      <c r="R84" s="17"/>
      <c r="S84" s="17"/>
      <c r="T84" s="17"/>
      <c r="U84" s="17"/>
      <c r="V84" s="17"/>
      <c r="W84" s="17"/>
    </row>
    <row r="85" spans="1:23" s="20" customFormat="1">
      <c r="A85" s="880">
        <v>44503</v>
      </c>
      <c r="B85" s="76" t="s">
        <v>206</v>
      </c>
      <c r="C85" s="10" t="s">
        <v>7491</v>
      </c>
      <c r="D85" s="29" t="s">
        <v>7492</v>
      </c>
      <c r="E85" s="76" t="s">
        <v>213</v>
      </c>
      <c r="F85" s="76" t="s">
        <v>191</v>
      </c>
      <c r="G85" s="16">
        <v>1</v>
      </c>
      <c r="H85" s="29">
        <v>92500</v>
      </c>
      <c r="I85" s="17">
        <f t="shared" si="3"/>
        <v>92500</v>
      </c>
      <c r="J85" s="17"/>
      <c r="K85" s="17">
        <f t="shared" si="4"/>
        <v>92500</v>
      </c>
      <c r="L85" s="17">
        <f>39600-39000</f>
        <v>600</v>
      </c>
      <c r="M85" s="17"/>
      <c r="N85" s="17">
        <f t="shared" si="5"/>
        <v>93100</v>
      </c>
      <c r="O85" s="76" t="s">
        <v>206</v>
      </c>
      <c r="P85" s="183"/>
      <c r="Q85" s="10" t="s">
        <v>54</v>
      </c>
      <c r="R85" s="17"/>
      <c r="S85" s="17"/>
      <c r="T85" s="17"/>
      <c r="U85" s="17"/>
      <c r="V85" s="17"/>
      <c r="W85" s="17"/>
    </row>
    <row r="86" spans="1:23" s="29" customFormat="1" ht="17.25" customHeight="1">
      <c r="A86" s="880">
        <v>44503</v>
      </c>
      <c r="B86" s="76" t="s">
        <v>313</v>
      </c>
      <c r="C86" s="10" t="s">
        <v>7493</v>
      </c>
      <c r="D86" s="29" t="s">
        <v>7494</v>
      </c>
      <c r="E86" s="739" t="s">
        <v>320</v>
      </c>
      <c r="F86" s="739" t="s">
        <v>321</v>
      </c>
      <c r="G86" s="16">
        <v>1</v>
      </c>
      <c r="H86" s="29">
        <v>154000</v>
      </c>
      <c r="I86" s="17">
        <f t="shared" si="3"/>
        <v>154000</v>
      </c>
      <c r="J86" s="17"/>
      <c r="K86" s="17">
        <f t="shared" si="4"/>
        <v>154000</v>
      </c>
      <c r="L86" s="92">
        <v>17036</v>
      </c>
      <c r="M86" s="92"/>
      <c r="N86" s="17">
        <f t="shared" si="5"/>
        <v>171036</v>
      </c>
      <c r="O86" s="76" t="s">
        <v>313</v>
      </c>
      <c r="P86" s="72"/>
      <c r="Q86" s="10" t="s">
        <v>40</v>
      </c>
      <c r="R86" s="92"/>
      <c r="S86" s="92"/>
      <c r="T86" s="92"/>
      <c r="U86" s="92"/>
      <c r="V86" s="92"/>
      <c r="W86" s="92"/>
    </row>
    <row r="87" spans="1:23" s="20" customFormat="1">
      <c r="A87" s="941">
        <v>44503</v>
      </c>
      <c r="B87" s="930" t="s">
        <v>23</v>
      </c>
      <c r="C87" s="406" t="s">
        <v>7495</v>
      </c>
      <c r="D87" s="29" t="s">
        <v>7496</v>
      </c>
      <c r="E87" s="928" t="s">
        <v>7497</v>
      </c>
      <c r="F87" s="928" t="s">
        <v>7498</v>
      </c>
      <c r="G87" s="16">
        <v>1</v>
      </c>
      <c r="H87" s="29">
        <v>72000</v>
      </c>
      <c r="I87" s="17">
        <f t="shared" si="3"/>
        <v>72000</v>
      </c>
      <c r="J87" s="17">
        <f>I87*40%</f>
        <v>28800</v>
      </c>
      <c r="K87" s="17">
        <f t="shared" si="4"/>
        <v>43200</v>
      </c>
      <c r="L87" s="92">
        <v>60000</v>
      </c>
      <c r="M87" s="92"/>
      <c r="N87" s="17">
        <f t="shared" si="5"/>
        <v>103200</v>
      </c>
      <c r="O87" s="930" t="s">
        <v>23</v>
      </c>
      <c r="P87" s="72"/>
      <c r="Q87" s="406" t="s">
        <v>5552</v>
      </c>
      <c r="R87" s="17"/>
      <c r="S87" s="17"/>
      <c r="T87" s="17"/>
      <c r="U87" s="17"/>
      <c r="V87" s="17"/>
      <c r="W87" s="17"/>
    </row>
    <row r="88" spans="1:23" s="20" customFormat="1">
      <c r="A88" s="941">
        <v>44503</v>
      </c>
      <c r="B88" s="930" t="s">
        <v>23</v>
      </c>
      <c r="C88" s="406" t="s">
        <v>7495</v>
      </c>
      <c r="D88" s="29" t="s">
        <v>7496</v>
      </c>
      <c r="E88" s="928" t="s">
        <v>7499</v>
      </c>
      <c r="F88" s="928" t="s">
        <v>7500</v>
      </c>
      <c r="G88" s="16">
        <v>1</v>
      </c>
      <c r="H88" s="29">
        <v>92500</v>
      </c>
      <c r="I88" s="17">
        <f t="shared" si="3"/>
        <v>92500</v>
      </c>
      <c r="J88" s="17">
        <f t="shared" ref="J88:J130" si="6">I88*40%</f>
        <v>37000</v>
      </c>
      <c r="K88" s="17">
        <f t="shared" si="4"/>
        <v>55500</v>
      </c>
      <c r="L88" s="17"/>
      <c r="M88" s="17"/>
      <c r="N88" s="17">
        <f t="shared" si="5"/>
        <v>55500</v>
      </c>
      <c r="O88" s="930" t="s">
        <v>23</v>
      </c>
      <c r="P88" s="183"/>
      <c r="Q88" s="406" t="s">
        <v>5552</v>
      </c>
      <c r="R88" s="17"/>
      <c r="S88" s="17"/>
      <c r="T88" s="17"/>
      <c r="U88" s="17"/>
      <c r="V88" s="17"/>
      <c r="W88" s="17"/>
    </row>
    <row r="89" spans="1:23" s="20" customFormat="1">
      <c r="A89" s="941">
        <v>44503</v>
      </c>
      <c r="B89" s="930" t="s">
        <v>23</v>
      </c>
      <c r="C89" s="406" t="s">
        <v>7495</v>
      </c>
      <c r="D89" s="29" t="s">
        <v>7496</v>
      </c>
      <c r="E89" s="928" t="s">
        <v>7501</v>
      </c>
      <c r="F89" s="928" t="s">
        <v>7502</v>
      </c>
      <c r="G89" s="16">
        <v>1</v>
      </c>
      <c r="H89" s="29">
        <v>74000</v>
      </c>
      <c r="I89" s="17">
        <f t="shared" si="3"/>
        <v>74000</v>
      </c>
      <c r="J89" s="17">
        <f t="shared" si="6"/>
        <v>29600</v>
      </c>
      <c r="K89" s="17">
        <f t="shared" si="4"/>
        <v>44400</v>
      </c>
      <c r="L89" s="17"/>
      <c r="M89" s="17"/>
      <c r="N89" s="17">
        <f t="shared" si="5"/>
        <v>44400</v>
      </c>
      <c r="O89" s="930" t="s">
        <v>23</v>
      </c>
      <c r="P89" s="72"/>
      <c r="Q89" s="406" t="s">
        <v>5552</v>
      </c>
      <c r="R89" s="17"/>
      <c r="S89" s="17"/>
      <c r="T89" s="17"/>
      <c r="U89" s="17"/>
      <c r="V89" s="17"/>
      <c r="W89" s="17"/>
    </row>
    <row r="90" spans="1:23" s="20" customFormat="1">
      <c r="A90" s="941">
        <v>44503</v>
      </c>
      <c r="B90" s="930" t="s">
        <v>23</v>
      </c>
      <c r="C90" s="406" t="s">
        <v>7495</v>
      </c>
      <c r="D90" s="29" t="s">
        <v>7496</v>
      </c>
      <c r="E90" s="929" t="s">
        <v>7503</v>
      </c>
      <c r="F90" s="929" t="s">
        <v>5330</v>
      </c>
      <c r="G90" s="16">
        <v>1</v>
      </c>
      <c r="H90" s="29">
        <v>65000</v>
      </c>
      <c r="I90" s="17">
        <f t="shared" si="3"/>
        <v>65000</v>
      </c>
      <c r="J90" s="17">
        <f t="shared" si="6"/>
        <v>26000</v>
      </c>
      <c r="K90" s="17">
        <f t="shared" si="4"/>
        <v>39000</v>
      </c>
      <c r="L90" s="17"/>
      <c r="M90" s="17"/>
      <c r="N90" s="17">
        <f t="shared" si="5"/>
        <v>39000</v>
      </c>
      <c r="O90" s="930" t="s">
        <v>23</v>
      </c>
      <c r="P90" s="183"/>
      <c r="Q90" s="406" t="s">
        <v>5552</v>
      </c>
      <c r="R90" s="17"/>
      <c r="S90" s="17"/>
      <c r="T90" s="17"/>
      <c r="U90" s="17"/>
      <c r="V90" s="17"/>
      <c r="W90" s="17"/>
    </row>
    <row r="91" spans="1:23" s="20" customFormat="1">
      <c r="A91" s="941">
        <v>44503</v>
      </c>
      <c r="B91" s="930" t="s">
        <v>23</v>
      </c>
      <c r="C91" s="406" t="s">
        <v>7495</v>
      </c>
      <c r="D91" s="29" t="s">
        <v>7496</v>
      </c>
      <c r="E91" s="929" t="s">
        <v>7504</v>
      </c>
      <c r="F91" s="929" t="s">
        <v>7505</v>
      </c>
      <c r="G91" s="16">
        <v>1</v>
      </c>
      <c r="H91" s="888">
        <v>127000</v>
      </c>
      <c r="I91" s="17">
        <f t="shared" si="3"/>
        <v>127000</v>
      </c>
      <c r="J91" s="17">
        <f t="shared" si="6"/>
        <v>50800</v>
      </c>
      <c r="K91" s="17">
        <f t="shared" si="4"/>
        <v>76200</v>
      </c>
      <c r="L91" s="17"/>
      <c r="M91" s="17"/>
      <c r="N91" s="17">
        <f t="shared" si="5"/>
        <v>76200</v>
      </c>
      <c r="O91" s="930" t="s">
        <v>23</v>
      </c>
      <c r="P91" s="72"/>
      <c r="Q91" s="406" t="s">
        <v>5552</v>
      </c>
      <c r="R91" s="17"/>
      <c r="S91" s="17"/>
      <c r="T91" s="17"/>
      <c r="U91" s="17"/>
      <c r="V91" s="17"/>
      <c r="W91" s="17"/>
    </row>
    <row r="92" spans="1:23" s="20" customFormat="1">
      <c r="A92" s="941">
        <v>44503</v>
      </c>
      <c r="B92" s="930" t="s">
        <v>23</v>
      </c>
      <c r="C92" s="406" t="s">
        <v>7495</v>
      </c>
      <c r="D92" s="29" t="s">
        <v>7496</v>
      </c>
      <c r="E92" s="928" t="s">
        <v>7506</v>
      </c>
      <c r="F92" s="928" t="s">
        <v>7507</v>
      </c>
      <c r="G92" s="16">
        <v>1</v>
      </c>
      <c r="H92" s="888">
        <v>65500</v>
      </c>
      <c r="I92" s="17">
        <f t="shared" si="3"/>
        <v>65500</v>
      </c>
      <c r="J92" s="17">
        <f t="shared" si="6"/>
        <v>26200</v>
      </c>
      <c r="K92" s="17">
        <f t="shared" si="4"/>
        <v>39300</v>
      </c>
      <c r="L92" s="17"/>
      <c r="M92" s="17"/>
      <c r="N92" s="17">
        <f t="shared" si="5"/>
        <v>39300</v>
      </c>
      <c r="O92" s="930" t="s">
        <v>23</v>
      </c>
      <c r="P92" s="72"/>
      <c r="Q92" s="406" t="s">
        <v>5552</v>
      </c>
      <c r="R92" s="17"/>
      <c r="S92" s="17"/>
      <c r="T92" s="17"/>
      <c r="U92" s="17"/>
      <c r="V92" s="17"/>
      <c r="W92" s="17"/>
    </row>
    <row r="93" spans="1:23" s="20" customFormat="1">
      <c r="A93" s="941">
        <v>44503</v>
      </c>
      <c r="B93" s="930" t="s">
        <v>23</v>
      </c>
      <c r="C93" s="406" t="s">
        <v>7495</v>
      </c>
      <c r="D93" s="29" t="s">
        <v>7496</v>
      </c>
      <c r="E93" s="928" t="s">
        <v>7508</v>
      </c>
      <c r="F93" s="928" t="s">
        <v>7509</v>
      </c>
      <c r="G93" s="16">
        <v>1</v>
      </c>
      <c r="H93" s="888">
        <v>56000</v>
      </c>
      <c r="I93" s="17">
        <f t="shared" si="3"/>
        <v>56000</v>
      </c>
      <c r="J93" s="17">
        <f t="shared" si="6"/>
        <v>22400</v>
      </c>
      <c r="K93" s="17">
        <f t="shared" si="4"/>
        <v>33600</v>
      </c>
      <c r="L93" s="17"/>
      <c r="M93" s="17"/>
      <c r="N93" s="17">
        <f t="shared" si="5"/>
        <v>33600</v>
      </c>
      <c r="O93" s="930" t="s">
        <v>23</v>
      </c>
      <c r="P93" s="72"/>
      <c r="Q93" s="406" t="s">
        <v>5552</v>
      </c>
      <c r="R93" s="17"/>
      <c r="S93" s="17"/>
      <c r="T93" s="17"/>
      <c r="U93" s="17"/>
      <c r="V93" s="17"/>
      <c r="W93" s="17"/>
    </row>
    <row r="94" spans="1:23" s="20" customFormat="1">
      <c r="A94" s="941">
        <v>44503</v>
      </c>
      <c r="B94" s="930" t="s">
        <v>23</v>
      </c>
      <c r="C94" s="406" t="s">
        <v>7495</v>
      </c>
      <c r="D94" s="29" t="s">
        <v>7496</v>
      </c>
      <c r="E94" s="928" t="s">
        <v>7510</v>
      </c>
      <c r="F94" s="928" t="s">
        <v>7511</v>
      </c>
      <c r="G94" s="16">
        <v>1</v>
      </c>
      <c r="H94" s="888">
        <v>59000</v>
      </c>
      <c r="I94" s="17">
        <f t="shared" si="3"/>
        <v>59000</v>
      </c>
      <c r="J94" s="17">
        <f t="shared" si="6"/>
        <v>23600</v>
      </c>
      <c r="K94" s="17">
        <f t="shared" si="4"/>
        <v>35400</v>
      </c>
      <c r="L94" s="17"/>
      <c r="M94" s="17"/>
      <c r="N94" s="17">
        <f t="shared" si="5"/>
        <v>35400</v>
      </c>
      <c r="O94" s="930" t="s">
        <v>23</v>
      </c>
      <c r="P94" s="72"/>
      <c r="Q94" s="406" t="s">
        <v>5552</v>
      </c>
      <c r="R94" s="17"/>
      <c r="S94" s="17"/>
      <c r="T94" s="17"/>
      <c r="U94" s="17"/>
      <c r="V94" s="17"/>
      <c r="W94" s="17"/>
    </row>
    <row r="95" spans="1:23" s="20" customFormat="1">
      <c r="A95" s="941">
        <v>44503</v>
      </c>
      <c r="B95" s="930" t="s">
        <v>23</v>
      </c>
      <c r="C95" s="406" t="s">
        <v>7495</v>
      </c>
      <c r="D95" s="29" t="s">
        <v>7496</v>
      </c>
      <c r="E95" s="928" t="s">
        <v>7512</v>
      </c>
      <c r="F95" s="928" t="s">
        <v>7513</v>
      </c>
      <c r="G95" s="16">
        <v>1</v>
      </c>
      <c r="H95" s="888">
        <v>41000</v>
      </c>
      <c r="I95" s="17">
        <f t="shared" si="3"/>
        <v>41000</v>
      </c>
      <c r="J95" s="17">
        <f t="shared" si="6"/>
        <v>16400</v>
      </c>
      <c r="K95" s="17">
        <f t="shared" si="4"/>
        <v>24600</v>
      </c>
      <c r="L95" s="17"/>
      <c r="M95" s="17"/>
      <c r="N95" s="17">
        <f t="shared" si="5"/>
        <v>24600</v>
      </c>
      <c r="O95" s="930" t="s">
        <v>23</v>
      </c>
      <c r="P95" s="72"/>
      <c r="Q95" s="406" t="s">
        <v>5552</v>
      </c>
      <c r="R95" s="17"/>
      <c r="S95" s="17"/>
      <c r="T95" s="17"/>
      <c r="U95" s="17"/>
      <c r="V95" s="17"/>
      <c r="W95" s="17"/>
    </row>
    <row r="96" spans="1:23" s="20" customFormat="1">
      <c r="A96" s="941">
        <v>44503</v>
      </c>
      <c r="B96" s="930" t="s">
        <v>23</v>
      </c>
      <c r="C96" s="406" t="s">
        <v>7495</v>
      </c>
      <c r="D96" s="29" t="s">
        <v>7496</v>
      </c>
      <c r="E96" s="928" t="s">
        <v>7514</v>
      </c>
      <c r="F96" s="928" t="s">
        <v>7515</v>
      </c>
      <c r="G96" s="16">
        <v>1</v>
      </c>
      <c r="H96" s="888">
        <v>43000</v>
      </c>
      <c r="I96" s="17">
        <f t="shared" si="3"/>
        <v>43000</v>
      </c>
      <c r="J96" s="17">
        <f t="shared" si="6"/>
        <v>17200</v>
      </c>
      <c r="K96" s="17">
        <f t="shared" si="4"/>
        <v>25800</v>
      </c>
      <c r="L96" s="17"/>
      <c r="M96" s="17"/>
      <c r="N96" s="17">
        <f t="shared" si="5"/>
        <v>25800</v>
      </c>
      <c r="O96" s="930" t="s">
        <v>23</v>
      </c>
      <c r="P96" s="183"/>
      <c r="Q96" s="406" t="s">
        <v>5552</v>
      </c>
      <c r="R96" s="17"/>
      <c r="S96" s="17"/>
      <c r="T96" s="17"/>
      <c r="U96" s="17"/>
      <c r="V96" s="17"/>
      <c r="W96" s="17"/>
    </row>
    <row r="97" spans="1:23" s="20" customFormat="1">
      <c r="A97" s="941">
        <v>44503</v>
      </c>
      <c r="B97" s="930" t="s">
        <v>23</v>
      </c>
      <c r="C97" s="406" t="s">
        <v>7495</v>
      </c>
      <c r="D97" s="29" t="s">
        <v>7496</v>
      </c>
      <c r="E97" s="928" t="s">
        <v>7516</v>
      </c>
      <c r="F97" s="928" t="s">
        <v>7517</v>
      </c>
      <c r="G97" s="16">
        <v>1</v>
      </c>
      <c r="H97" s="888">
        <v>47000</v>
      </c>
      <c r="I97" s="17">
        <f t="shared" si="3"/>
        <v>47000</v>
      </c>
      <c r="J97" s="17">
        <f t="shared" si="6"/>
        <v>18800</v>
      </c>
      <c r="K97" s="17">
        <f t="shared" si="4"/>
        <v>28200</v>
      </c>
      <c r="L97" s="17"/>
      <c r="M97" s="17"/>
      <c r="N97" s="17">
        <f t="shared" si="5"/>
        <v>28200</v>
      </c>
      <c r="O97" s="930" t="s">
        <v>23</v>
      </c>
      <c r="P97" s="72"/>
      <c r="Q97" s="406" t="s">
        <v>5552</v>
      </c>
      <c r="R97" s="17"/>
      <c r="S97" s="17"/>
      <c r="T97" s="17"/>
      <c r="U97" s="17"/>
      <c r="V97" s="17"/>
      <c r="W97" s="17"/>
    </row>
    <row r="98" spans="1:23" s="20" customFormat="1">
      <c r="A98" s="941">
        <v>44503</v>
      </c>
      <c r="B98" s="930" t="s">
        <v>23</v>
      </c>
      <c r="C98" s="406" t="s">
        <v>7495</v>
      </c>
      <c r="D98" s="29" t="s">
        <v>7496</v>
      </c>
      <c r="E98" s="928" t="s">
        <v>7518</v>
      </c>
      <c r="F98" s="928" t="s">
        <v>7519</v>
      </c>
      <c r="G98" s="16">
        <v>1</v>
      </c>
      <c r="H98" s="888">
        <v>57000</v>
      </c>
      <c r="I98" s="17">
        <f t="shared" si="3"/>
        <v>57000</v>
      </c>
      <c r="J98" s="17">
        <f t="shared" si="6"/>
        <v>22800</v>
      </c>
      <c r="K98" s="17">
        <f t="shared" si="4"/>
        <v>34200</v>
      </c>
      <c r="L98" s="17"/>
      <c r="M98" s="17"/>
      <c r="N98" s="17">
        <f t="shared" si="5"/>
        <v>34200</v>
      </c>
      <c r="O98" s="930" t="s">
        <v>23</v>
      </c>
      <c r="P98" s="183"/>
      <c r="Q98" s="406" t="s">
        <v>5552</v>
      </c>
      <c r="R98" s="17"/>
      <c r="S98" s="17"/>
      <c r="T98" s="17"/>
      <c r="U98" s="17"/>
      <c r="V98" s="17"/>
      <c r="W98" s="17"/>
    </row>
    <row r="99" spans="1:23" s="20" customFormat="1">
      <c r="A99" s="941">
        <v>44503</v>
      </c>
      <c r="B99" s="930" t="s">
        <v>23</v>
      </c>
      <c r="C99" s="406" t="s">
        <v>7495</v>
      </c>
      <c r="D99" s="29" t="s">
        <v>7496</v>
      </c>
      <c r="E99" s="928" t="s">
        <v>7520</v>
      </c>
      <c r="F99" s="928" t="s">
        <v>7521</v>
      </c>
      <c r="G99" s="16">
        <v>1</v>
      </c>
      <c r="H99" s="888">
        <v>52000</v>
      </c>
      <c r="I99" s="17">
        <f t="shared" si="3"/>
        <v>52000</v>
      </c>
      <c r="J99" s="17">
        <f t="shared" si="6"/>
        <v>20800</v>
      </c>
      <c r="K99" s="17">
        <f t="shared" si="4"/>
        <v>31200</v>
      </c>
      <c r="L99" s="17"/>
      <c r="M99" s="17"/>
      <c r="N99" s="17">
        <f t="shared" si="5"/>
        <v>31200</v>
      </c>
      <c r="O99" s="930" t="s">
        <v>23</v>
      </c>
      <c r="P99" s="72"/>
      <c r="Q99" s="406" t="s">
        <v>5552</v>
      </c>
      <c r="R99" s="17"/>
      <c r="S99" s="17"/>
      <c r="T99" s="17"/>
      <c r="U99" s="17"/>
      <c r="V99" s="17"/>
      <c r="W99" s="17"/>
    </row>
    <row r="100" spans="1:23" s="119" customFormat="1">
      <c r="A100" s="941">
        <v>44503</v>
      </c>
      <c r="B100" s="930" t="s">
        <v>23</v>
      </c>
      <c r="C100" s="406" t="s">
        <v>7495</v>
      </c>
      <c r="D100" s="29" t="s">
        <v>7496</v>
      </c>
      <c r="E100" s="928" t="s">
        <v>4172</v>
      </c>
      <c r="F100" s="928" t="s">
        <v>4173</v>
      </c>
      <c r="G100" s="16">
        <v>1</v>
      </c>
      <c r="H100" s="888">
        <v>72000</v>
      </c>
      <c r="I100" s="17">
        <f t="shared" si="3"/>
        <v>72000</v>
      </c>
      <c r="J100" s="17">
        <f t="shared" si="6"/>
        <v>28800</v>
      </c>
      <c r="K100" s="17">
        <f t="shared" si="4"/>
        <v>43200</v>
      </c>
      <c r="L100" s="86"/>
      <c r="M100" s="86"/>
      <c r="N100" s="17">
        <f t="shared" si="5"/>
        <v>43200</v>
      </c>
      <c r="O100" s="930" t="s">
        <v>23</v>
      </c>
      <c r="P100" s="647"/>
      <c r="Q100" s="406" t="s">
        <v>5552</v>
      </c>
      <c r="R100" s="86"/>
      <c r="S100" s="648"/>
      <c r="T100" s="86"/>
      <c r="U100" s="86"/>
      <c r="V100" s="86"/>
      <c r="W100" s="86"/>
    </row>
    <row r="101" spans="1:23" s="119" customFormat="1">
      <c r="A101" s="941">
        <v>44503</v>
      </c>
      <c r="B101" s="930" t="s">
        <v>23</v>
      </c>
      <c r="C101" s="406" t="s">
        <v>7495</v>
      </c>
      <c r="D101" s="29" t="s">
        <v>7496</v>
      </c>
      <c r="E101" s="928" t="s">
        <v>7351</v>
      </c>
      <c r="F101" s="928" t="s">
        <v>7349</v>
      </c>
      <c r="G101" s="16">
        <v>1</v>
      </c>
      <c r="H101" s="888">
        <v>44000</v>
      </c>
      <c r="I101" s="17">
        <f t="shared" si="3"/>
        <v>44000</v>
      </c>
      <c r="J101" s="17">
        <f t="shared" si="6"/>
        <v>17600</v>
      </c>
      <c r="K101" s="17">
        <f t="shared" si="4"/>
        <v>26400</v>
      </c>
      <c r="L101" s="86"/>
      <c r="M101" s="86"/>
      <c r="N101" s="17">
        <f t="shared" si="5"/>
        <v>26400</v>
      </c>
      <c r="O101" s="930" t="s">
        <v>23</v>
      </c>
      <c r="P101" s="667"/>
      <c r="Q101" s="406" t="s">
        <v>5552</v>
      </c>
      <c r="R101" s="86"/>
      <c r="S101" s="171"/>
      <c r="T101" s="86"/>
      <c r="U101" s="86"/>
      <c r="V101" s="86"/>
      <c r="W101" s="86"/>
    </row>
    <row r="102" spans="1:23" s="119" customFormat="1">
      <c r="A102" s="941">
        <v>44503</v>
      </c>
      <c r="B102" s="930" t="s">
        <v>23</v>
      </c>
      <c r="C102" s="406" t="s">
        <v>7495</v>
      </c>
      <c r="D102" s="29" t="s">
        <v>7496</v>
      </c>
      <c r="E102" s="928" t="s">
        <v>7522</v>
      </c>
      <c r="F102" s="928" t="s">
        <v>7523</v>
      </c>
      <c r="G102" s="16">
        <v>1</v>
      </c>
      <c r="H102" s="888">
        <v>46000</v>
      </c>
      <c r="I102" s="17">
        <f t="shared" si="3"/>
        <v>46000</v>
      </c>
      <c r="J102" s="17">
        <f t="shared" si="6"/>
        <v>18400</v>
      </c>
      <c r="K102" s="17">
        <f t="shared" si="4"/>
        <v>27600</v>
      </c>
      <c r="L102" s="86"/>
      <c r="M102" s="86"/>
      <c r="N102" s="17">
        <f t="shared" si="5"/>
        <v>27600</v>
      </c>
      <c r="O102" s="930" t="s">
        <v>23</v>
      </c>
      <c r="P102" s="667"/>
      <c r="Q102" s="406" t="s">
        <v>5552</v>
      </c>
      <c r="R102" s="86"/>
      <c r="S102" s="171"/>
      <c r="T102" s="86"/>
      <c r="U102" s="86"/>
      <c r="V102" s="86"/>
      <c r="W102" s="86"/>
    </row>
    <row r="103" spans="1:23" s="119" customFormat="1">
      <c r="A103" s="941">
        <v>44503</v>
      </c>
      <c r="B103" s="930" t="s">
        <v>23</v>
      </c>
      <c r="C103" s="406" t="s">
        <v>7495</v>
      </c>
      <c r="D103" s="29" t="s">
        <v>7496</v>
      </c>
      <c r="E103" s="928" t="s">
        <v>2361</v>
      </c>
      <c r="F103" s="928" t="s">
        <v>2362</v>
      </c>
      <c r="G103" s="16">
        <v>1</v>
      </c>
      <c r="H103" s="888">
        <v>94000</v>
      </c>
      <c r="I103" s="17">
        <f t="shared" si="3"/>
        <v>94000</v>
      </c>
      <c r="J103" s="17">
        <f t="shared" si="6"/>
        <v>37600</v>
      </c>
      <c r="K103" s="17">
        <f t="shared" si="4"/>
        <v>56400</v>
      </c>
      <c r="L103" s="86"/>
      <c r="M103" s="86"/>
      <c r="N103" s="17">
        <f t="shared" si="5"/>
        <v>56400</v>
      </c>
      <c r="O103" s="930" t="s">
        <v>23</v>
      </c>
      <c r="P103" s="667"/>
      <c r="Q103" s="406" t="s">
        <v>5552</v>
      </c>
      <c r="R103" s="86"/>
      <c r="S103" s="171"/>
      <c r="T103" s="86"/>
      <c r="U103" s="86"/>
      <c r="V103" s="86"/>
      <c r="W103" s="86"/>
    </row>
    <row r="104" spans="1:23" s="119" customFormat="1">
      <c r="A104" s="941">
        <v>44503</v>
      </c>
      <c r="B104" s="930" t="s">
        <v>23</v>
      </c>
      <c r="C104" s="406" t="s">
        <v>7495</v>
      </c>
      <c r="D104" s="29" t="s">
        <v>7496</v>
      </c>
      <c r="E104" s="928" t="s">
        <v>7524</v>
      </c>
      <c r="F104" s="928" t="s">
        <v>7525</v>
      </c>
      <c r="G104" s="16">
        <v>1</v>
      </c>
      <c r="H104" s="888">
        <v>52000</v>
      </c>
      <c r="I104" s="17">
        <f t="shared" si="3"/>
        <v>52000</v>
      </c>
      <c r="J104" s="17">
        <f t="shared" si="6"/>
        <v>20800</v>
      </c>
      <c r="K104" s="17">
        <f t="shared" si="4"/>
        <v>31200</v>
      </c>
      <c r="L104" s="86"/>
      <c r="M104" s="86"/>
      <c r="N104" s="17">
        <f t="shared" si="5"/>
        <v>31200</v>
      </c>
      <c r="O104" s="930" t="s">
        <v>23</v>
      </c>
      <c r="P104" s="86"/>
      <c r="Q104" s="406" t="s">
        <v>5552</v>
      </c>
      <c r="R104" s="86"/>
      <c r="S104" s="499"/>
      <c r="T104" s="86"/>
      <c r="U104" s="86"/>
      <c r="V104" s="86"/>
      <c r="W104" s="86"/>
    </row>
    <row r="105" spans="1:23" s="119" customFormat="1">
      <c r="A105" s="941">
        <v>44503</v>
      </c>
      <c r="B105" s="930" t="s">
        <v>23</v>
      </c>
      <c r="C105" s="406" t="s">
        <v>7495</v>
      </c>
      <c r="D105" s="29" t="s">
        <v>7496</v>
      </c>
      <c r="E105" s="928" t="s">
        <v>7526</v>
      </c>
      <c r="F105" s="928" t="s">
        <v>7527</v>
      </c>
      <c r="G105" s="16">
        <v>1</v>
      </c>
      <c r="H105" s="888">
        <v>67000</v>
      </c>
      <c r="I105" s="17">
        <f t="shared" si="3"/>
        <v>67000</v>
      </c>
      <c r="J105" s="17">
        <f t="shared" si="6"/>
        <v>26800</v>
      </c>
      <c r="K105" s="17">
        <f t="shared" si="4"/>
        <v>40200</v>
      </c>
      <c r="L105" s="86"/>
      <c r="M105" s="86"/>
      <c r="N105" s="17">
        <f t="shared" si="5"/>
        <v>40200</v>
      </c>
      <c r="O105" s="930" t="s">
        <v>23</v>
      </c>
      <c r="P105" s="838"/>
      <c r="Q105" s="406" t="s">
        <v>5552</v>
      </c>
      <c r="R105" s="86"/>
      <c r="S105" s="838"/>
      <c r="T105" s="86"/>
      <c r="U105" s="86"/>
      <c r="V105" s="86"/>
      <c r="W105" s="86"/>
    </row>
    <row r="106" spans="1:23" s="119" customFormat="1">
      <c r="A106" s="941">
        <v>44503</v>
      </c>
      <c r="B106" s="930" t="s">
        <v>23</v>
      </c>
      <c r="C106" s="406" t="s">
        <v>7495</v>
      </c>
      <c r="D106" s="29" t="s">
        <v>7496</v>
      </c>
      <c r="E106" s="928" t="s">
        <v>7528</v>
      </c>
      <c r="F106" s="928" t="s">
        <v>7529</v>
      </c>
      <c r="G106" s="16">
        <v>1</v>
      </c>
      <c r="H106" s="888">
        <v>98000</v>
      </c>
      <c r="I106" s="17">
        <f t="shared" si="3"/>
        <v>98000</v>
      </c>
      <c r="J106" s="17">
        <f t="shared" si="6"/>
        <v>39200</v>
      </c>
      <c r="K106" s="17">
        <f t="shared" si="4"/>
        <v>58800</v>
      </c>
      <c r="L106" s="86"/>
      <c r="M106" s="86"/>
      <c r="N106" s="17">
        <f t="shared" si="5"/>
        <v>58800</v>
      </c>
      <c r="O106" s="930" t="s">
        <v>23</v>
      </c>
      <c r="P106" s="667"/>
      <c r="Q106" s="406" t="s">
        <v>5552</v>
      </c>
      <c r="R106" s="86"/>
      <c r="S106" s="171"/>
      <c r="T106" s="86"/>
      <c r="U106" s="86"/>
      <c r="V106" s="86"/>
      <c r="W106" s="86"/>
    </row>
    <row r="107" spans="1:23" s="119" customFormat="1">
      <c r="A107" s="941">
        <v>44503</v>
      </c>
      <c r="B107" s="930" t="s">
        <v>23</v>
      </c>
      <c r="C107" s="406" t="s">
        <v>7495</v>
      </c>
      <c r="D107" s="29" t="s">
        <v>7496</v>
      </c>
      <c r="E107" s="928" t="s">
        <v>7530</v>
      </c>
      <c r="F107" s="928" t="s">
        <v>7531</v>
      </c>
      <c r="G107" s="16">
        <v>1</v>
      </c>
      <c r="H107" s="888">
        <v>107000</v>
      </c>
      <c r="I107" s="17">
        <f t="shared" si="3"/>
        <v>107000</v>
      </c>
      <c r="J107" s="17">
        <f t="shared" si="6"/>
        <v>42800</v>
      </c>
      <c r="K107" s="17">
        <f t="shared" si="4"/>
        <v>64200</v>
      </c>
      <c r="L107" s="86"/>
      <c r="M107" s="86"/>
      <c r="N107" s="17">
        <f t="shared" si="5"/>
        <v>64200</v>
      </c>
      <c r="O107" s="930" t="s">
        <v>23</v>
      </c>
      <c r="P107" s="827"/>
      <c r="Q107" s="406" t="s">
        <v>5552</v>
      </c>
      <c r="R107" s="86"/>
      <c r="S107" s="86"/>
      <c r="T107" s="86"/>
      <c r="U107" s="86"/>
      <c r="V107" s="86"/>
      <c r="W107" s="86"/>
    </row>
    <row r="108" spans="1:23" s="119" customFormat="1">
      <c r="A108" s="941">
        <v>44503</v>
      </c>
      <c r="B108" s="930" t="s">
        <v>23</v>
      </c>
      <c r="C108" s="406" t="s">
        <v>7495</v>
      </c>
      <c r="D108" s="29" t="s">
        <v>7496</v>
      </c>
      <c r="E108" s="928" t="s">
        <v>7532</v>
      </c>
      <c r="F108" s="928" t="s">
        <v>7533</v>
      </c>
      <c r="G108" s="16">
        <v>1</v>
      </c>
      <c r="H108" s="888">
        <v>77000</v>
      </c>
      <c r="I108" s="17">
        <f t="shared" si="3"/>
        <v>77000</v>
      </c>
      <c r="J108" s="17">
        <f t="shared" si="6"/>
        <v>30800</v>
      </c>
      <c r="K108" s="17">
        <f t="shared" si="4"/>
        <v>46200</v>
      </c>
      <c r="L108" s="86"/>
      <c r="M108" s="86"/>
      <c r="N108" s="17">
        <f t="shared" si="5"/>
        <v>46200</v>
      </c>
      <c r="O108" s="930" t="s">
        <v>23</v>
      </c>
      <c r="P108" s="667"/>
      <c r="Q108" s="406" t="s">
        <v>5552</v>
      </c>
      <c r="R108" s="86"/>
      <c r="S108" s="171"/>
      <c r="T108" s="86"/>
      <c r="U108" s="86"/>
      <c r="V108" s="86"/>
      <c r="W108" s="86"/>
    </row>
    <row r="109" spans="1:23" s="119" customFormat="1">
      <c r="A109" s="941">
        <v>44503</v>
      </c>
      <c r="B109" s="930" t="s">
        <v>23</v>
      </c>
      <c r="C109" s="406" t="s">
        <v>7495</v>
      </c>
      <c r="D109" s="29" t="s">
        <v>7496</v>
      </c>
      <c r="E109" s="928" t="s">
        <v>3365</v>
      </c>
      <c r="F109" s="928" t="s">
        <v>3366</v>
      </c>
      <c r="G109" s="16">
        <v>1</v>
      </c>
      <c r="H109" s="888">
        <v>112000</v>
      </c>
      <c r="I109" s="17">
        <f t="shared" si="3"/>
        <v>112000</v>
      </c>
      <c r="J109" s="17">
        <f t="shared" si="6"/>
        <v>44800</v>
      </c>
      <c r="K109" s="17">
        <f t="shared" si="4"/>
        <v>67200</v>
      </c>
      <c r="L109" s="86"/>
      <c r="M109" s="86"/>
      <c r="N109" s="17">
        <f t="shared" si="5"/>
        <v>67200</v>
      </c>
      <c r="O109" s="930" t="s">
        <v>23</v>
      </c>
      <c r="P109" s="667"/>
      <c r="Q109" s="406" t="s">
        <v>5552</v>
      </c>
      <c r="R109" s="86"/>
      <c r="S109" s="171"/>
      <c r="T109" s="86"/>
      <c r="U109" s="86"/>
      <c r="V109" s="86"/>
      <c r="W109" s="86"/>
    </row>
    <row r="110" spans="1:23" s="119" customFormat="1">
      <c r="A110" s="941">
        <v>44503</v>
      </c>
      <c r="B110" s="930" t="s">
        <v>23</v>
      </c>
      <c r="C110" s="406" t="s">
        <v>7495</v>
      </c>
      <c r="D110" s="29" t="s">
        <v>7496</v>
      </c>
      <c r="E110" s="928" t="s">
        <v>7534</v>
      </c>
      <c r="F110" s="928" t="s">
        <v>7535</v>
      </c>
      <c r="G110" s="16">
        <v>1</v>
      </c>
      <c r="H110" s="888">
        <v>37000</v>
      </c>
      <c r="I110" s="17">
        <f t="shared" si="3"/>
        <v>37000</v>
      </c>
      <c r="J110" s="17">
        <f t="shared" si="6"/>
        <v>14800</v>
      </c>
      <c r="K110" s="17">
        <f t="shared" si="4"/>
        <v>22200</v>
      </c>
      <c r="L110" s="86"/>
      <c r="M110" s="86"/>
      <c r="N110" s="17">
        <f t="shared" si="5"/>
        <v>22200</v>
      </c>
      <c r="O110" s="930" t="s">
        <v>23</v>
      </c>
      <c r="P110" s="667"/>
      <c r="Q110" s="406" t="s">
        <v>5552</v>
      </c>
      <c r="R110" s="86"/>
      <c r="S110" s="838"/>
      <c r="T110" s="86"/>
      <c r="U110" s="86"/>
      <c r="V110" s="86"/>
      <c r="W110" s="86"/>
    </row>
    <row r="111" spans="1:23" s="171" customFormat="1">
      <c r="A111" s="941">
        <v>44503</v>
      </c>
      <c r="B111" s="930" t="s">
        <v>23</v>
      </c>
      <c r="C111" s="406" t="s">
        <v>7495</v>
      </c>
      <c r="D111" s="29" t="s">
        <v>7496</v>
      </c>
      <c r="E111" s="928" t="s">
        <v>5433</v>
      </c>
      <c r="F111" s="928" t="s">
        <v>5434</v>
      </c>
      <c r="G111" s="16">
        <v>1</v>
      </c>
      <c r="H111" s="171">
        <v>82000</v>
      </c>
      <c r="I111" s="17">
        <f t="shared" si="3"/>
        <v>82000</v>
      </c>
      <c r="J111" s="17">
        <f t="shared" si="6"/>
        <v>32800</v>
      </c>
      <c r="K111" s="17">
        <f t="shared" si="4"/>
        <v>49200</v>
      </c>
      <c r="N111" s="17">
        <f t="shared" si="5"/>
        <v>49200</v>
      </c>
      <c r="O111" s="930" t="s">
        <v>23</v>
      </c>
      <c r="P111" s="648"/>
      <c r="Q111" s="406" t="s">
        <v>5552</v>
      </c>
      <c r="R111" s="648"/>
    </row>
    <row r="112" spans="1:23" s="20" customFormat="1">
      <c r="A112" s="941">
        <v>44503</v>
      </c>
      <c r="B112" s="930" t="s">
        <v>23</v>
      </c>
      <c r="C112" s="406" t="s">
        <v>7495</v>
      </c>
      <c r="D112" s="29" t="s">
        <v>7496</v>
      </c>
      <c r="E112" s="928" t="s">
        <v>7536</v>
      </c>
      <c r="F112" s="928" t="s">
        <v>3463</v>
      </c>
      <c r="G112" s="16">
        <v>1</v>
      </c>
      <c r="H112" s="888">
        <v>101000</v>
      </c>
      <c r="I112" s="17">
        <f t="shared" si="3"/>
        <v>101000</v>
      </c>
      <c r="J112" s="17">
        <f t="shared" si="6"/>
        <v>40400</v>
      </c>
      <c r="K112" s="17">
        <f t="shared" si="4"/>
        <v>60600</v>
      </c>
      <c r="L112" s="17"/>
      <c r="M112" s="17"/>
      <c r="N112" s="17">
        <f t="shared" si="5"/>
        <v>60600</v>
      </c>
      <c r="O112" s="930" t="s">
        <v>23</v>
      </c>
      <c r="P112" s="72"/>
      <c r="Q112" s="406" t="s">
        <v>5552</v>
      </c>
      <c r="R112" s="17"/>
      <c r="S112" s="17"/>
      <c r="T112" s="17"/>
      <c r="U112" s="17"/>
      <c r="V112" s="17"/>
      <c r="W112" s="17"/>
    </row>
    <row r="113" spans="1:23" s="26" customFormat="1">
      <c r="A113" s="941">
        <v>44503</v>
      </c>
      <c r="B113" s="930" t="s">
        <v>23</v>
      </c>
      <c r="C113" s="406" t="s">
        <v>7495</v>
      </c>
      <c r="D113" s="29" t="s">
        <v>7496</v>
      </c>
      <c r="E113" s="928" t="s">
        <v>7537</v>
      </c>
      <c r="F113" s="928" t="s">
        <v>3463</v>
      </c>
      <c r="G113" s="16">
        <v>1</v>
      </c>
      <c r="H113" s="26">
        <v>114000</v>
      </c>
      <c r="I113" s="17">
        <f t="shared" si="3"/>
        <v>114000</v>
      </c>
      <c r="J113" s="17">
        <f t="shared" si="6"/>
        <v>45600</v>
      </c>
      <c r="K113" s="17">
        <f t="shared" si="4"/>
        <v>68400</v>
      </c>
      <c r="N113" s="17">
        <f t="shared" si="5"/>
        <v>68400</v>
      </c>
      <c r="O113" s="930" t="s">
        <v>23</v>
      </c>
      <c r="P113" s="36"/>
      <c r="Q113" s="406" t="s">
        <v>5552</v>
      </c>
    </row>
    <row r="114" spans="1:23" s="20" customFormat="1">
      <c r="A114" s="941">
        <v>44503</v>
      </c>
      <c r="B114" s="930" t="s">
        <v>23</v>
      </c>
      <c r="C114" s="406" t="s">
        <v>7495</v>
      </c>
      <c r="D114" s="29" t="s">
        <v>7496</v>
      </c>
      <c r="E114" s="928" t="s">
        <v>1893</v>
      </c>
      <c r="F114" s="928" t="s">
        <v>1894</v>
      </c>
      <c r="G114" s="16">
        <v>1</v>
      </c>
      <c r="H114" s="888">
        <v>63000</v>
      </c>
      <c r="I114" s="17">
        <f t="shared" si="3"/>
        <v>63000</v>
      </c>
      <c r="J114" s="17">
        <f t="shared" si="6"/>
        <v>25200</v>
      </c>
      <c r="K114" s="17">
        <f t="shared" si="4"/>
        <v>37800</v>
      </c>
      <c r="L114" s="17"/>
      <c r="M114" s="17"/>
      <c r="N114" s="17">
        <f t="shared" si="5"/>
        <v>37800</v>
      </c>
      <c r="O114" s="930" t="s">
        <v>23</v>
      </c>
      <c r="P114" s="72"/>
      <c r="Q114" s="406" t="s">
        <v>5552</v>
      </c>
      <c r="R114" s="17"/>
      <c r="S114" s="17"/>
      <c r="T114" s="17"/>
      <c r="U114" s="17"/>
      <c r="V114" s="17"/>
      <c r="W114" s="17"/>
    </row>
    <row r="115" spans="1:23" s="20" customFormat="1">
      <c r="A115" s="941">
        <v>44503</v>
      </c>
      <c r="B115" s="930" t="s">
        <v>23</v>
      </c>
      <c r="C115" s="406" t="s">
        <v>7495</v>
      </c>
      <c r="D115" s="29" t="s">
        <v>7496</v>
      </c>
      <c r="E115" s="928" t="s">
        <v>7538</v>
      </c>
      <c r="F115" s="928" t="s">
        <v>3463</v>
      </c>
      <c r="G115" s="16">
        <v>1</v>
      </c>
      <c r="H115" s="26">
        <v>111000</v>
      </c>
      <c r="I115" s="17">
        <f t="shared" si="3"/>
        <v>111000</v>
      </c>
      <c r="J115" s="17">
        <f t="shared" si="6"/>
        <v>44400</v>
      </c>
      <c r="K115" s="17">
        <f t="shared" si="4"/>
        <v>66600</v>
      </c>
      <c r="L115" s="17"/>
      <c r="M115" s="17"/>
      <c r="N115" s="17">
        <f t="shared" si="5"/>
        <v>66600</v>
      </c>
      <c r="O115" s="930" t="s">
        <v>23</v>
      </c>
      <c r="P115" s="72"/>
      <c r="Q115" s="406" t="s">
        <v>5552</v>
      </c>
      <c r="R115" s="17"/>
      <c r="S115" s="17"/>
      <c r="T115" s="17"/>
      <c r="U115" s="17"/>
      <c r="V115" s="17"/>
      <c r="W115" s="17"/>
    </row>
    <row r="116" spans="1:23" s="20" customFormat="1">
      <c r="A116" s="941">
        <v>44503</v>
      </c>
      <c r="B116" s="930" t="s">
        <v>23</v>
      </c>
      <c r="C116" s="406" t="s">
        <v>7495</v>
      </c>
      <c r="D116" s="29" t="s">
        <v>7496</v>
      </c>
      <c r="E116" s="928" t="s">
        <v>7539</v>
      </c>
      <c r="F116" s="928" t="s">
        <v>3463</v>
      </c>
      <c r="G116" s="16">
        <v>1</v>
      </c>
      <c r="H116" s="888">
        <v>133000</v>
      </c>
      <c r="I116" s="17">
        <f t="shared" si="3"/>
        <v>133000</v>
      </c>
      <c r="J116" s="17">
        <f t="shared" si="6"/>
        <v>53200</v>
      </c>
      <c r="K116" s="17">
        <f t="shared" si="4"/>
        <v>79800</v>
      </c>
      <c r="L116" s="17"/>
      <c r="M116" s="17"/>
      <c r="N116" s="17">
        <f t="shared" si="5"/>
        <v>79800</v>
      </c>
      <c r="O116" s="930" t="s">
        <v>23</v>
      </c>
      <c r="P116" s="183"/>
      <c r="Q116" s="406" t="s">
        <v>5552</v>
      </c>
      <c r="R116" s="17"/>
      <c r="S116" s="17"/>
      <c r="T116" s="17"/>
      <c r="U116" s="17"/>
      <c r="V116" s="17"/>
      <c r="W116" s="17"/>
    </row>
    <row r="117" spans="1:23" s="20" customFormat="1">
      <c r="A117" s="941">
        <v>44503</v>
      </c>
      <c r="B117" s="930" t="s">
        <v>23</v>
      </c>
      <c r="C117" s="406" t="s">
        <v>7495</v>
      </c>
      <c r="D117" s="29" t="s">
        <v>7496</v>
      </c>
      <c r="E117" s="928" t="s">
        <v>7540</v>
      </c>
      <c r="F117" s="928" t="s">
        <v>7541</v>
      </c>
      <c r="G117" s="16">
        <v>1</v>
      </c>
      <c r="H117" s="26">
        <v>101000</v>
      </c>
      <c r="I117" s="17">
        <f t="shared" si="3"/>
        <v>101000</v>
      </c>
      <c r="J117" s="17">
        <f t="shared" si="6"/>
        <v>40400</v>
      </c>
      <c r="K117" s="17">
        <f t="shared" si="4"/>
        <v>60600</v>
      </c>
      <c r="L117" s="17"/>
      <c r="M117" s="17"/>
      <c r="N117" s="17">
        <f t="shared" si="5"/>
        <v>60600</v>
      </c>
      <c r="O117" s="930" t="s">
        <v>23</v>
      </c>
      <c r="P117" s="72"/>
      <c r="Q117" s="406" t="s">
        <v>5552</v>
      </c>
      <c r="R117" s="17"/>
      <c r="S117" s="17"/>
      <c r="T117" s="17"/>
      <c r="U117" s="17"/>
      <c r="V117" s="17"/>
      <c r="W117" s="17"/>
    </row>
    <row r="118" spans="1:23" s="20" customFormat="1">
      <c r="A118" s="941">
        <v>44503</v>
      </c>
      <c r="B118" s="930" t="s">
        <v>23</v>
      </c>
      <c r="C118" s="406" t="s">
        <v>7495</v>
      </c>
      <c r="D118" s="29" t="s">
        <v>7496</v>
      </c>
      <c r="E118" s="928" t="s">
        <v>7542</v>
      </c>
      <c r="F118" s="928" t="s">
        <v>5518</v>
      </c>
      <c r="G118" s="16">
        <v>1</v>
      </c>
      <c r="H118" s="888">
        <v>61000</v>
      </c>
      <c r="I118" s="17">
        <f t="shared" si="3"/>
        <v>61000</v>
      </c>
      <c r="J118" s="17">
        <f t="shared" si="6"/>
        <v>24400</v>
      </c>
      <c r="K118" s="17">
        <f t="shared" si="4"/>
        <v>36600</v>
      </c>
      <c r="L118" s="17"/>
      <c r="M118" s="17"/>
      <c r="N118" s="17">
        <f t="shared" si="5"/>
        <v>36600</v>
      </c>
      <c r="O118" s="930" t="s">
        <v>23</v>
      </c>
      <c r="P118" s="72"/>
      <c r="Q118" s="406" t="s">
        <v>5552</v>
      </c>
      <c r="R118" s="17"/>
      <c r="S118" s="17"/>
      <c r="T118" s="17"/>
      <c r="U118" s="17"/>
      <c r="V118" s="17"/>
      <c r="W118" s="17"/>
    </row>
    <row r="119" spans="1:23" s="20" customFormat="1">
      <c r="A119" s="941">
        <v>44503</v>
      </c>
      <c r="B119" s="930" t="s">
        <v>23</v>
      </c>
      <c r="C119" s="406" t="s">
        <v>7495</v>
      </c>
      <c r="D119" s="29" t="s">
        <v>7496</v>
      </c>
      <c r="E119" s="928" t="s">
        <v>7543</v>
      </c>
      <c r="F119" s="928" t="s">
        <v>7544</v>
      </c>
      <c r="G119" s="16">
        <v>1</v>
      </c>
      <c r="H119" s="26">
        <v>39000</v>
      </c>
      <c r="I119" s="17">
        <f t="shared" si="3"/>
        <v>39000</v>
      </c>
      <c r="J119" s="17">
        <f t="shared" si="6"/>
        <v>15600</v>
      </c>
      <c r="K119" s="17">
        <f t="shared" si="4"/>
        <v>23400</v>
      </c>
      <c r="L119" s="17"/>
      <c r="M119" s="17"/>
      <c r="N119" s="17">
        <f t="shared" si="5"/>
        <v>23400</v>
      </c>
      <c r="O119" s="930" t="s">
        <v>23</v>
      </c>
      <c r="P119" s="72"/>
      <c r="Q119" s="406" t="s">
        <v>5552</v>
      </c>
      <c r="R119" s="17"/>
      <c r="S119" s="17"/>
      <c r="T119" s="17"/>
      <c r="U119" s="17"/>
      <c r="V119" s="17"/>
      <c r="W119" s="17"/>
    </row>
    <row r="120" spans="1:23" s="20" customFormat="1">
      <c r="A120" s="941">
        <v>44503</v>
      </c>
      <c r="B120" s="930" t="s">
        <v>23</v>
      </c>
      <c r="C120" s="406" t="s">
        <v>7495</v>
      </c>
      <c r="D120" s="29" t="s">
        <v>7496</v>
      </c>
      <c r="E120" s="929" t="s">
        <v>7545</v>
      </c>
      <c r="F120" s="929" t="s">
        <v>7546</v>
      </c>
      <c r="G120" s="16">
        <v>1</v>
      </c>
      <c r="H120" s="888">
        <v>69500</v>
      </c>
      <c r="I120" s="17">
        <f t="shared" si="3"/>
        <v>69500</v>
      </c>
      <c r="J120" s="17">
        <f t="shared" si="6"/>
        <v>27800</v>
      </c>
      <c r="K120" s="17">
        <f t="shared" si="4"/>
        <v>41700</v>
      </c>
      <c r="L120" s="17"/>
      <c r="M120" s="17"/>
      <c r="N120" s="17">
        <f t="shared" si="5"/>
        <v>41700</v>
      </c>
      <c r="O120" s="930" t="s">
        <v>23</v>
      </c>
      <c r="P120" s="72"/>
      <c r="Q120" s="406" t="s">
        <v>5552</v>
      </c>
      <c r="R120" s="17"/>
      <c r="S120" s="17"/>
      <c r="T120" s="17"/>
      <c r="U120" s="17"/>
      <c r="V120" s="17"/>
      <c r="W120" s="17"/>
    </row>
    <row r="121" spans="1:23" s="20" customFormat="1">
      <c r="A121" s="941">
        <v>44503</v>
      </c>
      <c r="B121" s="930" t="s">
        <v>23</v>
      </c>
      <c r="C121" s="406" t="s">
        <v>7495</v>
      </c>
      <c r="D121" s="29" t="s">
        <v>7496</v>
      </c>
      <c r="E121" s="929" t="s">
        <v>7547</v>
      </c>
      <c r="F121" s="929" t="s">
        <v>7548</v>
      </c>
      <c r="G121" s="16">
        <v>1</v>
      </c>
      <c r="H121" s="26">
        <v>72000</v>
      </c>
      <c r="I121" s="17">
        <f t="shared" si="3"/>
        <v>72000</v>
      </c>
      <c r="J121" s="17">
        <f t="shared" si="6"/>
        <v>28800</v>
      </c>
      <c r="K121" s="17">
        <f t="shared" si="4"/>
        <v>43200</v>
      </c>
      <c r="L121" s="17"/>
      <c r="M121" s="17"/>
      <c r="N121" s="17">
        <f t="shared" si="5"/>
        <v>43200</v>
      </c>
      <c r="O121" s="930" t="s">
        <v>23</v>
      </c>
      <c r="P121" s="72"/>
      <c r="Q121" s="406" t="s">
        <v>5552</v>
      </c>
      <c r="R121" s="17"/>
      <c r="S121" s="17"/>
      <c r="T121" s="17"/>
      <c r="U121" s="17"/>
      <c r="V121" s="17"/>
      <c r="W121" s="17"/>
    </row>
    <row r="122" spans="1:23" s="20" customFormat="1">
      <c r="A122" s="941">
        <v>44503</v>
      </c>
      <c r="B122" s="930" t="s">
        <v>23</v>
      </c>
      <c r="C122" s="406" t="s">
        <v>7495</v>
      </c>
      <c r="D122" s="29" t="s">
        <v>7496</v>
      </c>
      <c r="E122" s="929" t="s">
        <v>622</v>
      </c>
      <c r="F122" s="929" t="s">
        <v>623</v>
      </c>
      <c r="G122" s="16">
        <v>1</v>
      </c>
      <c r="H122" s="888">
        <v>44000</v>
      </c>
      <c r="I122" s="17">
        <f t="shared" si="3"/>
        <v>44000</v>
      </c>
      <c r="J122" s="17">
        <f t="shared" si="6"/>
        <v>17600</v>
      </c>
      <c r="K122" s="17">
        <f t="shared" si="4"/>
        <v>26400</v>
      </c>
      <c r="L122" s="17"/>
      <c r="M122" s="17"/>
      <c r="N122" s="17">
        <f t="shared" si="5"/>
        <v>26400</v>
      </c>
      <c r="O122" s="930" t="s">
        <v>23</v>
      </c>
      <c r="P122" s="72"/>
      <c r="Q122" s="406" t="s">
        <v>5552</v>
      </c>
      <c r="R122" s="17"/>
      <c r="S122" s="17"/>
      <c r="T122" s="17"/>
      <c r="U122" s="17"/>
      <c r="V122" s="17"/>
      <c r="W122" s="17"/>
    </row>
    <row r="123" spans="1:23" s="20" customFormat="1">
      <c r="A123" s="941">
        <v>44503</v>
      </c>
      <c r="B123" s="930" t="s">
        <v>23</v>
      </c>
      <c r="C123" s="406" t="s">
        <v>7495</v>
      </c>
      <c r="D123" s="29" t="s">
        <v>7496</v>
      </c>
      <c r="E123" s="928" t="s">
        <v>7549</v>
      </c>
      <c r="F123" s="928" t="s">
        <v>7550</v>
      </c>
      <c r="G123" s="16">
        <v>1</v>
      </c>
      <c r="H123" s="26">
        <v>293000</v>
      </c>
      <c r="I123" s="17">
        <f t="shared" si="3"/>
        <v>293000</v>
      </c>
      <c r="J123" s="17">
        <f t="shared" si="6"/>
        <v>117200</v>
      </c>
      <c r="K123" s="17">
        <f t="shared" si="4"/>
        <v>175800</v>
      </c>
      <c r="L123" s="17"/>
      <c r="M123" s="17"/>
      <c r="N123" s="17">
        <f t="shared" si="5"/>
        <v>175800</v>
      </c>
      <c r="O123" s="930" t="s">
        <v>23</v>
      </c>
      <c r="P123" s="72"/>
      <c r="Q123" s="406" t="s">
        <v>5552</v>
      </c>
      <c r="R123" s="17"/>
      <c r="S123" s="17"/>
      <c r="T123" s="17"/>
      <c r="U123" s="17"/>
      <c r="V123" s="17"/>
      <c r="W123" s="17"/>
    </row>
    <row r="124" spans="1:23" s="20" customFormat="1">
      <c r="A124" s="941">
        <v>44503</v>
      </c>
      <c r="B124" s="930" t="s">
        <v>23</v>
      </c>
      <c r="C124" s="406" t="s">
        <v>7495</v>
      </c>
      <c r="D124" s="29" t="s">
        <v>7496</v>
      </c>
      <c r="E124" s="928" t="s">
        <v>5535</v>
      </c>
      <c r="F124" s="928" t="s">
        <v>5536</v>
      </c>
      <c r="G124" s="16">
        <v>1</v>
      </c>
      <c r="H124" s="888">
        <v>36000</v>
      </c>
      <c r="I124" s="17">
        <f t="shared" si="3"/>
        <v>36000</v>
      </c>
      <c r="J124" s="17">
        <f t="shared" si="6"/>
        <v>14400</v>
      </c>
      <c r="K124" s="17">
        <f t="shared" si="4"/>
        <v>21600</v>
      </c>
      <c r="L124" s="17"/>
      <c r="M124" s="17"/>
      <c r="N124" s="17">
        <f t="shared" si="5"/>
        <v>21600</v>
      </c>
      <c r="O124" s="930" t="s">
        <v>23</v>
      </c>
      <c r="P124" s="72"/>
      <c r="Q124" s="406" t="s">
        <v>5552</v>
      </c>
      <c r="R124" s="17"/>
      <c r="S124" s="17"/>
      <c r="T124" s="17"/>
      <c r="U124" s="17"/>
      <c r="V124" s="17"/>
      <c r="W124" s="17"/>
    </row>
    <row r="125" spans="1:23" s="20" customFormat="1">
      <c r="A125" s="941">
        <v>44503</v>
      </c>
      <c r="B125" s="930" t="s">
        <v>23</v>
      </c>
      <c r="C125" s="406" t="s">
        <v>7495</v>
      </c>
      <c r="D125" s="29" t="s">
        <v>7496</v>
      </c>
      <c r="E125" s="928" t="s">
        <v>7551</v>
      </c>
      <c r="F125" s="928" t="s">
        <v>7552</v>
      </c>
      <c r="G125" s="16">
        <v>1</v>
      </c>
      <c r="H125" s="26">
        <v>100000</v>
      </c>
      <c r="I125" s="17">
        <f t="shared" si="3"/>
        <v>100000</v>
      </c>
      <c r="J125" s="17">
        <f t="shared" si="6"/>
        <v>40000</v>
      </c>
      <c r="K125" s="17">
        <f t="shared" si="4"/>
        <v>60000</v>
      </c>
      <c r="L125" s="17"/>
      <c r="M125" s="17"/>
      <c r="N125" s="17">
        <f t="shared" si="5"/>
        <v>60000</v>
      </c>
      <c r="O125" s="930" t="s">
        <v>23</v>
      </c>
      <c r="P125" s="72"/>
      <c r="Q125" s="406" t="s">
        <v>5552</v>
      </c>
      <c r="R125" s="17"/>
      <c r="S125" s="17"/>
      <c r="T125" s="17"/>
      <c r="U125" s="17"/>
      <c r="V125" s="17"/>
      <c r="W125" s="17"/>
    </row>
    <row r="126" spans="1:23" s="20" customFormat="1">
      <c r="A126" s="941">
        <v>44503</v>
      </c>
      <c r="B126" s="930" t="s">
        <v>23</v>
      </c>
      <c r="C126" s="406" t="s">
        <v>7495</v>
      </c>
      <c r="D126" s="29" t="s">
        <v>7496</v>
      </c>
      <c r="E126" s="928" t="s">
        <v>7553</v>
      </c>
      <c r="F126" s="928" t="s">
        <v>7554</v>
      </c>
      <c r="G126" s="16">
        <v>1</v>
      </c>
      <c r="H126" s="888">
        <v>59000</v>
      </c>
      <c r="I126" s="17">
        <f t="shared" si="3"/>
        <v>59000</v>
      </c>
      <c r="J126" s="17">
        <f t="shared" si="6"/>
        <v>23600</v>
      </c>
      <c r="K126" s="17">
        <f t="shared" si="4"/>
        <v>35400</v>
      </c>
      <c r="L126" s="17"/>
      <c r="M126" s="17"/>
      <c r="N126" s="17">
        <f t="shared" si="5"/>
        <v>35400</v>
      </c>
      <c r="O126" s="930" t="s">
        <v>23</v>
      </c>
      <c r="P126" s="72"/>
      <c r="Q126" s="406" t="s">
        <v>5552</v>
      </c>
      <c r="R126" s="17"/>
      <c r="S126" s="17"/>
      <c r="T126" s="17"/>
      <c r="U126" s="17"/>
      <c r="V126" s="17"/>
      <c r="W126" s="17"/>
    </row>
    <row r="127" spans="1:23" s="20" customFormat="1">
      <c r="A127" s="941">
        <v>44503</v>
      </c>
      <c r="B127" s="930" t="s">
        <v>23</v>
      </c>
      <c r="C127" s="406" t="s">
        <v>7495</v>
      </c>
      <c r="D127" s="29" t="s">
        <v>7496</v>
      </c>
      <c r="E127" s="928" t="s">
        <v>7555</v>
      </c>
      <c r="F127" s="928" t="s">
        <v>3463</v>
      </c>
      <c r="G127" s="16">
        <v>1</v>
      </c>
      <c r="H127" s="26">
        <v>139000</v>
      </c>
      <c r="I127" s="17">
        <f t="shared" si="3"/>
        <v>139000</v>
      </c>
      <c r="J127" s="17">
        <f t="shared" si="6"/>
        <v>55600</v>
      </c>
      <c r="K127" s="17">
        <f t="shared" si="4"/>
        <v>83400</v>
      </c>
      <c r="L127" s="17"/>
      <c r="M127" s="17"/>
      <c r="N127" s="17">
        <f t="shared" si="5"/>
        <v>83400</v>
      </c>
      <c r="O127" s="930" t="s">
        <v>23</v>
      </c>
      <c r="P127" s="183"/>
      <c r="Q127" s="406" t="s">
        <v>5552</v>
      </c>
      <c r="R127" s="17"/>
      <c r="S127" s="13"/>
      <c r="T127" s="17"/>
      <c r="U127" s="17"/>
      <c r="V127" s="17"/>
      <c r="W127" s="17"/>
    </row>
    <row r="128" spans="1:23" s="20" customFormat="1">
      <c r="A128" s="941">
        <v>44503</v>
      </c>
      <c r="B128" s="930" t="s">
        <v>23</v>
      </c>
      <c r="C128" s="406" t="s">
        <v>7495</v>
      </c>
      <c r="D128" s="29" t="s">
        <v>7496</v>
      </c>
      <c r="E128" s="928" t="s">
        <v>7556</v>
      </c>
      <c r="F128" s="928" t="s">
        <v>7557</v>
      </c>
      <c r="G128" s="16">
        <v>1</v>
      </c>
      <c r="H128" s="888">
        <v>63000</v>
      </c>
      <c r="I128" s="17">
        <f t="shared" si="3"/>
        <v>63000</v>
      </c>
      <c r="J128" s="17">
        <f t="shared" si="6"/>
        <v>25200</v>
      </c>
      <c r="K128" s="17">
        <f t="shared" si="4"/>
        <v>37800</v>
      </c>
      <c r="L128" s="17"/>
      <c r="M128" s="17"/>
      <c r="N128" s="17">
        <f t="shared" si="5"/>
        <v>37800</v>
      </c>
      <c r="O128" s="930" t="s">
        <v>23</v>
      </c>
      <c r="P128" s="72"/>
      <c r="Q128" s="942" t="s">
        <v>5552</v>
      </c>
      <c r="R128" s="17"/>
      <c r="S128" s="13"/>
      <c r="T128" s="17"/>
      <c r="U128" s="17"/>
      <c r="V128" s="17"/>
      <c r="W128" s="17"/>
    </row>
    <row r="129" spans="1:23" s="20" customFormat="1">
      <c r="A129" s="941">
        <v>44503</v>
      </c>
      <c r="B129" s="930" t="s">
        <v>23</v>
      </c>
      <c r="C129" s="406" t="s">
        <v>7495</v>
      </c>
      <c r="D129" s="29" t="s">
        <v>7496</v>
      </c>
      <c r="E129" s="929" t="s">
        <v>7558</v>
      </c>
      <c r="F129" s="929" t="s">
        <v>7559</v>
      </c>
      <c r="G129" s="16">
        <v>1</v>
      </c>
      <c r="H129" s="26">
        <v>62500</v>
      </c>
      <c r="I129" s="17">
        <f t="shared" si="3"/>
        <v>62500</v>
      </c>
      <c r="J129" s="17">
        <f t="shared" si="6"/>
        <v>25000</v>
      </c>
      <c r="K129" s="17">
        <f t="shared" si="4"/>
        <v>37500</v>
      </c>
      <c r="L129" s="17"/>
      <c r="M129" s="17"/>
      <c r="N129" s="17">
        <f t="shared" si="5"/>
        <v>37500</v>
      </c>
      <c r="O129" s="930" t="s">
        <v>23</v>
      </c>
      <c r="P129" s="72"/>
      <c r="Q129" s="10" t="s">
        <v>40</v>
      </c>
      <c r="R129" s="17"/>
      <c r="S129" s="17"/>
      <c r="T129" s="17"/>
      <c r="U129" s="17"/>
      <c r="V129" s="17"/>
      <c r="W129" s="17"/>
    </row>
    <row r="130" spans="1:23" s="20" customFormat="1">
      <c r="A130" s="943">
        <v>44503</v>
      </c>
      <c r="B130" s="944" t="s">
        <v>23</v>
      </c>
      <c r="C130" s="406" t="s">
        <v>7495</v>
      </c>
      <c r="D130" s="29" t="s">
        <v>7496</v>
      </c>
      <c r="E130" s="782" t="s">
        <v>1351</v>
      </c>
      <c r="F130" s="782" t="s">
        <v>1352</v>
      </c>
      <c r="G130" s="16">
        <v>1</v>
      </c>
      <c r="H130" s="888">
        <v>52000</v>
      </c>
      <c r="I130" s="17">
        <f t="shared" si="3"/>
        <v>52000</v>
      </c>
      <c r="J130" s="17">
        <f t="shared" si="6"/>
        <v>20800</v>
      </c>
      <c r="K130" s="17">
        <f t="shared" si="4"/>
        <v>31200</v>
      </c>
      <c r="L130" s="17"/>
      <c r="M130" s="17"/>
      <c r="N130" s="17">
        <f t="shared" si="5"/>
        <v>31200</v>
      </c>
      <c r="O130" s="944" t="s">
        <v>23</v>
      </c>
      <c r="P130" s="183"/>
      <c r="Q130" s="10" t="s">
        <v>328</v>
      </c>
      <c r="R130" s="17"/>
      <c r="S130" s="17"/>
      <c r="T130" s="17"/>
      <c r="U130" s="17"/>
      <c r="V130" s="17"/>
      <c r="W130" s="17"/>
    </row>
    <row r="131" spans="1:23" s="20" customFormat="1">
      <c r="A131" s="880">
        <v>44503</v>
      </c>
      <c r="B131" s="76" t="s">
        <v>23</v>
      </c>
      <c r="C131" s="11" t="s">
        <v>4030</v>
      </c>
      <c r="D131" s="29" t="s">
        <v>7560</v>
      </c>
      <c r="E131" s="76" t="s">
        <v>201</v>
      </c>
      <c r="F131" s="76" t="s">
        <v>202</v>
      </c>
      <c r="G131" s="16">
        <v>1</v>
      </c>
      <c r="H131" s="26">
        <v>131000</v>
      </c>
      <c r="I131" s="17">
        <f t="shared" ref="I131:I194" si="7">H131*G131</f>
        <v>131000</v>
      </c>
      <c r="J131" s="86"/>
      <c r="K131" s="17">
        <f t="shared" ref="K131:K194" si="8">I131-J131</f>
        <v>131000</v>
      </c>
      <c r="L131" s="17">
        <v>10000</v>
      </c>
      <c r="M131" s="17"/>
      <c r="N131" s="17">
        <f t="shared" ref="N131:N152" si="9">K131+L131+M131</f>
        <v>141000</v>
      </c>
      <c r="O131" s="76" t="s">
        <v>23</v>
      </c>
      <c r="P131" s="72"/>
      <c r="Q131" s="10" t="s">
        <v>328</v>
      </c>
      <c r="R131" s="17"/>
      <c r="S131" s="17"/>
      <c r="T131" s="17"/>
      <c r="U131" s="17"/>
      <c r="V131" s="17"/>
      <c r="W131" s="17"/>
    </row>
    <row r="132" spans="1:23" s="20" customFormat="1">
      <c r="A132" s="880">
        <v>44503</v>
      </c>
      <c r="B132" s="76" t="s">
        <v>206</v>
      </c>
      <c r="C132" s="11" t="s">
        <v>7561</v>
      </c>
      <c r="D132" s="29" t="s">
        <v>7562</v>
      </c>
      <c r="E132" s="945" t="s">
        <v>7563</v>
      </c>
      <c r="F132" s="945" t="s">
        <v>7564</v>
      </c>
      <c r="G132" s="16">
        <v>1</v>
      </c>
      <c r="H132" s="888">
        <v>146000</v>
      </c>
      <c r="I132" s="17">
        <f t="shared" si="7"/>
        <v>146000</v>
      </c>
      <c r="J132" s="86"/>
      <c r="K132" s="17">
        <f t="shared" si="8"/>
        <v>146000</v>
      </c>
      <c r="L132" s="17">
        <f>16800-16000</f>
        <v>800</v>
      </c>
      <c r="M132" s="17"/>
      <c r="N132" s="17">
        <f t="shared" si="9"/>
        <v>146800</v>
      </c>
      <c r="O132" s="76" t="s">
        <v>206</v>
      </c>
      <c r="P132" s="72"/>
      <c r="Q132" s="10" t="s">
        <v>40</v>
      </c>
      <c r="R132" s="17"/>
      <c r="S132" s="17"/>
      <c r="T132" s="17"/>
      <c r="U132" s="17"/>
      <c r="V132" s="17"/>
      <c r="W132" s="17"/>
    </row>
    <row r="133" spans="1:23" s="20" customFormat="1">
      <c r="A133" s="880">
        <v>44503</v>
      </c>
      <c r="B133" s="76" t="s">
        <v>206</v>
      </c>
      <c r="C133" s="11" t="s">
        <v>7561</v>
      </c>
      <c r="D133" s="29" t="s">
        <v>7562</v>
      </c>
      <c r="E133" s="945" t="s">
        <v>7565</v>
      </c>
      <c r="F133" s="945" t="s">
        <v>7566</v>
      </c>
      <c r="G133" s="16">
        <v>1</v>
      </c>
      <c r="H133" s="26">
        <v>32000</v>
      </c>
      <c r="I133" s="17">
        <f t="shared" si="7"/>
        <v>32000</v>
      </c>
      <c r="J133" s="86"/>
      <c r="K133" s="17">
        <f t="shared" si="8"/>
        <v>32000</v>
      </c>
      <c r="L133" s="17"/>
      <c r="M133" s="17"/>
      <c r="N133" s="17">
        <f t="shared" si="9"/>
        <v>32000</v>
      </c>
      <c r="O133" s="76" t="s">
        <v>206</v>
      </c>
      <c r="P133" s="183"/>
      <c r="Q133" s="10" t="s">
        <v>40</v>
      </c>
      <c r="R133" s="17"/>
      <c r="S133" s="17"/>
      <c r="T133" s="17"/>
      <c r="U133" s="17"/>
      <c r="V133" s="17"/>
      <c r="W133" s="17"/>
    </row>
    <row r="134" spans="1:23" s="20" customFormat="1">
      <c r="A134" s="880">
        <v>44503</v>
      </c>
      <c r="B134" s="76" t="s">
        <v>23</v>
      </c>
      <c r="C134" s="11" t="s">
        <v>7567</v>
      </c>
      <c r="D134" s="29" t="s">
        <v>7568</v>
      </c>
      <c r="E134" s="76" t="s">
        <v>1826</v>
      </c>
      <c r="F134" s="76" t="s">
        <v>1827</v>
      </c>
      <c r="G134" s="16">
        <v>1</v>
      </c>
      <c r="H134" s="888">
        <v>71000</v>
      </c>
      <c r="I134" s="17">
        <f t="shared" si="7"/>
        <v>71000</v>
      </c>
      <c r="J134" s="86"/>
      <c r="K134" s="17">
        <f t="shared" si="8"/>
        <v>71000</v>
      </c>
      <c r="L134" s="17">
        <v>24000</v>
      </c>
      <c r="M134" s="17"/>
      <c r="N134" s="17">
        <f t="shared" si="9"/>
        <v>95000</v>
      </c>
      <c r="O134" s="76" t="s">
        <v>23</v>
      </c>
      <c r="P134" s="183"/>
      <c r="Q134" s="10" t="s">
        <v>40</v>
      </c>
      <c r="R134" s="17"/>
      <c r="S134" s="17"/>
      <c r="T134" s="17"/>
      <c r="U134" s="17"/>
      <c r="V134" s="17"/>
      <c r="W134" s="17"/>
    </row>
    <row r="135" spans="1:23" s="29" customFormat="1">
      <c r="A135" s="880">
        <v>44504</v>
      </c>
      <c r="B135" s="76" t="s">
        <v>43</v>
      </c>
      <c r="C135" s="11" t="s">
        <v>7569</v>
      </c>
      <c r="D135" s="29" t="s">
        <v>7570</v>
      </c>
      <c r="E135" s="76" t="s">
        <v>4636</v>
      </c>
      <c r="F135" s="76" t="s">
        <v>4637</v>
      </c>
      <c r="G135" s="16">
        <v>1</v>
      </c>
      <c r="H135" s="23">
        <v>96000</v>
      </c>
      <c r="I135" s="17">
        <f t="shared" si="7"/>
        <v>96000</v>
      </c>
      <c r="J135" s="86"/>
      <c r="K135" s="17">
        <f t="shared" si="8"/>
        <v>96000</v>
      </c>
      <c r="L135" s="92"/>
      <c r="M135" s="92">
        <v>-5376</v>
      </c>
      <c r="N135" s="17">
        <f t="shared" si="9"/>
        <v>90624</v>
      </c>
      <c r="O135" s="76" t="s">
        <v>43</v>
      </c>
      <c r="P135" s="72"/>
      <c r="Q135" s="10" t="s">
        <v>54</v>
      </c>
      <c r="R135" s="92"/>
      <c r="S135" s="92"/>
      <c r="T135" s="92"/>
      <c r="U135" s="92"/>
      <c r="V135" s="92"/>
      <c r="W135" s="92"/>
    </row>
    <row r="136" spans="1:23" s="29" customFormat="1">
      <c r="A136" s="880">
        <v>44504</v>
      </c>
      <c r="B136" s="76" t="s">
        <v>43</v>
      </c>
      <c r="C136" s="10" t="s">
        <v>7571</v>
      </c>
      <c r="D136" s="23" t="s">
        <v>7572</v>
      </c>
      <c r="E136" s="739" t="s">
        <v>7089</v>
      </c>
      <c r="F136" s="739" t="s">
        <v>7090</v>
      </c>
      <c r="G136" s="16">
        <v>1</v>
      </c>
      <c r="H136" s="888">
        <v>206000</v>
      </c>
      <c r="I136" s="17">
        <f t="shared" si="7"/>
        <v>206000</v>
      </c>
      <c r="J136" s="86"/>
      <c r="K136" s="17">
        <f t="shared" si="8"/>
        <v>206000</v>
      </c>
      <c r="L136" s="92"/>
      <c r="M136" s="92">
        <v>-11536</v>
      </c>
      <c r="N136" s="17">
        <f t="shared" si="9"/>
        <v>194464</v>
      </c>
      <c r="O136" s="76" t="s">
        <v>43</v>
      </c>
      <c r="P136" s="183"/>
      <c r="Q136" s="10" t="s">
        <v>54</v>
      </c>
      <c r="R136" s="92"/>
      <c r="S136" s="92"/>
      <c r="T136" s="92"/>
      <c r="U136" s="92"/>
      <c r="V136" s="92"/>
      <c r="W136" s="92"/>
    </row>
    <row r="137" spans="1:23" s="29" customFormat="1">
      <c r="A137" s="880">
        <v>44504</v>
      </c>
      <c r="B137" s="76" t="s">
        <v>43</v>
      </c>
      <c r="C137" s="10" t="s">
        <v>7573</v>
      </c>
      <c r="D137" s="29" t="s">
        <v>7574</v>
      </c>
      <c r="E137" s="76" t="s">
        <v>7575</v>
      </c>
      <c r="F137" s="76" t="s">
        <v>7576</v>
      </c>
      <c r="G137" s="946">
        <v>1</v>
      </c>
      <c r="H137" s="23">
        <v>139000</v>
      </c>
      <c r="I137" s="17">
        <f t="shared" si="7"/>
        <v>139000</v>
      </c>
      <c r="J137" s="86">
        <f>I137*15%</f>
        <v>20850</v>
      </c>
      <c r="K137" s="17">
        <f t="shared" si="8"/>
        <v>118150</v>
      </c>
      <c r="L137" s="92">
        <v>-6616</v>
      </c>
      <c r="M137" s="92"/>
      <c r="N137" s="17">
        <f t="shared" si="9"/>
        <v>111534</v>
      </c>
      <c r="O137" s="76" t="s">
        <v>43</v>
      </c>
      <c r="P137" s="183"/>
      <c r="Q137" s="10" t="s">
        <v>176</v>
      </c>
      <c r="R137" s="92"/>
      <c r="S137" s="92"/>
      <c r="T137" s="92"/>
      <c r="U137" s="92"/>
      <c r="V137" s="92"/>
      <c r="W137" s="92"/>
    </row>
    <row r="138" spans="1:23" s="29" customFormat="1">
      <c r="A138" s="880">
        <v>44504</v>
      </c>
      <c r="B138" s="76" t="s">
        <v>43</v>
      </c>
      <c r="C138" s="11" t="s">
        <v>7577</v>
      </c>
      <c r="D138" s="29" t="s">
        <v>7578</v>
      </c>
      <c r="E138" s="76" t="s">
        <v>7575</v>
      </c>
      <c r="F138" s="76" t="s">
        <v>7576</v>
      </c>
      <c r="G138" s="946">
        <v>1</v>
      </c>
      <c r="H138" s="888">
        <v>139000</v>
      </c>
      <c r="I138" s="17">
        <f t="shared" si="7"/>
        <v>139000</v>
      </c>
      <c r="J138" s="86">
        <f>I138*15%</f>
        <v>20850</v>
      </c>
      <c r="K138" s="17">
        <f t="shared" si="8"/>
        <v>118150</v>
      </c>
      <c r="L138" s="92">
        <v>-6616</v>
      </c>
      <c r="M138" s="92"/>
      <c r="N138" s="17">
        <f t="shared" si="9"/>
        <v>111534</v>
      </c>
      <c r="O138" s="76" t="s">
        <v>43</v>
      </c>
      <c r="P138" s="183"/>
      <c r="Q138" s="10" t="s">
        <v>176</v>
      </c>
      <c r="R138" s="92"/>
      <c r="S138" s="92"/>
      <c r="T138" s="92"/>
      <c r="U138" s="92"/>
      <c r="V138" s="92"/>
      <c r="W138" s="92"/>
    </row>
    <row r="139" spans="1:23" s="29" customFormat="1">
      <c r="A139" s="880">
        <v>44504</v>
      </c>
      <c r="B139" s="76" t="s">
        <v>43</v>
      </c>
      <c r="C139" s="10" t="s">
        <v>7579</v>
      </c>
      <c r="D139" s="29" t="s">
        <v>7580</v>
      </c>
      <c r="E139" s="76" t="s">
        <v>1339</v>
      </c>
      <c r="F139" s="76" t="s">
        <v>7581</v>
      </c>
      <c r="G139" s="16">
        <v>1</v>
      </c>
      <c r="H139" s="23">
        <v>94000</v>
      </c>
      <c r="I139" s="17">
        <f t="shared" si="7"/>
        <v>94000</v>
      </c>
      <c r="J139" s="86"/>
      <c r="K139" s="17">
        <f t="shared" si="8"/>
        <v>94000</v>
      </c>
      <c r="L139" s="92">
        <v>-5264</v>
      </c>
      <c r="M139" s="92"/>
      <c r="N139" s="17">
        <f t="shared" si="9"/>
        <v>88736</v>
      </c>
      <c r="O139" s="76" t="s">
        <v>43</v>
      </c>
      <c r="P139" s="72"/>
      <c r="Q139" s="10" t="s">
        <v>54</v>
      </c>
      <c r="R139" s="92"/>
      <c r="S139" s="92"/>
      <c r="T139" s="92"/>
      <c r="U139" s="92"/>
      <c r="V139" s="92"/>
      <c r="W139" s="92"/>
    </row>
    <row r="140" spans="1:23" s="29" customFormat="1">
      <c r="A140" s="880">
        <v>44504</v>
      </c>
      <c r="B140" s="76" t="s">
        <v>206</v>
      </c>
      <c r="C140" s="10" t="s">
        <v>7582</v>
      </c>
      <c r="D140" s="29" t="s">
        <v>7583</v>
      </c>
      <c r="E140" s="739" t="s">
        <v>7374</v>
      </c>
      <c r="F140" s="739" t="s">
        <v>7375</v>
      </c>
      <c r="G140" s="16">
        <v>1</v>
      </c>
      <c r="H140" s="888">
        <v>69000</v>
      </c>
      <c r="I140" s="17">
        <f t="shared" si="7"/>
        <v>69000</v>
      </c>
      <c r="J140" s="92"/>
      <c r="K140" s="17">
        <f t="shared" si="8"/>
        <v>69000</v>
      </c>
      <c r="L140" s="92">
        <f>16400-16000</f>
        <v>400</v>
      </c>
      <c r="M140" s="92"/>
      <c r="N140" s="17">
        <f t="shared" si="9"/>
        <v>69400</v>
      </c>
      <c r="O140" s="76" t="s">
        <v>206</v>
      </c>
      <c r="P140" s="183"/>
      <c r="Q140" s="10" t="s">
        <v>328</v>
      </c>
      <c r="R140" s="92"/>
      <c r="S140" s="92"/>
      <c r="T140" s="92"/>
      <c r="U140" s="92"/>
      <c r="V140" s="92"/>
      <c r="W140" s="92"/>
    </row>
    <row r="141" spans="1:23" s="29" customFormat="1">
      <c r="A141" s="880">
        <v>44504</v>
      </c>
      <c r="B141" s="76" t="s">
        <v>23</v>
      </c>
      <c r="C141" s="10" t="s">
        <v>5137</v>
      </c>
      <c r="D141" s="29" t="s">
        <v>7584</v>
      </c>
      <c r="E141" s="76" t="s">
        <v>5139</v>
      </c>
      <c r="F141" s="76" t="s">
        <v>5140</v>
      </c>
      <c r="G141" s="16">
        <v>1</v>
      </c>
      <c r="H141" s="23">
        <v>117000</v>
      </c>
      <c r="I141" s="17">
        <f t="shared" si="7"/>
        <v>117000</v>
      </c>
      <c r="J141" s="92"/>
      <c r="K141" s="17">
        <f t="shared" si="8"/>
        <v>117000</v>
      </c>
      <c r="L141" s="92">
        <v>16000</v>
      </c>
      <c r="M141" s="92"/>
      <c r="N141" s="17">
        <f t="shared" si="9"/>
        <v>133000</v>
      </c>
      <c r="O141" s="76" t="s">
        <v>23</v>
      </c>
      <c r="P141" s="72"/>
      <c r="Q141" s="10" t="s">
        <v>40</v>
      </c>
      <c r="R141" s="92"/>
      <c r="S141" s="92"/>
      <c r="T141" s="92"/>
      <c r="U141" s="92"/>
      <c r="V141" s="92"/>
      <c r="W141" s="92"/>
    </row>
    <row r="142" spans="1:23" s="29" customFormat="1">
      <c r="A142" s="880">
        <v>44504</v>
      </c>
      <c r="B142" s="76" t="s">
        <v>23</v>
      </c>
      <c r="C142" s="11" t="s">
        <v>7585</v>
      </c>
      <c r="D142" s="29" t="s">
        <v>7586</v>
      </c>
      <c r="E142" s="914" t="s">
        <v>1236</v>
      </c>
      <c r="F142" s="914" t="s">
        <v>1237</v>
      </c>
      <c r="G142" s="16">
        <v>1</v>
      </c>
      <c r="H142" s="888">
        <v>100000</v>
      </c>
      <c r="I142" s="17">
        <f t="shared" si="7"/>
        <v>100000</v>
      </c>
      <c r="J142" s="92"/>
      <c r="K142" s="17">
        <f t="shared" si="8"/>
        <v>100000</v>
      </c>
      <c r="L142" s="92">
        <v>6000</v>
      </c>
      <c r="M142" s="92"/>
      <c r="N142" s="17">
        <f t="shared" si="9"/>
        <v>106000</v>
      </c>
      <c r="O142" s="76" t="s">
        <v>23</v>
      </c>
      <c r="P142" s="72"/>
      <c r="Q142" s="10" t="s">
        <v>28</v>
      </c>
      <c r="R142" s="92"/>
      <c r="S142" s="92"/>
      <c r="T142" s="92"/>
      <c r="U142" s="92"/>
      <c r="V142" s="92"/>
      <c r="W142" s="92"/>
    </row>
    <row r="143" spans="1:23" s="29" customFormat="1">
      <c r="A143" s="880">
        <v>44504</v>
      </c>
      <c r="B143" s="76" t="s">
        <v>23</v>
      </c>
      <c r="C143" s="11" t="s">
        <v>7585</v>
      </c>
      <c r="D143" s="29" t="s">
        <v>7586</v>
      </c>
      <c r="E143" s="914" t="s">
        <v>945</v>
      </c>
      <c r="F143" s="914" t="s">
        <v>946</v>
      </c>
      <c r="G143" s="16">
        <v>1</v>
      </c>
      <c r="H143" s="23">
        <v>72500</v>
      </c>
      <c r="I143" s="17">
        <f t="shared" si="7"/>
        <v>72500</v>
      </c>
      <c r="J143" s="92"/>
      <c r="K143" s="17">
        <f t="shared" si="8"/>
        <v>72500</v>
      </c>
      <c r="L143" s="92"/>
      <c r="M143" s="92"/>
      <c r="N143" s="17">
        <f t="shared" si="9"/>
        <v>72500</v>
      </c>
      <c r="O143" s="76" t="s">
        <v>23</v>
      </c>
      <c r="P143" s="72"/>
      <c r="Q143" s="10" t="s">
        <v>28</v>
      </c>
      <c r="R143" s="92"/>
      <c r="S143" s="92"/>
      <c r="T143" s="92"/>
      <c r="U143" s="92"/>
      <c r="V143" s="92"/>
      <c r="W143" s="92"/>
    </row>
    <row r="144" spans="1:23" s="29" customFormat="1">
      <c r="A144" s="880">
        <v>44504</v>
      </c>
      <c r="B144" s="76" t="s">
        <v>23</v>
      </c>
      <c r="C144" s="11" t="s">
        <v>7587</v>
      </c>
      <c r="D144" s="29" t="s">
        <v>7588</v>
      </c>
      <c r="E144" s="76" t="s">
        <v>4444</v>
      </c>
      <c r="F144" s="76" t="s">
        <v>4445</v>
      </c>
      <c r="G144" s="16">
        <v>1</v>
      </c>
      <c r="H144" s="888">
        <v>61500</v>
      </c>
      <c r="I144" s="17">
        <f t="shared" si="7"/>
        <v>61500</v>
      </c>
      <c r="J144" s="92"/>
      <c r="K144" s="17">
        <f t="shared" si="8"/>
        <v>61500</v>
      </c>
      <c r="L144" s="92">
        <v>26000</v>
      </c>
      <c r="M144" s="92"/>
      <c r="N144" s="17">
        <f t="shared" si="9"/>
        <v>87500</v>
      </c>
      <c r="O144" s="76" t="s">
        <v>23</v>
      </c>
      <c r="P144" s="183"/>
      <c r="Q144" s="10" t="s">
        <v>40</v>
      </c>
      <c r="R144" s="92"/>
      <c r="S144" s="92"/>
      <c r="T144" s="92"/>
      <c r="U144" s="92"/>
      <c r="V144" s="92"/>
      <c r="W144" s="92"/>
    </row>
    <row r="145" spans="1:23" s="29" customFormat="1">
      <c r="A145" s="880">
        <v>44504</v>
      </c>
      <c r="B145" s="76" t="s">
        <v>23</v>
      </c>
      <c r="C145" s="10" t="s">
        <v>7589</v>
      </c>
      <c r="D145" s="29" t="s">
        <v>7590</v>
      </c>
      <c r="E145" s="739" t="s">
        <v>5997</v>
      </c>
      <c r="F145" s="739" t="s">
        <v>7044</v>
      </c>
      <c r="G145" s="16">
        <v>1</v>
      </c>
      <c r="H145" s="23">
        <v>59000</v>
      </c>
      <c r="I145" s="17">
        <f t="shared" si="7"/>
        <v>59000</v>
      </c>
      <c r="J145" s="92"/>
      <c r="K145" s="17">
        <f t="shared" si="8"/>
        <v>59000</v>
      </c>
      <c r="L145" s="92">
        <v>20000</v>
      </c>
      <c r="M145" s="92"/>
      <c r="N145" s="17">
        <f t="shared" si="9"/>
        <v>79000</v>
      </c>
      <c r="O145" s="76" t="s">
        <v>23</v>
      </c>
      <c r="P145" s="183"/>
      <c r="Q145" s="10" t="s">
        <v>54</v>
      </c>
      <c r="R145" s="92"/>
      <c r="S145" s="92"/>
      <c r="T145" s="92"/>
      <c r="U145" s="92"/>
      <c r="V145" s="92"/>
      <c r="W145" s="92"/>
    </row>
    <row r="146" spans="1:23" s="29" customFormat="1">
      <c r="A146" s="880">
        <v>44504</v>
      </c>
      <c r="B146" s="76" t="s">
        <v>313</v>
      </c>
      <c r="C146" s="10" t="s">
        <v>7591</v>
      </c>
      <c r="D146" s="29" t="s">
        <v>7592</v>
      </c>
      <c r="E146" s="739" t="s">
        <v>7593</v>
      </c>
      <c r="F146" s="739" t="s">
        <v>2633</v>
      </c>
      <c r="G146" s="16">
        <v>1</v>
      </c>
      <c r="H146" s="888">
        <v>68000</v>
      </c>
      <c r="I146" s="17">
        <f t="shared" si="7"/>
        <v>68000</v>
      </c>
      <c r="J146" s="92"/>
      <c r="K146" s="17">
        <f t="shared" si="8"/>
        <v>68000</v>
      </c>
      <c r="L146" s="92">
        <v>7026</v>
      </c>
      <c r="M146" s="92"/>
      <c r="N146" s="17">
        <f t="shared" si="9"/>
        <v>75026</v>
      </c>
      <c r="O146" s="76" t="s">
        <v>23</v>
      </c>
      <c r="P146" s="72"/>
      <c r="Q146" s="10" t="s">
        <v>28</v>
      </c>
      <c r="R146" s="92"/>
      <c r="S146" s="92"/>
      <c r="T146" s="92"/>
      <c r="U146" s="92"/>
      <c r="V146" s="92"/>
      <c r="W146" s="92"/>
    </row>
    <row r="147" spans="1:23" s="29" customFormat="1">
      <c r="A147" s="880">
        <v>44504</v>
      </c>
      <c r="B147" s="76" t="s">
        <v>23</v>
      </c>
      <c r="C147" s="11" t="s">
        <v>7594</v>
      </c>
      <c r="D147" s="29" t="s">
        <v>7595</v>
      </c>
      <c r="E147" s="739" t="s">
        <v>7596</v>
      </c>
      <c r="F147" s="739" t="s">
        <v>7597</v>
      </c>
      <c r="G147" s="16">
        <v>1</v>
      </c>
      <c r="H147" s="23">
        <v>133000</v>
      </c>
      <c r="I147" s="17">
        <f t="shared" si="7"/>
        <v>133000</v>
      </c>
      <c r="K147" s="17">
        <f t="shared" si="8"/>
        <v>133000</v>
      </c>
      <c r="L147" s="92">
        <v>70000</v>
      </c>
      <c r="M147" s="92"/>
      <c r="N147" s="17">
        <f t="shared" si="9"/>
        <v>203000</v>
      </c>
      <c r="O147" s="76" t="s">
        <v>23</v>
      </c>
      <c r="P147" s="72"/>
      <c r="Q147" s="10" t="s">
        <v>28</v>
      </c>
      <c r="R147" s="92"/>
      <c r="S147" s="92"/>
      <c r="T147" s="92"/>
      <c r="U147" s="92"/>
      <c r="V147" s="92"/>
      <c r="W147" s="92"/>
    </row>
    <row r="148" spans="1:23" s="20" customFormat="1">
      <c r="A148" s="880">
        <v>44505</v>
      </c>
      <c r="B148" s="76" t="s">
        <v>43</v>
      </c>
      <c r="C148" s="11" t="s">
        <v>7598</v>
      </c>
      <c r="D148" s="29" t="s">
        <v>7599</v>
      </c>
      <c r="E148" s="883" t="s">
        <v>247</v>
      </c>
      <c r="F148" s="883" t="s">
        <v>248</v>
      </c>
      <c r="G148" s="16">
        <v>1</v>
      </c>
      <c r="H148" s="888">
        <v>68000</v>
      </c>
      <c r="I148" s="17">
        <f t="shared" si="7"/>
        <v>68000</v>
      </c>
      <c r="J148" s="20">
        <f>I148*15%</f>
        <v>10200</v>
      </c>
      <c r="K148" s="17">
        <f t="shared" si="8"/>
        <v>57800</v>
      </c>
      <c r="L148" s="92">
        <v>-8996</v>
      </c>
      <c r="M148" s="17"/>
      <c r="N148" s="17">
        <f t="shared" si="9"/>
        <v>48804</v>
      </c>
      <c r="O148" s="76" t="s">
        <v>43</v>
      </c>
      <c r="P148" s="72"/>
      <c r="Q148" s="10" t="s">
        <v>176</v>
      </c>
      <c r="R148" s="17"/>
      <c r="S148" s="17"/>
      <c r="T148" s="17"/>
      <c r="U148" s="17"/>
      <c r="V148" s="17"/>
      <c r="W148" s="17"/>
    </row>
    <row r="149" spans="1:23" s="20" customFormat="1">
      <c r="A149" s="880">
        <v>44505</v>
      </c>
      <c r="B149" s="76" t="s">
        <v>43</v>
      </c>
      <c r="C149" s="11" t="s">
        <v>7598</v>
      </c>
      <c r="D149" s="29" t="s">
        <v>7600</v>
      </c>
      <c r="E149" s="884" t="s">
        <v>2598</v>
      </c>
      <c r="F149" s="884" t="s">
        <v>2599</v>
      </c>
      <c r="G149" s="16">
        <v>1</v>
      </c>
      <c r="H149" s="23">
        <v>121000</v>
      </c>
      <c r="I149" s="17">
        <f t="shared" si="7"/>
        <v>121000</v>
      </c>
      <c r="J149" s="20">
        <f>I149*15%</f>
        <v>18150</v>
      </c>
      <c r="K149" s="17">
        <f t="shared" si="8"/>
        <v>102850</v>
      </c>
      <c r="L149" s="17"/>
      <c r="M149" s="17"/>
      <c r="N149" s="17">
        <f t="shared" si="9"/>
        <v>102850</v>
      </c>
      <c r="O149" s="76" t="s">
        <v>43</v>
      </c>
      <c r="P149" s="72"/>
      <c r="Q149" s="10" t="s">
        <v>176</v>
      </c>
      <c r="R149" s="17"/>
      <c r="S149" s="17"/>
      <c r="T149" s="17"/>
      <c r="U149" s="17"/>
      <c r="V149" s="17"/>
      <c r="W149" s="17"/>
    </row>
    <row r="150" spans="1:23" s="20" customFormat="1">
      <c r="A150" s="880">
        <v>44505</v>
      </c>
      <c r="B150" s="76" t="s">
        <v>43</v>
      </c>
      <c r="C150" s="11" t="s">
        <v>7601</v>
      </c>
      <c r="D150" s="29" t="s">
        <v>7602</v>
      </c>
      <c r="E150" s="740" t="s">
        <v>4235</v>
      </c>
      <c r="F150" s="740" t="s">
        <v>4236</v>
      </c>
      <c r="G150" s="16">
        <v>1</v>
      </c>
      <c r="H150" s="888">
        <v>105000</v>
      </c>
      <c r="I150" s="17">
        <f t="shared" si="7"/>
        <v>105000</v>
      </c>
      <c r="K150" s="17">
        <f t="shared" si="8"/>
        <v>105000</v>
      </c>
      <c r="L150" s="17"/>
      <c r="M150" s="17">
        <v>-5880</v>
      </c>
      <c r="N150" s="17">
        <f t="shared" si="9"/>
        <v>99120</v>
      </c>
      <c r="O150" s="76" t="s">
        <v>43</v>
      </c>
      <c r="P150" s="72"/>
      <c r="Q150" s="10" t="s">
        <v>176</v>
      </c>
      <c r="R150" s="17"/>
      <c r="S150" s="17"/>
      <c r="T150" s="17"/>
      <c r="U150" s="17"/>
      <c r="V150" s="17"/>
      <c r="W150" s="17"/>
    </row>
    <row r="151" spans="1:23" s="20" customFormat="1">
      <c r="A151" s="880">
        <v>44505</v>
      </c>
      <c r="B151" s="76" t="s">
        <v>23</v>
      </c>
      <c r="C151" s="11" t="s">
        <v>7603</v>
      </c>
      <c r="D151" s="29" t="s">
        <v>7604</v>
      </c>
      <c r="E151" s="758" t="s">
        <v>5060</v>
      </c>
      <c r="F151" s="758" t="s">
        <v>5061</v>
      </c>
      <c r="G151" s="16">
        <v>1</v>
      </c>
      <c r="H151" s="23">
        <v>113000</v>
      </c>
      <c r="I151" s="17">
        <f t="shared" si="7"/>
        <v>113000</v>
      </c>
      <c r="K151" s="17">
        <f t="shared" si="8"/>
        <v>113000</v>
      </c>
      <c r="L151" s="17">
        <v>16000</v>
      </c>
      <c r="M151" s="17"/>
      <c r="N151" s="17">
        <f t="shared" si="9"/>
        <v>129000</v>
      </c>
      <c r="O151" s="76" t="s">
        <v>23</v>
      </c>
      <c r="P151" s="72"/>
      <c r="Q151" s="10" t="s">
        <v>54</v>
      </c>
      <c r="R151" s="17"/>
      <c r="S151" s="17"/>
      <c r="T151" s="17"/>
      <c r="U151" s="17"/>
      <c r="V151" s="17"/>
      <c r="W151" s="17"/>
    </row>
    <row r="152" spans="1:23" s="20" customFormat="1" ht="360">
      <c r="A152" s="880">
        <v>44505</v>
      </c>
      <c r="B152" s="76" t="s">
        <v>23</v>
      </c>
      <c r="C152" s="11" t="s">
        <v>7605</v>
      </c>
      <c r="D152" s="770" t="s">
        <v>9451</v>
      </c>
      <c r="E152" s="758" t="s">
        <v>2056</v>
      </c>
      <c r="F152" s="758" t="s">
        <v>2057</v>
      </c>
      <c r="G152" s="16">
        <v>1</v>
      </c>
      <c r="H152" s="888">
        <v>59500</v>
      </c>
      <c r="I152" s="17">
        <f t="shared" si="7"/>
        <v>59500</v>
      </c>
      <c r="K152" s="17">
        <f t="shared" si="8"/>
        <v>59500</v>
      </c>
      <c r="L152" s="17">
        <v>7000</v>
      </c>
      <c r="M152" s="17"/>
      <c r="N152" s="17">
        <f t="shared" si="9"/>
        <v>66500</v>
      </c>
      <c r="O152" s="76" t="s">
        <v>23</v>
      </c>
      <c r="P152" s="72"/>
      <c r="Q152" s="10" t="s">
        <v>28</v>
      </c>
      <c r="R152" s="17"/>
      <c r="S152" s="17"/>
      <c r="T152" s="17"/>
      <c r="U152" s="17"/>
      <c r="V152" s="17"/>
      <c r="W152" s="17"/>
    </row>
    <row r="153" spans="1:23" s="20" customFormat="1" ht="15.75" customHeight="1">
      <c r="A153" s="880">
        <v>44505</v>
      </c>
      <c r="B153" s="76" t="s">
        <v>23</v>
      </c>
      <c r="C153" s="183" t="s">
        <v>7606</v>
      </c>
      <c r="D153" s="29" t="s">
        <v>7607</v>
      </c>
      <c r="E153" s="740" t="s">
        <v>1805</v>
      </c>
      <c r="F153" s="758" t="s">
        <v>1806</v>
      </c>
      <c r="G153" s="319">
        <v>160</v>
      </c>
      <c r="H153" s="23">
        <v>107000</v>
      </c>
      <c r="I153" s="17">
        <f t="shared" si="7"/>
        <v>17120000</v>
      </c>
      <c r="J153" s="20">
        <f>I153*35%</f>
        <v>5992000</v>
      </c>
      <c r="K153" s="171">
        <f t="shared" si="8"/>
        <v>11128000</v>
      </c>
      <c r="L153" s="17"/>
      <c r="M153" s="17"/>
      <c r="N153" s="17"/>
      <c r="O153" s="29"/>
      <c r="P153" s="92"/>
      <c r="Q153" s="29"/>
      <c r="R153" s="17"/>
      <c r="S153" s="17"/>
      <c r="T153" s="17"/>
      <c r="U153" s="17"/>
      <c r="V153" s="17"/>
      <c r="W153" s="17"/>
    </row>
    <row r="154" spans="1:23" s="20" customFormat="1" ht="15.75" customHeight="1">
      <c r="A154" s="880">
        <v>44508</v>
      </c>
      <c r="B154" s="76" t="s">
        <v>43</v>
      </c>
      <c r="C154" s="739" t="s">
        <v>7608</v>
      </c>
      <c r="D154" s="29" t="s">
        <v>7609</v>
      </c>
      <c r="E154" s="739" t="s">
        <v>5932</v>
      </c>
      <c r="F154" s="739" t="s">
        <v>5933</v>
      </c>
      <c r="G154" s="16">
        <v>1</v>
      </c>
      <c r="H154" s="888">
        <v>57000</v>
      </c>
      <c r="I154" s="17">
        <f t="shared" si="7"/>
        <v>57000</v>
      </c>
      <c r="K154" s="171">
        <f t="shared" si="8"/>
        <v>57000</v>
      </c>
      <c r="L154" s="17"/>
      <c r="M154" s="17">
        <v>-3192</v>
      </c>
      <c r="N154" s="17">
        <f t="shared" ref="N154:N217" si="10">K154+L154+M154</f>
        <v>53808</v>
      </c>
      <c r="O154" s="76" t="s">
        <v>43</v>
      </c>
      <c r="P154" s="92"/>
      <c r="Q154" s="10" t="s">
        <v>176</v>
      </c>
      <c r="R154" s="17"/>
      <c r="S154" s="17"/>
      <c r="T154" s="17"/>
      <c r="U154" s="17"/>
      <c r="V154" s="17"/>
      <c r="W154" s="17"/>
    </row>
    <row r="155" spans="1:23" s="20" customFormat="1" ht="15.75" customHeight="1">
      <c r="A155" s="880">
        <v>44508</v>
      </c>
      <c r="B155" s="76" t="s">
        <v>43</v>
      </c>
      <c r="C155" s="10" t="s">
        <v>7610</v>
      </c>
      <c r="D155" s="29" t="s">
        <v>7611</v>
      </c>
      <c r="E155" s="76" t="s">
        <v>3410</v>
      </c>
      <c r="F155" s="76" t="s">
        <v>3411</v>
      </c>
      <c r="G155" s="16">
        <v>1</v>
      </c>
      <c r="H155" s="23">
        <v>99000</v>
      </c>
      <c r="I155" s="17">
        <f t="shared" si="7"/>
        <v>99000</v>
      </c>
      <c r="K155" s="171">
        <f t="shared" si="8"/>
        <v>99000</v>
      </c>
      <c r="L155" s="17"/>
      <c r="M155" s="17">
        <v>-5544</v>
      </c>
      <c r="N155" s="17">
        <f t="shared" si="10"/>
        <v>93456</v>
      </c>
      <c r="O155" s="76" t="s">
        <v>43</v>
      </c>
      <c r="P155" s="92"/>
      <c r="Q155" s="10" t="s">
        <v>54</v>
      </c>
      <c r="R155" s="17"/>
      <c r="S155" s="17"/>
      <c r="T155" s="17"/>
      <c r="U155" s="17"/>
      <c r="V155" s="17"/>
      <c r="W155" s="17"/>
    </row>
    <row r="156" spans="1:23" s="20" customFormat="1" ht="15.75" customHeight="1">
      <c r="A156" s="880">
        <v>44508</v>
      </c>
      <c r="B156" s="76" t="s">
        <v>43</v>
      </c>
      <c r="C156" s="11" t="s">
        <v>7612</v>
      </c>
      <c r="D156" s="29" t="s">
        <v>7613</v>
      </c>
      <c r="E156" s="76" t="s">
        <v>7614</v>
      </c>
      <c r="F156" s="76" t="s">
        <v>7615</v>
      </c>
      <c r="G156" s="16">
        <v>1</v>
      </c>
      <c r="H156" s="888">
        <v>105000</v>
      </c>
      <c r="I156" s="17">
        <f t="shared" si="7"/>
        <v>105000</v>
      </c>
      <c r="K156" s="171">
        <f t="shared" si="8"/>
        <v>105000</v>
      </c>
      <c r="L156" s="17"/>
      <c r="M156" s="17">
        <v>-5880</v>
      </c>
      <c r="N156" s="17">
        <f t="shared" si="10"/>
        <v>99120</v>
      </c>
      <c r="O156" s="76" t="s">
        <v>43</v>
      </c>
      <c r="P156" s="92"/>
      <c r="Q156" s="10" t="s">
        <v>176</v>
      </c>
      <c r="R156" s="17"/>
      <c r="S156" s="17"/>
      <c r="T156" s="17"/>
      <c r="U156" s="17"/>
      <c r="V156" s="17"/>
      <c r="W156" s="17"/>
    </row>
    <row r="157" spans="1:23" s="20" customFormat="1" ht="15.75" customHeight="1">
      <c r="A157" s="880">
        <v>44508</v>
      </c>
      <c r="B157" s="76" t="s">
        <v>43</v>
      </c>
      <c r="C157" s="10" t="s">
        <v>7616</v>
      </c>
      <c r="D157" s="29" t="s">
        <v>7617</v>
      </c>
      <c r="E157" s="76" t="s">
        <v>7428</v>
      </c>
      <c r="F157" s="76" t="s">
        <v>7429</v>
      </c>
      <c r="G157" s="16">
        <v>1</v>
      </c>
      <c r="H157" s="23">
        <v>93500</v>
      </c>
      <c r="I157" s="17">
        <f t="shared" si="7"/>
        <v>93500</v>
      </c>
      <c r="J157" s="20">
        <f>I157*15%</f>
        <v>14025</v>
      </c>
      <c r="K157" s="171">
        <f t="shared" si="8"/>
        <v>79475</v>
      </c>
      <c r="L157" s="17"/>
      <c r="M157" s="17">
        <v>-4451</v>
      </c>
      <c r="N157" s="17">
        <f t="shared" si="10"/>
        <v>75024</v>
      </c>
      <c r="O157" s="76" t="s">
        <v>43</v>
      </c>
      <c r="P157" s="92"/>
      <c r="Q157" s="10" t="s">
        <v>54</v>
      </c>
      <c r="R157" s="17"/>
      <c r="S157" s="17"/>
      <c r="T157" s="17"/>
      <c r="U157" s="17"/>
      <c r="V157" s="17"/>
      <c r="W157" s="17"/>
    </row>
    <row r="158" spans="1:23" s="20" customFormat="1" ht="15.75" customHeight="1">
      <c r="A158" s="880">
        <v>44508</v>
      </c>
      <c r="B158" s="76" t="s">
        <v>43</v>
      </c>
      <c r="C158" s="11" t="s">
        <v>7618</v>
      </c>
      <c r="D158" s="29" t="s">
        <v>7619</v>
      </c>
      <c r="E158" s="76" t="s">
        <v>7620</v>
      </c>
      <c r="F158" s="76" t="s">
        <v>7621</v>
      </c>
      <c r="G158" s="16">
        <v>1</v>
      </c>
      <c r="H158" s="888">
        <v>78000</v>
      </c>
      <c r="I158" s="17">
        <f t="shared" si="7"/>
        <v>78000</v>
      </c>
      <c r="J158" s="20">
        <f>I158*15%</f>
        <v>11700</v>
      </c>
      <c r="K158" s="171">
        <f t="shared" si="8"/>
        <v>66300</v>
      </c>
      <c r="L158" s="17"/>
      <c r="M158" s="17">
        <v>-3713</v>
      </c>
      <c r="N158" s="17">
        <f t="shared" si="10"/>
        <v>62587</v>
      </c>
      <c r="O158" s="76" t="s">
        <v>43</v>
      </c>
      <c r="P158" s="92"/>
      <c r="Q158" s="10" t="s">
        <v>176</v>
      </c>
      <c r="R158" s="17"/>
      <c r="S158" s="17"/>
      <c r="T158" s="17"/>
      <c r="U158" s="17"/>
      <c r="V158" s="17"/>
      <c r="W158" s="17"/>
    </row>
    <row r="159" spans="1:23" s="20" customFormat="1" ht="15.75" customHeight="1">
      <c r="A159" s="880">
        <v>44508</v>
      </c>
      <c r="B159" s="76" t="s">
        <v>43</v>
      </c>
      <c r="C159" s="76" t="s">
        <v>7622</v>
      </c>
      <c r="D159" s="29" t="s">
        <v>7623</v>
      </c>
      <c r="E159" s="76" t="s">
        <v>4574</v>
      </c>
      <c r="F159" s="76" t="s">
        <v>4048</v>
      </c>
      <c r="G159" s="16">
        <v>1</v>
      </c>
      <c r="H159" s="23">
        <v>192500</v>
      </c>
      <c r="I159" s="17">
        <f t="shared" si="7"/>
        <v>192500</v>
      </c>
      <c r="K159" s="171">
        <f t="shared" si="8"/>
        <v>192500</v>
      </c>
      <c r="L159" s="17"/>
      <c r="M159" s="17">
        <v>-10780</v>
      </c>
      <c r="N159" s="17">
        <f t="shared" si="10"/>
        <v>181720</v>
      </c>
      <c r="O159" s="76" t="s">
        <v>43</v>
      </c>
      <c r="P159" s="191"/>
      <c r="Q159" s="10" t="s">
        <v>176</v>
      </c>
      <c r="R159" s="17"/>
      <c r="S159" s="17"/>
      <c r="T159" s="17"/>
      <c r="U159" s="17"/>
      <c r="V159" s="17"/>
      <c r="W159" s="17"/>
    </row>
    <row r="160" spans="1:23" s="20" customFormat="1" ht="15.75" customHeight="1">
      <c r="A160" s="880">
        <v>44508</v>
      </c>
      <c r="B160" s="76" t="s">
        <v>177</v>
      </c>
      <c r="C160" s="10" t="s">
        <v>7624</v>
      </c>
      <c r="D160" s="29" t="s">
        <v>7625</v>
      </c>
      <c r="E160" s="780" t="s">
        <v>4444</v>
      </c>
      <c r="F160" s="748" t="s">
        <v>4445</v>
      </c>
      <c r="G160" s="16">
        <v>1</v>
      </c>
      <c r="H160" s="888">
        <v>55000</v>
      </c>
      <c r="I160" s="17">
        <f t="shared" si="7"/>
        <v>55000</v>
      </c>
      <c r="J160" s="17"/>
      <c r="K160" s="171">
        <f t="shared" si="8"/>
        <v>55000</v>
      </c>
      <c r="L160" s="17">
        <v>3000</v>
      </c>
      <c r="M160" s="17"/>
      <c r="N160" s="17">
        <f t="shared" si="10"/>
        <v>58000</v>
      </c>
      <c r="O160" s="76" t="s">
        <v>177</v>
      </c>
      <c r="P160" s="191"/>
      <c r="Q160" s="10" t="s">
        <v>54</v>
      </c>
      <c r="R160" s="17"/>
      <c r="S160" s="17"/>
      <c r="T160" s="17"/>
      <c r="U160" s="17"/>
      <c r="V160" s="17"/>
      <c r="W160" s="17"/>
    </row>
    <row r="161" spans="1:23" s="20" customFormat="1" ht="15.75" customHeight="1">
      <c r="A161" s="880">
        <v>44508</v>
      </c>
      <c r="B161" s="76" t="s">
        <v>177</v>
      </c>
      <c r="C161" s="10" t="s">
        <v>7624</v>
      </c>
      <c r="D161" s="29" t="s">
        <v>7625</v>
      </c>
      <c r="E161" s="780" t="s">
        <v>7626</v>
      </c>
      <c r="F161" s="780" t="s">
        <v>7627</v>
      </c>
      <c r="G161" s="16">
        <v>1</v>
      </c>
      <c r="H161" s="23">
        <v>61500</v>
      </c>
      <c r="I161" s="17">
        <f t="shared" si="7"/>
        <v>61500</v>
      </c>
      <c r="J161" s="17"/>
      <c r="K161" s="171">
        <f t="shared" si="8"/>
        <v>61500</v>
      </c>
      <c r="L161" s="17"/>
      <c r="M161" s="17"/>
      <c r="N161" s="17">
        <f t="shared" si="10"/>
        <v>61500</v>
      </c>
      <c r="O161" s="76" t="s">
        <v>177</v>
      </c>
      <c r="P161" s="191"/>
      <c r="Q161" s="10" t="s">
        <v>54</v>
      </c>
      <c r="R161" s="17"/>
      <c r="S161" s="17"/>
      <c r="T161" s="17"/>
      <c r="U161" s="17"/>
      <c r="V161" s="17"/>
      <c r="W161" s="17"/>
    </row>
    <row r="162" spans="1:23" s="20" customFormat="1" ht="15.75" customHeight="1">
      <c r="A162" s="880">
        <v>44508</v>
      </c>
      <c r="B162" s="76" t="s">
        <v>177</v>
      </c>
      <c r="C162" s="11" t="s">
        <v>7628</v>
      </c>
      <c r="D162" s="29" t="s">
        <v>7629</v>
      </c>
      <c r="E162" s="739" t="s">
        <v>7630</v>
      </c>
      <c r="F162" s="739" t="s">
        <v>3905</v>
      </c>
      <c r="G162" s="16">
        <v>1</v>
      </c>
      <c r="H162" s="888">
        <v>54000</v>
      </c>
      <c r="I162" s="17">
        <f t="shared" si="7"/>
        <v>54000</v>
      </c>
      <c r="J162" s="17"/>
      <c r="K162" s="171">
        <f t="shared" si="8"/>
        <v>54000</v>
      </c>
      <c r="L162" s="17">
        <v>9000</v>
      </c>
      <c r="M162" s="17"/>
      <c r="N162" s="17">
        <f t="shared" si="10"/>
        <v>63000</v>
      </c>
      <c r="O162" s="76" t="s">
        <v>177</v>
      </c>
      <c r="P162" s="191"/>
      <c r="Q162" s="10" t="s">
        <v>54</v>
      </c>
      <c r="R162" s="17"/>
      <c r="S162" s="17"/>
      <c r="T162" s="17"/>
      <c r="U162" s="17"/>
      <c r="V162" s="17"/>
      <c r="W162" s="17"/>
    </row>
    <row r="163" spans="1:23" s="20" customFormat="1" ht="15.75" customHeight="1">
      <c r="A163" s="880">
        <v>44508</v>
      </c>
      <c r="B163" s="76" t="s">
        <v>313</v>
      </c>
      <c r="C163" s="10" t="s">
        <v>7631</v>
      </c>
      <c r="D163" s="29" t="s">
        <v>7632</v>
      </c>
      <c r="E163" s="947" t="s">
        <v>96</v>
      </c>
      <c r="F163" s="947" t="s">
        <v>118</v>
      </c>
      <c r="G163" s="16">
        <v>1</v>
      </c>
      <c r="H163" s="23">
        <v>71000</v>
      </c>
      <c r="I163" s="17">
        <f t="shared" si="7"/>
        <v>71000</v>
      </c>
      <c r="J163" s="17"/>
      <c r="K163" s="171">
        <f t="shared" si="8"/>
        <v>71000</v>
      </c>
      <c r="L163" s="17">
        <v>16030</v>
      </c>
      <c r="M163" s="17"/>
      <c r="N163" s="17">
        <f t="shared" si="10"/>
        <v>87030</v>
      </c>
      <c r="O163" s="76" t="s">
        <v>313</v>
      </c>
      <c r="P163" s="191"/>
      <c r="Q163" s="10" t="s">
        <v>28</v>
      </c>
      <c r="R163" s="17"/>
      <c r="S163" s="17"/>
      <c r="T163" s="17"/>
      <c r="U163" s="17"/>
      <c r="V163" s="17"/>
      <c r="W163" s="17"/>
    </row>
    <row r="164" spans="1:23" s="20" customFormat="1" ht="15.75" customHeight="1">
      <c r="A164" s="880">
        <v>44508</v>
      </c>
      <c r="B164" s="76" t="s">
        <v>313</v>
      </c>
      <c r="C164" s="10" t="s">
        <v>7631</v>
      </c>
      <c r="D164" s="29" t="s">
        <v>7632</v>
      </c>
      <c r="E164" s="947" t="s">
        <v>86</v>
      </c>
      <c r="F164" s="947" t="s">
        <v>109</v>
      </c>
      <c r="G164" s="16">
        <v>1</v>
      </c>
      <c r="H164" s="888">
        <v>60000</v>
      </c>
      <c r="I164" s="17">
        <f t="shared" si="7"/>
        <v>60000</v>
      </c>
      <c r="J164" s="17"/>
      <c r="K164" s="171">
        <f t="shared" si="8"/>
        <v>60000</v>
      </c>
      <c r="L164" s="17"/>
      <c r="M164" s="17"/>
      <c r="N164" s="17">
        <f t="shared" si="10"/>
        <v>60000</v>
      </c>
      <c r="O164" s="76" t="s">
        <v>313</v>
      </c>
      <c r="P164" s="191"/>
      <c r="Q164" s="10" t="s">
        <v>28</v>
      </c>
      <c r="R164" s="17"/>
      <c r="S164" s="17"/>
      <c r="T164" s="17"/>
      <c r="U164" s="17"/>
      <c r="V164" s="17"/>
      <c r="W164" s="17"/>
    </row>
    <row r="165" spans="1:23" s="20" customFormat="1" ht="15.75" customHeight="1">
      <c r="A165" s="880">
        <v>44508</v>
      </c>
      <c r="B165" s="76" t="s">
        <v>313</v>
      </c>
      <c r="C165" s="10" t="s">
        <v>7631</v>
      </c>
      <c r="D165" s="29" t="s">
        <v>7632</v>
      </c>
      <c r="E165" s="947" t="s">
        <v>407</v>
      </c>
      <c r="F165" s="947" t="s">
        <v>408</v>
      </c>
      <c r="G165" s="16">
        <v>1</v>
      </c>
      <c r="H165" s="23">
        <v>68500</v>
      </c>
      <c r="I165" s="17">
        <f t="shared" si="7"/>
        <v>68500</v>
      </c>
      <c r="J165" s="17"/>
      <c r="K165" s="171">
        <f t="shared" si="8"/>
        <v>68500</v>
      </c>
      <c r="L165" s="17"/>
      <c r="M165" s="17"/>
      <c r="N165" s="17">
        <f t="shared" si="10"/>
        <v>68500</v>
      </c>
      <c r="O165" s="76" t="s">
        <v>313</v>
      </c>
      <c r="P165" s="191"/>
      <c r="Q165" s="10" t="s">
        <v>28</v>
      </c>
      <c r="R165" s="17"/>
      <c r="S165" s="17"/>
      <c r="T165" s="17"/>
      <c r="U165" s="17"/>
      <c r="V165" s="17"/>
      <c r="W165" s="17"/>
    </row>
    <row r="166" spans="1:23" s="20" customFormat="1" ht="15.75" customHeight="1">
      <c r="A166" s="880">
        <v>44508</v>
      </c>
      <c r="B166" s="76" t="s">
        <v>313</v>
      </c>
      <c r="C166" s="10" t="s">
        <v>7631</v>
      </c>
      <c r="D166" s="29" t="s">
        <v>7632</v>
      </c>
      <c r="E166" s="749" t="s">
        <v>6149</v>
      </c>
      <c r="F166" s="749" t="s">
        <v>6150</v>
      </c>
      <c r="G166" s="16">
        <v>1</v>
      </c>
      <c r="H166" s="888">
        <v>69500</v>
      </c>
      <c r="I166" s="17">
        <f t="shared" si="7"/>
        <v>69500</v>
      </c>
      <c r="J166" s="17"/>
      <c r="K166" s="171">
        <f t="shared" si="8"/>
        <v>69500</v>
      </c>
      <c r="L166" s="17"/>
      <c r="M166" s="17"/>
      <c r="N166" s="17">
        <f t="shared" si="10"/>
        <v>69500</v>
      </c>
      <c r="O166" s="76" t="s">
        <v>313</v>
      </c>
      <c r="P166" s="191"/>
      <c r="Q166" s="10" t="s">
        <v>28</v>
      </c>
      <c r="R166" s="17"/>
      <c r="S166" s="17"/>
      <c r="T166" s="17"/>
      <c r="U166" s="17"/>
      <c r="V166" s="17"/>
      <c r="W166" s="17"/>
    </row>
    <row r="167" spans="1:23" s="20" customFormat="1" ht="15.75" customHeight="1">
      <c r="A167" s="880">
        <v>44508</v>
      </c>
      <c r="B167" s="76" t="s">
        <v>313</v>
      </c>
      <c r="C167" s="10" t="s">
        <v>7631</v>
      </c>
      <c r="D167" s="29" t="s">
        <v>7632</v>
      </c>
      <c r="E167" s="947" t="s">
        <v>3632</v>
      </c>
      <c r="F167" s="947" t="s">
        <v>1425</v>
      </c>
      <c r="G167" s="16">
        <v>1</v>
      </c>
      <c r="H167" s="23">
        <v>54000</v>
      </c>
      <c r="I167" s="17">
        <f t="shared" si="7"/>
        <v>54000</v>
      </c>
      <c r="J167" s="17"/>
      <c r="K167" s="171">
        <f t="shared" si="8"/>
        <v>54000</v>
      </c>
      <c r="L167" s="17"/>
      <c r="M167" s="17"/>
      <c r="N167" s="17">
        <f t="shared" si="10"/>
        <v>54000</v>
      </c>
      <c r="O167" s="76" t="s">
        <v>313</v>
      </c>
      <c r="P167" s="191"/>
      <c r="Q167" s="10" t="s">
        <v>28</v>
      </c>
      <c r="R167" s="17"/>
      <c r="S167" s="17"/>
      <c r="T167" s="17"/>
      <c r="U167" s="17"/>
      <c r="V167" s="17"/>
      <c r="W167" s="17"/>
    </row>
    <row r="168" spans="1:23" s="20" customFormat="1" ht="15.75" customHeight="1">
      <c r="A168" s="880">
        <v>44508</v>
      </c>
      <c r="B168" s="76" t="s">
        <v>313</v>
      </c>
      <c r="C168" s="10" t="s">
        <v>7631</v>
      </c>
      <c r="D168" s="29" t="s">
        <v>7632</v>
      </c>
      <c r="E168" s="749" t="s">
        <v>1253</v>
      </c>
      <c r="F168" s="749" t="s">
        <v>1254</v>
      </c>
      <c r="G168" s="16">
        <v>1</v>
      </c>
      <c r="H168" s="888">
        <v>81000</v>
      </c>
      <c r="I168" s="17">
        <f t="shared" si="7"/>
        <v>81000</v>
      </c>
      <c r="J168" s="17"/>
      <c r="K168" s="171">
        <f t="shared" si="8"/>
        <v>81000</v>
      </c>
      <c r="L168" s="17"/>
      <c r="M168" s="17"/>
      <c r="N168" s="17">
        <f t="shared" si="10"/>
        <v>81000</v>
      </c>
      <c r="O168" s="76" t="s">
        <v>313</v>
      </c>
      <c r="P168" s="191"/>
      <c r="Q168" s="10" t="s">
        <v>28</v>
      </c>
      <c r="R168" s="17"/>
      <c r="S168" s="17"/>
      <c r="T168" s="17"/>
      <c r="U168" s="17"/>
      <c r="V168" s="17"/>
      <c r="W168" s="17"/>
    </row>
    <row r="169" spans="1:23" s="20" customFormat="1" ht="15.75" customHeight="1">
      <c r="A169" s="880">
        <v>44508</v>
      </c>
      <c r="B169" s="76" t="s">
        <v>313</v>
      </c>
      <c r="C169" s="10" t="s">
        <v>7631</v>
      </c>
      <c r="D169" s="29" t="s">
        <v>7632</v>
      </c>
      <c r="E169" s="947" t="s">
        <v>6729</v>
      </c>
      <c r="F169" s="947" t="s">
        <v>6730</v>
      </c>
      <c r="G169" s="16">
        <v>1</v>
      </c>
      <c r="H169" s="23">
        <v>84500</v>
      </c>
      <c r="I169" s="17">
        <f t="shared" si="7"/>
        <v>84500</v>
      </c>
      <c r="J169" s="17"/>
      <c r="K169" s="171">
        <f t="shared" si="8"/>
        <v>84500</v>
      </c>
      <c r="L169" s="17"/>
      <c r="M169" s="17"/>
      <c r="N169" s="17">
        <f t="shared" si="10"/>
        <v>84500</v>
      </c>
      <c r="O169" s="76" t="s">
        <v>313</v>
      </c>
      <c r="P169" s="92"/>
      <c r="Q169" s="10" t="s">
        <v>28</v>
      </c>
      <c r="R169" s="17"/>
      <c r="S169" s="17"/>
      <c r="T169" s="17"/>
      <c r="U169" s="17"/>
      <c r="V169" s="17"/>
      <c r="W169" s="17"/>
    </row>
    <row r="170" spans="1:23" s="20" customFormat="1" ht="15.75" customHeight="1">
      <c r="A170" s="880">
        <v>44508</v>
      </c>
      <c r="B170" s="76" t="s">
        <v>313</v>
      </c>
      <c r="C170" s="10" t="s">
        <v>7633</v>
      </c>
      <c r="D170" s="29" t="s">
        <v>7634</v>
      </c>
      <c r="E170" s="929" t="s">
        <v>7635</v>
      </c>
      <c r="F170" s="929" t="s">
        <v>7636</v>
      </c>
      <c r="G170" s="16">
        <v>1</v>
      </c>
      <c r="H170" s="888">
        <v>106000</v>
      </c>
      <c r="I170" s="17">
        <f t="shared" si="7"/>
        <v>106000</v>
      </c>
      <c r="J170" s="17"/>
      <c r="K170" s="171">
        <f t="shared" si="8"/>
        <v>106000</v>
      </c>
      <c r="L170" s="17">
        <v>46012</v>
      </c>
      <c r="M170" s="17"/>
      <c r="N170" s="17">
        <f t="shared" si="10"/>
        <v>152012</v>
      </c>
      <c r="O170" s="76" t="s">
        <v>313</v>
      </c>
      <c r="P170" s="92"/>
      <c r="Q170" s="10" t="s">
        <v>40</v>
      </c>
      <c r="R170" s="17"/>
      <c r="S170" s="17"/>
      <c r="T170" s="17"/>
      <c r="U170" s="17"/>
      <c r="V170" s="17"/>
      <c r="W170" s="17"/>
    </row>
    <row r="171" spans="1:23" s="20" customFormat="1" ht="15.75" customHeight="1">
      <c r="A171" s="880">
        <v>44508</v>
      </c>
      <c r="B171" s="76" t="s">
        <v>313</v>
      </c>
      <c r="C171" s="10" t="s">
        <v>7633</v>
      </c>
      <c r="D171" s="29" t="s">
        <v>7637</v>
      </c>
      <c r="E171" s="929" t="s">
        <v>186</v>
      </c>
      <c r="F171" s="929" t="s">
        <v>187</v>
      </c>
      <c r="G171" s="16">
        <v>1</v>
      </c>
      <c r="H171" s="23">
        <v>84000</v>
      </c>
      <c r="I171" s="17">
        <f t="shared" si="7"/>
        <v>84000</v>
      </c>
      <c r="J171" s="17"/>
      <c r="K171" s="171">
        <f t="shared" si="8"/>
        <v>84000</v>
      </c>
      <c r="L171" s="17"/>
      <c r="M171" s="17"/>
      <c r="N171" s="17">
        <f t="shared" si="10"/>
        <v>84000</v>
      </c>
      <c r="O171" s="76" t="s">
        <v>313</v>
      </c>
      <c r="P171" s="191"/>
      <c r="Q171" s="10" t="s">
        <v>40</v>
      </c>
      <c r="R171" s="17"/>
      <c r="S171" s="17"/>
      <c r="T171" s="17"/>
      <c r="U171" s="17"/>
      <c r="V171" s="17"/>
      <c r="W171" s="17"/>
    </row>
    <row r="172" spans="1:23" s="20" customFormat="1" ht="15.75" customHeight="1">
      <c r="A172" s="880">
        <v>44508</v>
      </c>
      <c r="B172" s="76" t="s">
        <v>313</v>
      </c>
      <c r="C172" s="10" t="s">
        <v>7633</v>
      </c>
      <c r="D172" s="29" t="s">
        <v>7638</v>
      </c>
      <c r="E172" s="928" t="s">
        <v>3661</v>
      </c>
      <c r="F172" s="928" t="s">
        <v>2557</v>
      </c>
      <c r="G172" s="16">
        <v>1</v>
      </c>
      <c r="H172" s="888">
        <v>128000</v>
      </c>
      <c r="I172" s="17">
        <f t="shared" si="7"/>
        <v>128000</v>
      </c>
      <c r="J172" s="17"/>
      <c r="K172" s="171">
        <f t="shared" si="8"/>
        <v>128000</v>
      </c>
      <c r="L172" s="17"/>
      <c r="M172" s="17"/>
      <c r="N172" s="17">
        <f t="shared" si="10"/>
        <v>128000</v>
      </c>
      <c r="O172" s="76" t="s">
        <v>313</v>
      </c>
      <c r="P172" s="191"/>
      <c r="Q172" s="10" t="s">
        <v>40</v>
      </c>
      <c r="R172" s="17"/>
      <c r="S172" s="17"/>
      <c r="T172" s="17"/>
      <c r="U172" s="17"/>
      <c r="V172" s="17"/>
      <c r="W172" s="17"/>
    </row>
    <row r="173" spans="1:23" s="20" customFormat="1" ht="15.75" customHeight="1">
      <c r="A173" s="880">
        <v>44508</v>
      </c>
      <c r="B173" s="76" t="s">
        <v>313</v>
      </c>
      <c r="C173" s="10" t="s">
        <v>7633</v>
      </c>
      <c r="D173" s="29" t="s">
        <v>7639</v>
      </c>
      <c r="E173" s="929" t="s">
        <v>7640</v>
      </c>
      <c r="F173" s="929" t="s">
        <v>7641</v>
      </c>
      <c r="G173" s="16">
        <v>1</v>
      </c>
      <c r="H173" s="23">
        <v>118000</v>
      </c>
      <c r="I173" s="17">
        <f t="shared" si="7"/>
        <v>118000</v>
      </c>
      <c r="J173" s="17"/>
      <c r="K173" s="171">
        <f t="shared" si="8"/>
        <v>118000</v>
      </c>
      <c r="L173" s="17"/>
      <c r="M173" s="17"/>
      <c r="N173" s="17">
        <f t="shared" si="10"/>
        <v>118000</v>
      </c>
      <c r="O173" s="76" t="s">
        <v>313</v>
      </c>
      <c r="P173" s="72"/>
      <c r="Q173" s="10" t="s">
        <v>40</v>
      </c>
      <c r="R173" s="17"/>
      <c r="S173" s="17"/>
      <c r="T173" s="17"/>
      <c r="U173" s="17"/>
      <c r="V173" s="17"/>
      <c r="W173" s="17"/>
    </row>
    <row r="174" spans="1:23" s="20" customFormat="1" ht="15.75" customHeight="1">
      <c r="A174" s="880">
        <v>44509</v>
      </c>
      <c r="B174" s="76" t="s">
        <v>43</v>
      </c>
      <c r="C174" s="11" t="s">
        <v>7642</v>
      </c>
      <c r="D174" s="29" t="s">
        <v>7643</v>
      </c>
      <c r="E174" s="76" t="s">
        <v>403</v>
      </c>
      <c r="F174" s="76" t="s">
        <v>404</v>
      </c>
      <c r="G174" s="16">
        <v>2</v>
      </c>
      <c r="H174" s="888">
        <v>101500</v>
      </c>
      <c r="I174" s="17">
        <f t="shared" si="7"/>
        <v>203000</v>
      </c>
      <c r="J174" s="17"/>
      <c r="K174" s="171">
        <f t="shared" si="8"/>
        <v>203000</v>
      </c>
      <c r="L174" s="17"/>
      <c r="M174" s="17">
        <v>-11368</v>
      </c>
      <c r="N174" s="17">
        <f t="shared" si="10"/>
        <v>191632</v>
      </c>
      <c r="O174" s="76" t="s">
        <v>43</v>
      </c>
      <c r="P174" s="72"/>
      <c r="Q174" s="10" t="s">
        <v>176</v>
      </c>
      <c r="R174" s="17"/>
      <c r="S174" s="13"/>
      <c r="T174" s="17"/>
      <c r="U174" s="17"/>
      <c r="V174" s="17"/>
      <c r="W174" s="17"/>
    </row>
    <row r="175" spans="1:23" s="20" customFormat="1" ht="15.75" customHeight="1">
      <c r="A175" s="880">
        <v>44509</v>
      </c>
      <c r="B175" s="76" t="s">
        <v>43</v>
      </c>
      <c r="C175" s="11" t="s">
        <v>7644</v>
      </c>
      <c r="D175" s="29" t="s">
        <v>7645</v>
      </c>
      <c r="E175" s="948" t="s">
        <v>7499</v>
      </c>
      <c r="F175" s="948" t="s">
        <v>7500</v>
      </c>
      <c r="G175" s="16">
        <v>1</v>
      </c>
      <c r="H175" s="23">
        <v>92500</v>
      </c>
      <c r="I175" s="17">
        <f t="shared" si="7"/>
        <v>92500</v>
      </c>
      <c r="J175" s="17">
        <f>I175*15%</f>
        <v>13875</v>
      </c>
      <c r="K175" s="171">
        <f t="shared" si="8"/>
        <v>78625</v>
      </c>
      <c r="L175" s="17"/>
      <c r="M175" s="17">
        <v>-8354</v>
      </c>
      <c r="N175" s="17">
        <f t="shared" si="10"/>
        <v>70271</v>
      </c>
      <c r="O175" s="76" t="s">
        <v>43</v>
      </c>
      <c r="P175" s="183"/>
      <c r="Q175" s="10" t="s">
        <v>54</v>
      </c>
      <c r="R175" s="17"/>
      <c r="S175" s="17"/>
      <c r="T175" s="17"/>
      <c r="U175" s="17"/>
      <c r="V175" s="17"/>
      <c r="W175" s="17"/>
    </row>
    <row r="176" spans="1:23" s="20" customFormat="1" ht="15.75" customHeight="1">
      <c r="A176" s="880">
        <v>44509</v>
      </c>
      <c r="B176" s="76" t="s">
        <v>43</v>
      </c>
      <c r="C176" s="11" t="s">
        <v>7644</v>
      </c>
      <c r="D176" s="29" t="s">
        <v>7646</v>
      </c>
      <c r="E176" s="948" t="s">
        <v>5099</v>
      </c>
      <c r="F176" s="948" t="s">
        <v>5100</v>
      </c>
      <c r="G176" s="16">
        <v>1</v>
      </c>
      <c r="H176" s="888">
        <v>83000</v>
      </c>
      <c r="I176" s="17">
        <f t="shared" si="7"/>
        <v>83000</v>
      </c>
      <c r="J176" s="17">
        <f>I176*15%</f>
        <v>12450</v>
      </c>
      <c r="K176" s="171">
        <f t="shared" si="8"/>
        <v>70550</v>
      </c>
      <c r="L176" s="17"/>
      <c r="M176" s="17"/>
      <c r="N176" s="17">
        <f t="shared" si="10"/>
        <v>70550</v>
      </c>
      <c r="O176" s="76" t="s">
        <v>43</v>
      </c>
      <c r="P176" s="183"/>
      <c r="Q176" s="10" t="s">
        <v>54</v>
      </c>
      <c r="R176" s="17"/>
      <c r="S176" s="17"/>
      <c r="T176" s="17"/>
      <c r="U176" s="17"/>
      <c r="V176" s="17"/>
      <c r="W176" s="17"/>
    </row>
    <row r="177" spans="1:23" s="20" customFormat="1" ht="15.75" customHeight="1">
      <c r="A177" s="880">
        <v>44509</v>
      </c>
      <c r="B177" s="76" t="s">
        <v>206</v>
      </c>
      <c r="C177" s="11" t="s">
        <v>7647</v>
      </c>
      <c r="D177" s="29" t="s">
        <v>7648</v>
      </c>
      <c r="E177" s="739" t="s">
        <v>7649</v>
      </c>
      <c r="F177" s="739" t="s">
        <v>7650</v>
      </c>
      <c r="G177" s="16">
        <v>1</v>
      </c>
      <c r="H177" s="23">
        <v>79000</v>
      </c>
      <c r="I177" s="17">
        <f t="shared" si="7"/>
        <v>79000</v>
      </c>
      <c r="J177" s="17"/>
      <c r="K177" s="171">
        <f t="shared" si="8"/>
        <v>79000</v>
      </c>
      <c r="L177" s="17">
        <f>43000-40000</f>
        <v>3000</v>
      </c>
      <c r="M177" s="17"/>
      <c r="N177" s="17">
        <f t="shared" si="10"/>
        <v>82000</v>
      </c>
      <c r="O177" s="76" t="s">
        <v>206</v>
      </c>
      <c r="P177" s="183"/>
      <c r="Q177" s="10" t="s">
        <v>176</v>
      </c>
      <c r="R177" s="17"/>
      <c r="S177" s="17"/>
      <c r="T177" s="17"/>
      <c r="U177" s="17"/>
      <c r="V177" s="17"/>
      <c r="W177" s="17"/>
    </row>
    <row r="178" spans="1:23" s="20" customFormat="1">
      <c r="A178" s="880">
        <v>44509</v>
      </c>
      <c r="B178" s="76" t="s">
        <v>177</v>
      </c>
      <c r="C178" s="11" t="s">
        <v>7651</v>
      </c>
      <c r="D178" s="29" t="s">
        <v>7652</v>
      </c>
      <c r="E178" s="949" t="s">
        <v>7457</v>
      </c>
      <c r="F178" s="949" t="s">
        <v>7458</v>
      </c>
      <c r="G178" s="16">
        <v>1</v>
      </c>
      <c r="H178" s="888">
        <v>117000</v>
      </c>
      <c r="I178" s="17">
        <f t="shared" si="7"/>
        <v>117000</v>
      </c>
      <c r="J178" s="17"/>
      <c r="K178" s="171">
        <f t="shared" si="8"/>
        <v>117000</v>
      </c>
      <c r="L178" s="17">
        <v>9000</v>
      </c>
      <c r="M178" s="17"/>
      <c r="N178" s="17">
        <f t="shared" si="10"/>
        <v>126000</v>
      </c>
      <c r="O178" s="76" t="s">
        <v>177</v>
      </c>
      <c r="P178" s="183"/>
      <c r="Q178" s="10" t="s">
        <v>54</v>
      </c>
      <c r="R178" s="17"/>
      <c r="S178" s="17"/>
      <c r="T178" s="17"/>
      <c r="U178" s="17"/>
      <c r="V178" s="17"/>
      <c r="W178" s="17"/>
    </row>
    <row r="179" spans="1:23" s="20" customFormat="1">
      <c r="A179" s="880">
        <v>44509</v>
      </c>
      <c r="B179" s="76" t="s">
        <v>177</v>
      </c>
      <c r="C179" s="11" t="s">
        <v>7651</v>
      </c>
      <c r="D179" s="29" t="s">
        <v>7652</v>
      </c>
      <c r="E179" s="949" t="s">
        <v>931</v>
      </c>
      <c r="F179" s="949" t="s">
        <v>932</v>
      </c>
      <c r="G179" s="16">
        <v>1</v>
      </c>
      <c r="H179" s="23">
        <v>67000</v>
      </c>
      <c r="I179" s="17">
        <f t="shared" si="7"/>
        <v>67000</v>
      </c>
      <c r="J179" s="17"/>
      <c r="K179" s="171">
        <f t="shared" si="8"/>
        <v>67000</v>
      </c>
      <c r="L179" s="17"/>
      <c r="M179" s="17"/>
      <c r="N179" s="17">
        <f t="shared" si="10"/>
        <v>67000</v>
      </c>
      <c r="O179" s="76" t="s">
        <v>177</v>
      </c>
      <c r="P179" s="72"/>
      <c r="Q179" s="10" t="s">
        <v>54</v>
      </c>
      <c r="R179" s="17"/>
      <c r="S179" s="17"/>
      <c r="T179" s="17"/>
      <c r="U179" s="17"/>
      <c r="V179" s="17"/>
      <c r="W179" s="17"/>
    </row>
    <row r="180" spans="1:23" s="20" customFormat="1">
      <c r="A180" s="880">
        <v>44509</v>
      </c>
      <c r="B180" s="76" t="s">
        <v>317</v>
      </c>
      <c r="C180" s="11" t="s">
        <v>7653</v>
      </c>
      <c r="D180" s="29" t="s">
        <v>7654</v>
      </c>
      <c r="E180" s="739" t="s">
        <v>7655</v>
      </c>
      <c r="F180" s="739" t="s">
        <v>1754</v>
      </c>
      <c r="G180" s="16">
        <v>1</v>
      </c>
      <c r="H180" s="888">
        <v>194000</v>
      </c>
      <c r="I180" s="17">
        <f t="shared" si="7"/>
        <v>194000</v>
      </c>
      <c r="J180" s="17"/>
      <c r="K180" s="171">
        <f t="shared" si="8"/>
        <v>194000</v>
      </c>
      <c r="L180" s="17">
        <f>17000-17000</f>
        <v>0</v>
      </c>
      <c r="M180" s="17">
        <v>-970</v>
      </c>
      <c r="N180" s="17">
        <f t="shared" si="10"/>
        <v>193030</v>
      </c>
      <c r="O180" s="76" t="s">
        <v>317</v>
      </c>
      <c r="P180" s="72"/>
      <c r="Q180" s="10" t="s">
        <v>176</v>
      </c>
      <c r="R180" s="17"/>
      <c r="S180" s="17"/>
      <c r="T180" s="17"/>
      <c r="U180" s="17"/>
      <c r="V180" s="17"/>
      <c r="W180" s="17"/>
    </row>
    <row r="181" spans="1:23" s="20" customFormat="1">
      <c r="A181" s="880">
        <v>44509</v>
      </c>
      <c r="B181" s="76" t="s">
        <v>23</v>
      </c>
      <c r="C181" s="11" t="s">
        <v>7656</v>
      </c>
      <c r="D181" s="29" t="s">
        <v>7657</v>
      </c>
      <c r="E181" s="913" t="s">
        <v>2547</v>
      </c>
      <c r="F181" s="913" t="s">
        <v>2548</v>
      </c>
      <c r="G181" s="16">
        <v>2</v>
      </c>
      <c r="H181" s="23">
        <v>70700</v>
      </c>
      <c r="I181" s="17">
        <f t="shared" si="7"/>
        <v>141400</v>
      </c>
      <c r="J181" s="17"/>
      <c r="K181" s="171">
        <f t="shared" si="8"/>
        <v>141400</v>
      </c>
      <c r="L181" s="17">
        <v>40000</v>
      </c>
      <c r="M181" s="17"/>
      <c r="N181" s="17">
        <f t="shared" si="10"/>
        <v>181400</v>
      </c>
      <c r="O181" s="76" t="s">
        <v>23</v>
      </c>
      <c r="P181" s="72"/>
      <c r="Q181" s="10" t="s">
        <v>54</v>
      </c>
      <c r="R181" s="17"/>
      <c r="S181" s="17"/>
      <c r="T181" s="17"/>
      <c r="U181" s="17"/>
      <c r="V181" s="17"/>
      <c r="W181" s="17"/>
    </row>
    <row r="182" spans="1:23" s="20" customFormat="1">
      <c r="A182" s="880">
        <v>44509</v>
      </c>
      <c r="B182" s="76" t="s">
        <v>23</v>
      </c>
      <c r="C182" s="11" t="s">
        <v>7656</v>
      </c>
      <c r="D182" s="29" t="s">
        <v>7658</v>
      </c>
      <c r="E182" s="913" t="s">
        <v>5216</v>
      </c>
      <c r="F182" s="913" t="s">
        <v>7369</v>
      </c>
      <c r="G182" s="16">
        <v>2</v>
      </c>
      <c r="H182" s="888">
        <v>101600</v>
      </c>
      <c r="I182" s="17">
        <f t="shared" si="7"/>
        <v>203200</v>
      </c>
      <c r="J182" s="17"/>
      <c r="K182" s="171">
        <f t="shared" si="8"/>
        <v>203200</v>
      </c>
      <c r="L182" s="17"/>
      <c r="M182" s="17"/>
      <c r="N182" s="17">
        <f t="shared" si="10"/>
        <v>203200</v>
      </c>
      <c r="O182" s="76" t="s">
        <v>23</v>
      </c>
      <c r="P182" s="183"/>
      <c r="Q182" s="10" t="s">
        <v>54</v>
      </c>
      <c r="R182" s="17"/>
      <c r="S182" s="17"/>
      <c r="T182" s="17"/>
      <c r="U182" s="17"/>
      <c r="V182" s="17"/>
      <c r="W182" s="17"/>
    </row>
    <row r="183" spans="1:23" s="20" customFormat="1">
      <c r="A183" s="880">
        <v>44509</v>
      </c>
      <c r="B183" s="76" t="s">
        <v>23</v>
      </c>
      <c r="C183" s="11" t="s">
        <v>7659</v>
      </c>
      <c r="D183" s="29" t="s">
        <v>7660</v>
      </c>
      <c r="E183" s="950" t="s">
        <v>2547</v>
      </c>
      <c r="F183" s="950" t="s">
        <v>2548</v>
      </c>
      <c r="G183" s="16">
        <v>1</v>
      </c>
      <c r="H183" s="23">
        <v>70700</v>
      </c>
      <c r="I183" s="17">
        <f t="shared" si="7"/>
        <v>70700</v>
      </c>
      <c r="J183" s="17"/>
      <c r="K183" s="171">
        <f t="shared" si="8"/>
        <v>70700</v>
      </c>
      <c r="L183" s="17">
        <v>17000</v>
      </c>
      <c r="M183" s="17"/>
      <c r="N183" s="17">
        <f t="shared" si="10"/>
        <v>87700</v>
      </c>
      <c r="O183" s="76" t="s">
        <v>23</v>
      </c>
      <c r="P183" s="72"/>
      <c r="Q183" s="10" t="s">
        <v>54</v>
      </c>
      <c r="R183" s="17"/>
      <c r="S183" s="17"/>
      <c r="T183" s="17"/>
      <c r="U183" s="17"/>
      <c r="V183" s="17"/>
      <c r="W183" s="17"/>
    </row>
    <row r="184" spans="1:23" s="20" customFormat="1">
      <c r="A184" s="880">
        <v>44509</v>
      </c>
      <c r="B184" s="76" t="s">
        <v>23</v>
      </c>
      <c r="C184" s="11" t="s">
        <v>7661</v>
      </c>
      <c r="D184" s="29" t="s">
        <v>7662</v>
      </c>
      <c r="E184" s="739" t="s">
        <v>7663</v>
      </c>
      <c r="F184" s="739" t="s">
        <v>7664</v>
      </c>
      <c r="G184" s="16">
        <v>1</v>
      </c>
      <c r="H184" s="888">
        <v>295000</v>
      </c>
      <c r="I184" s="17">
        <f t="shared" si="7"/>
        <v>295000</v>
      </c>
      <c r="J184" s="17"/>
      <c r="K184" s="171">
        <f t="shared" si="8"/>
        <v>295000</v>
      </c>
      <c r="L184" s="17">
        <v>17000</v>
      </c>
      <c r="M184" s="17"/>
      <c r="N184" s="17">
        <f t="shared" si="10"/>
        <v>312000</v>
      </c>
      <c r="O184" s="76" t="s">
        <v>23</v>
      </c>
      <c r="P184" s="72"/>
      <c r="Q184" s="10" t="s">
        <v>40</v>
      </c>
      <c r="R184" s="17"/>
      <c r="S184" s="17"/>
      <c r="T184" s="17"/>
      <c r="U184" s="17"/>
      <c r="V184" s="17"/>
      <c r="W184" s="17"/>
    </row>
    <row r="185" spans="1:23" s="20" customFormat="1">
      <c r="A185" s="880">
        <v>44509</v>
      </c>
      <c r="B185" s="76" t="s">
        <v>313</v>
      </c>
      <c r="C185" s="11" t="s">
        <v>7665</v>
      </c>
      <c r="D185" s="29" t="s">
        <v>7666</v>
      </c>
      <c r="E185" s="739" t="s">
        <v>7667</v>
      </c>
      <c r="F185" s="739" t="s">
        <v>7668</v>
      </c>
      <c r="G185" s="16">
        <v>1</v>
      </c>
      <c r="H185" s="23">
        <v>61000</v>
      </c>
      <c r="I185" s="17">
        <f t="shared" si="7"/>
        <v>61000</v>
      </c>
      <c r="J185" s="17"/>
      <c r="K185" s="171">
        <f t="shared" si="8"/>
        <v>61000</v>
      </c>
      <c r="L185" s="17">
        <v>39091</v>
      </c>
      <c r="M185" s="17"/>
      <c r="N185" s="17">
        <f t="shared" si="10"/>
        <v>100091</v>
      </c>
      <c r="O185" s="76" t="s">
        <v>313</v>
      </c>
      <c r="P185" s="72"/>
      <c r="Q185" s="10" t="s">
        <v>40</v>
      </c>
      <c r="R185" s="17"/>
      <c r="S185" s="17"/>
      <c r="T185" s="17"/>
      <c r="U185" s="17"/>
      <c r="V185" s="17"/>
      <c r="W185" s="17"/>
    </row>
    <row r="186" spans="1:23" s="20" customFormat="1">
      <c r="A186" s="880">
        <v>44509</v>
      </c>
      <c r="B186" s="76" t="s">
        <v>23</v>
      </c>
      <c r="C186" s="10" t="s">
        <v>7669</v>
      </c>
      <c r="D186" s="29" t="s">
        <v>7670</v>
      </c>
      <c r="E186" s="76" t="s">
        <v>190</v>
      </c>
      <c r="F186" s="76" t="s">
        <v>191</v>
      </c>
      <c r="G186" s="16">
        <v>1</v>
      </c>
      <c r="H186" s="888">
        <v>92000</v>
      </c>
      <c r="I186" s="17">
        <f t="shared" si="7"/>
        <v>92000</v>
      </c>
      <c r="J186" s="17"/>
      <c r="K186" s="171">
        <f t="shared" si="8"/>
        <v>92000</v>
      </c>
      <c r="L186" s="17">
        <v>10000</v>
      </c>
      <c r="M186" s="17"/>
      <c r="N186" s="17">
        <f t="shared" si="10"/>
        <v>102000</v>
      </c>
      <c r="O186" s="76" t="s">
        <v>23</v>
      </c>
      <c r="P186" s="72"/>
      <c r="Q186" s="10" t="s">
        <v>40</v>
      </c>
      <c r="R186" s="17"/>
      <c r="S186" s="17"/>
      <c r="T186" s="17"/>
      <c r="U186" s="17"/>
      <c r="V186" s="17"/>
      <c r="W186" s="17"/>
    </row>
    <row r="187" spans="1:23" s="20" customFormat="1">
      <c r="A187" s="880">
        <v>44510</v>
      </c>
      <c r="B187" s="76" t="s">
        <v>43</v>
      </c>
      <c r="C187" s="11" t="s">
        <v>7671</v>
      </c>
      <c r="D187" s="29" t="s">
        <v>7672</v>
      </c>
      <c r="E187" s="76" t="s">
        <v>1802</v>
      </c>
      <c r="F187" s="76" t="s">
        <v>1803</v>
      </c>
      <c r="G187" s="16">
        <v>1</v>
      </c>
      <c r="H187" s="23">
        <v>68000</v>
      </c>
      <c r="I187" s="17">
        <f t="shared" si="7"/>
        <v>68000</v>
      </c>
      <c r="J187" s="17"/>
      <c r="K187" s="171">
        <f t="shared" si="8"/>
        <v>68000</v>
      </c>
      <c r="L187" s="17"/>
      <c r="M187" s="17">
        <v>-3808</v>
      </c>
      <c r="N187" s="17">
        <f t="shared" si="10"/>
        <v>64192</v>
      </c>
      <c r="O187" s="76" t="s">
        <v>43</v>
      </c>
      <c r="P187" s="72"/>
      <c r="Q187" s="10" t="s">
        <v>176</v>
      </c>
      <c r="R187" s="17"/>
      <c r="S187" s="17"/>
      <c r="T187" s="17"/>
      <c r="U187" s="17"/>
      <c r="V187" s="17"/>
      <c r="W187" s="17"/>
    </row>
    <row r="188" spans="1:23" s="20" customFormat="1">
      <c r="A188" s="880">
        <v>44510</v>
      </c>
      <c r="B188" s="76" t="s">
        <v>43</v>
      </c>
      <c r="C188" s="11" t="s">
        <v>7673</v>
      </c>
      <c r="D188" s="29" t="s">
        <v>7674</v>
      </c>
      <c r="E188" s="76" t="s">
        <v>1772</v>
      </c>
      <c r="F188" s="76" t="s">
        <v>1773</v>
      </c>
      <c r="G188" s="16">
        <v>1</v>
      </c>
      <c r="H188" s="888">
        <v>65500</v>
      </c>
      <c r="I188" s="17">
        <f t="shared" si="7"/>
        <v>65500</v>
      </c>
      <c r="J188" s="17"/>
      <c r="K188" s="171">
        <f t="shared" si="8"/>
        <v>65500</v>
      </c>
      <c r="L188" s="17"/>
      <c r="M188" s="17">
        <v>-3668</v>
      </c>
      <c r="N188" s="17">
        <f t="shared" si="10"/>
        <v>61832</v>
      </c>
      <c r="O188" s="76" t="s">
        <v>43</v>
      </c>
      <c r="P188" s="72"/>
      <c r="Q188" s="10" t="s">
        <v>54</v>
      </c>
      <c r="R188" s="17"/>
      <c r="S188" s="17"/>
      <c r="T188" s="17"/>
      <c r="U188" s="17"/>
      <c r="V188" s="17"/>
      <c r="W188" s="17"/>
    </row>
    <row r="189" spans="1:23" s="20" customFormat="1">
      <c r="A189" s="880">
        <v>44510</v>
      </c>
      <c r="B189" s="76" t="s">
        <v>43</v>
      </c>
      <c r="C189" s="11" t="s">
        <v>7675</v>
      </c>
      <c r="D189" s="29" t="s">
        <v>7676</v>
      </c>
      <c r="E189" s="739" t="s">
        <v>7677</v>
      </c>
      <c r="F189" s="739" t="s">
        <v>7678</v>
      </c>
      <c r="G189" s="951">
        <v>1</v>
      </c>
      <c r="H189" s="23">
        <v>104000</v>
      </c>
      <c r="I189" s="17">
        <f t="shared" si="7"/>
        <v>104000</v>
      </c>
      <c r="J189" s="17"/>
      <c r="K189" s="171">
        <f t="shared" si="8"/>
        <v>104000</v>
      </c>
      <c r="L189" s="17"/>
      <c r="M189" s="17">
        <v>-5824</v>
      </c>
      <c r="N189" s="17">
        <f t="shared" si="10"/>
        <v>98176</v>
      </c>
      <c r="O189" s="76" t="s">
        <v>43</v>
      </c>
      <c r="P189" s="72"/>
      <c r="Q189" s="10" t="s">
        <v>54</v>
      </c>
      <c r="R189" s="17"/>
      <c r="S189" s="17"/>
      <c r="T189" s="17"/>
      <c r="U189" s="17"/>
      <c r="V189" s="17"/>
      <c r="W189" s="17"/>
    </row>
    <row r="190" spans="1:23" s="20" customFormat="1">
      <c r="A190" s="880">
        <v>44510</v>
      </c>
      <c r="B190" s="76" t="s">
        <v>43</v>
      </c>
      <c r="C190" s="10" t="s">
        <v>7679</v>
      </c>
      <c r="D190" s="29" t="s">
        <v>7680</v>
      </c>
      <c r="E190" s="739" t="s">
        <v>7677</v>
      </c>
      <c r="F190" s="739" t="s">
        <v>7678</v>
      </c>
      <c r="G190" s="951">
        <v>1</v>
      </c>
      <c r="H190" s="888">
        <v>104000</v>
      </c>
      <c r="I190" s="17">
        <f t="shared" si="7"/>
        <v>104000</v>
      </c>
      <c r="J190" s="17"/>
      <c r="K190" s="171">
        <f t="shared" si="8"/>
        <v>104000</v>
      </c>
      <c r="L190" s="17"/>
      <c r="M190" s="17">
        <v>-5824</v>
      </c>
      <c r="N190" s="17">
        <f t="shared" si="10"/>
        <v>98176</v>
      </c>
      <c r="O190" s="76" t="s">
        <v>43</v>
      </c>
      <c r="P190" s="72"/>
      <c r="Q190" s="10" t="s">
        <v>54</v>
      </c>
      <c r="R190" s="17"/>
      <c r="S190" s="17"/>
      <c r="T190" s="17"/>
      <c r="U190" s="17"/>
      <c r="V190" s="17"/>
      <c r="W190" s="17"/>
    </row>
    <row r="191" spans="1:23" s="20" customFormat="1">
      <c r="A191" s="880">
        <v>44510</v>
      </c>
      <c r="B191" s="76" t="s">
        <v>43</v>
      </c>
      <c r="C191" s="10" t="s">
        <v>7681</v>
      </c>
      <c r="D191" s="29" t="s">
        <v>7682</v>
      </c>
      <c r="E191" s="739" t="s">
        <v>7677</v>
      </c>
      <c r="F191" s="739" t="s">
        <v>7678</v>
      </c>
      <c r="G191" s="951">
        <v>1</v>
      </c>
      <c r="H191" s="23">
        <v>104000</v>
      </c>
      <c r="I191" s="17">
        <f t="shared" si="7"/>
        <v>104000</v>
      </c>
      <c r="J191" s="17"/>
      <c r="K191" s="171">
        <f t="shared" si="8"/>
        <v>104000</v>
      </c>
      <c r="L191" s="17"/>
      <c r="M191" s="17">
        <v>-5824</v>
      </c>
      <c r="N191" s="17">
        <f t="shared" si="10"/>
        <v>98176</v>
      </c>
      <c r="O191" s="76" t="s">
        <v>43</v>
      </c>
      <c r="P191" s="72"/>
      <c r="Q191" s="10" t="s">
        <v>54</v>
      </c>
      <c r="R191" s="17"/>
      <c r="S191" s="17"/>
      <c r="T191" s="17"/>
      <c r="U191" s="17"/>
      <c r="V191" s="17"/>
      <c r="W191" s="17"/>
    </row>
    <row r="192" spans="1:23" s="20" customFormat="1">
      <c r="A192" s="880">
        <v>44510</v>
      </c>
      <c r="B192" s="76" t="s">
        <v>206</v>
      </c>
      <c r="C192" s="11" t="s">
        <v>7683</v>
      </c>
      <c r="D192" s="29" t="s">
        <v>7684</v>
      </c>
      <c r="E192" s="76" t="s">
        <v>7685</v>
      </c>
      <c r="F192" s="76" t="s">
        <v>7686</v>
      </c>
      <c r="G192" s="16">
        <v>2</v>
      </c>
      <c r="H192" s="888">
        <v>105000</v>
      </c>
      <c r="I192" s="17">
        <f t="shared" si="7"/>
        <v>210000</v>
      </c>
      <c r="J192" s="17"/>
      <c r="K192" s="171">
        <f t="shared" si="8"/>
        <v>210000</v>
      </c>
      <c r="L192" s="17">
        <v>9600</v>
      </c>
      <c r="M192" s="17"/>
      <c r="N192" s="17">
        <f t="shared" si="10"/>
        <v>219600</v>
      </c>
      <c r="O192" s="76" t="s">
        <v>206</v>
      </c>
      <c r="P192" s="72"/>
      <c r="Q192" s="10" t="s">
        <v>328</v>
      </c>
      <c r="R192" s="17"/>
      <c r="S192" s="17"/>
      <c r="T192" s="17"/>
      <c r="U192" s="17"/>
      <c r="V192" s="17"/>
      <c r="W192" s="17"/>
    </row>
    <row r="193" spans="1:23" s="20" customFormat="1">
      <c r="A193" s="880">
        <v>44510</v>
      </c>
      <c r="B193" s="76" t="s">
        <v>170</v>
      </c>
      <c r="C193" s="11" t="s">
        <v>7687</v>
      </c>
      <c r="D193" s="29" t="s">
        <v>7688</v>
      </c>
      <c r="E193" s="739" t="s">
        <v>7689</v>
      </c>
      <c r="F193" s="739" t="s">
        <v>7678</v>
      </c>
      <c r="G193" s="16">
        <v>1</v>
      </c>
      <c r="H193" s="23">
        <v>113500</v>
      </c>
      <c r="I193" s="17">
        <f t="shared" si="7"/>
        <v>113500</v>
      </c>
      <c r="J193" s="17"/>
      <c r="K193" s="171">
        <f t="shared" si="8"/>
        <v>113500</v>
      </c>
      <c r="L193" s="17">
        <f>17000-17000</f>
        <v>0</v>
      </c>
      <c r="M193" s="17">
        <v>-568</v>
      </c>
      <c r="N193" s="17">
        <f t="shared" si="10"/>
        <v>112932</v>
      </c>
      <c r="O193" s="76" t="s">
        <v>170</v>
      </c>
      <c r="P193" s="183"/>
      <c r="Q193" s="10" t="s">
        <v>40</v>
      </c>
      <c r="R193" s="17"/>
      <c r="S193" s="17"/>
      <c r="T193" s="17"/>
      <c r="U193" s="17"/>
      <c r="V193" s="17"/>
      <c r="W193" s="17"/>
    </row>
    <row r="194" spans="1:23" s="20" customFormat="1">
      <c r="A194" s="880">
        <v>44510</v>
      </c>
      <c r="B194" s="76" t="s">
        <v>313</v>
      </c>
      <c r="C194" s="11" t="s">
        <v>7690</v>
      </c>
      <c r="D194" s="29" t="s">
        <v>7691</v>
      </c>
      <c r="E194" s="748" t="s">
        <v>1094</v>
      </c>
      <c r="F194" s="748" t="s">
        <v>927</v>
      </c>
      <c r="G194" s="16">
        <v>1</v>
      </c>
      <c r="H194" s="888">
        <v>91500</v>
      </c>
      <c r="I194" s="17">
        <f t="shared" si="7"/>
        <v>91500</v>
      </c>
      <c r="J194" s="17"/>
      <c r="K194" s="171">
        <f t="shared" si="8"/>
        <v>91500</v>
      </c>
      <c r="L194" s="17">
        <v>15081</v>
      </c>
      <c r="M194" s="17"/>
      <c r="N194" s="17">
        <f t="shared" si="10"/>
        <v>106581</v>
      </c>
      <c r="O194" s="76" t="s">
        <v>313</v>
      </c>
      <c r="P194" s="183"/>
      <c r="Q194" s="10" t="s">
        <v>40</v>
      </c>
      <c r="R194" s="17"/>
      <c r="S194" s="17"/>
      <c r="T194" s="17"/>
      <c r="U194" s="17"/>
      <c r="V194" s="17"/>
      <c r="W194" s="17"/>
    </row>
    <row r="195" spans="1:23" s="20" customFormat="1">
      <c r="A195" s="880">
        <v>44510</v>
      </c>
      <c r="B195" s="76" t="s">
        <v>313</v>
      </c>
      <c r="C195" s="11" t="s">
        <v>7690</v>
      </c>
      <c r="D195" s="29" t="s">
        <v>7692</v>
      </c>
      <c r="E195" s="748" t="s">
        <v>6343</v>
      </c>
      <c r="F195" s="748" t="s">
        <v>6344</v>
      </c>
      <c r="G195" s="16">
        <v>1</v>
      </c>
      <c r="H195" s="23">
        <v>75000</v>
      </c>
      <c r="I195" s="17">
        <f t="shared" ref="I195:I258" si="11">H195*G195</f>
        <v>75000</v>
      </c>
      <c r="J195" s="17"/>
      <c r="K195" s="171">
        <f t="shared" ref="K195:K259" si="12">I195-J195</f>
        <v>75000</v>
      </c>
      <c r="L195" s="17"/>
      <c r="M195" s="17"/>
      <c r="N195" s="17">
        <f t="shared" si="10"/>
        <v>75000</v>
      </c>
      <c r="O195" s="76" t="s">
        <v>313</v>
      </c>
      <c r="P195" s="183"/>
      <c r="Q195" s="10" t="s">
        <v>40</v>
      </c>
      <c r="R195" s="17"/>
      <c r="S195" s="17"/>
      <c r="T195" s="17"/>
      <c r="U195" s="17"/>
      <c r="V195" s="17"/>
      <c r="W195" s="17"/>
    </row>
    <row r="196" spans="1:23" s="20" customFormat="1">
      <c r="A196" s="880">
        <v>44510</v>
      </c>
      <c r="B196" s="76" t="s">
        <v>313</v>
      </c>
      <c r="C196" s="11" t="s">
        <v>7690</v>
      </c>
      <c r="D196" s="29" t="s">
        <v>7693</v>
      </c>
      <c r="E196" s="780" t="s">
        <v>377</v>
      </c>
      <c r="F196" s="780" t="s">
        <v>378</v>
      </c>
      <c r="G196" s="16">
        <v>1</v>
      </c>
      <c r="H196" s="888">
        <v>95000</v>
      </c>
      <c r="I196" s="17">
        <f t="shared" si="11"/>
        <v>95000</v>
      </c>
      <c r="J196" s="17"/>
      <c r="K196" s="171">
        <f t="shared" si="12"/>
        <v>95000</v>
      </c>
      <c r="L196" s="17"/>
      <c r="M196" s="17"/>
      <c r="N196" s="17">
        <f t="shared" si="10"/>
        <v>95000</v>
      </c>
      <c r="O196" s="76" t="s">
        <v>313</v>
      </c>
      <c r="P196" s="183"/>
      <c r="Q196" s="10" t="s">
        <v>40</v>
      </c>
      <c r="R196" s="17"/>
      <c r="S196" s="17"/>
      <c r="T196" s="17"/>
      <c r="U196" s="17"/>
      <c r="V196" s="17"/>
      <c r="W196" s="17"/>
    </row>
    <row r="197" spans="1:23" s="20" customFormat="1">
      <c r="A197" s="880">
        <v>44512</v>
      </c>
      <c r="B197" s="76" t="s">
        <v>43</v>
      </c>
      <c r="C197" s="10" t="s">
        <v>7694</v>
      </c>
      <c r="D197" s="29" t="s">
        <v>7695</v>
      </c>
      <c r="E197" s="76" t="s">
        <v>7696</v>
      </c>
      <c r="F197" s="76" t="s">
        <v>7697</v>
      </c>
      <c r="G197" s="16">
        <v>1</v>
      </c>
      <c r="H197" s="23">
        <v>131000</v>
      </c>
      <c r="I197" s="17">
        <f t="shared" si="11"/>
        <v>131000</v>
      </c>
      <c r="J197" s="17">
        <f>I197*15%</f>
        <v>19650</v>
      </c>
      <c r="K197" s="171">
        <f t="shared" si="12"/>
        <v>111350</v>
      </c>
      <c r="L197" s="17"/>
      <c r="M197" s="17">
        <v>-6236</v>
      </c>
      <c r="N197" s="17">
        <f t="shared" si="10"/>
        <v>105114</v>
      </c>
      <c r="O197" s="76" t="s">
        <v>43</v>
      </c>
      <c r="P197" s="183"/>
      <c r="Q197" s="10" t="s">
        <v>40</v>
      </c>
      <c r="R197" s="17"/>
      <c r="S197" s="17"/>
      <c r="T197" s="17"/>
      <c r="U197" s="17"/>
      <c r="V197" s="17"/>
      <c r="W197" s="17"/>
    </row>
    <row r="198" spans="1:23" s="20" customFormat="1">
      <c r="A198" s="880">
        <v>44512</v>
      </c>
      <c r="B198" s="76" t="s">
        <v>43</v>
      </c>
      <c r="C198" s="10" t="s">
        <v>7698</v>
      </c>
      <c r="D198" s="29" t="s">
        <v>7699</v>
      </c>
      <c r="E198" s="739" t="s">
        <v>7677</v>
      </c>
      <c r="F198" s="739" t="s">
        <v>7678</v>
      </c>
      <c r="G198" s="952">
        <v>1</v>
      </c>
      <c r="H198" s="888">
        <v>104000</v>
      </c>
      <c r="I198" s="17">
        <f t="shared" si="11"/>
        <v>104000</v>
      </c>
      <c r="J198" s="17"/>
      <c r="K198" s="171">
        <f t="shared" si="12"/>
        <v>104000</v>
      </c>
      <c r="L198" s="17">
        <v>3000</v>
      </c>
      <c r="M198" s="17">
        <v>-5824</v>
      </c>
      <c r="N198" s="17">
        <f t="shared" si="10"/>
        <v>101176</v>
      </c>
      <c r="O198" s="76" t="s">
        <v>43</v>
      </c>
      <c r="P198" s="72"/>
      <c r="Q198" s="10" t="s">
        <v>54</v>
      </c>
      <c r="R198" s="17"/>
      <c r="S198" s="13"/>
      <c r="T198" s="17"/>
      <c r="U198" s="17"/>
      <c r="V198" s="17"/>
      <c r="W198" s="17"/>
    </row>
    <row r="199" spans="1:23" s="20" customFormat="1">
      <c r="A199" s="880">
        <v>44512</v>
      </c>
      <c r="B199" s="76" t="s">
        <v>43</v>
      </c>
      <c r="C199" s="11" t="s">
        <v>7700</v>
      </c>
      <c r="D199" s="745" t="s">
        <v>7701</v>
      </c>
      <c r="E199" s="739" t="s">
        <v>7677</v>
      </c>
      <c r="F199" s="739" t="s">
        <v>7678</v>
      </c>
      <c r="G199" s="952">
        <v>1</v>
      </c>
      <c r="H199" s="757">
        <v>104000</v>
      </c>
      <c r="I199" s="17">
        <f t="shared" si="11"/>
        <v>104000</v>
      </c>
      <c r="J199" s="17"/>
      <c r="K199" s="171">
        <f t="shared" si="12"/>
        <v>104000</v>
      </c>
      <c r="L199" s="17">
        <v>10000</v>
      </c>
      <c r="M199" s="17">
        <v>-5824</v>
      </c>
      <c r="N199" s="17">
        <f t="shared" si="10"/>
        <v>108176</v>
      </c>
      <c r="O199" s="76" t="s">
        <v>43</v>
      </c>
      <c r="P199" s="183"/>
      <c r="Q199" s="10" t="s">
        <v>176</v>
      </c>
      <c r="R199" s="17"/>
      <c r="S199" s="13"/>
      <c r="T199" s="17"/>
      <c r="U199" s="17"/>
      <c r="V199" s="17"/>
      <c r="W199" s="17"/>
    </row>
    <row r="200" spans="1:23" s="20" customFormat="1">
      <c r="A200" s="880">
        <v>44512</v>
      </c>
      <c r="B200" s="76" t="s">
        <v>43</v>
      </c>
      <c r="C200" s="10" t="s">
        <v>7702</v>
      </c>
      <c r="D200" s="745" t="s">
        <v>7703</v>
      </c>
      <c r="E200" s="76" t="s">
        <v>3063</v>
      </c>
      <c r="F200" s="76" t="s">
        <v>3064</v>
      </c>
      <c r="G200" s="16">
        <v>1</v>
      </c>
      <c r="H200" s="849">
        <v>91500</v>
      </c>
      <c r="I200" s="17">
        <f t="shared" si="11"/>
        <v>91500</v>
      </c>
      <c r="J200" s="17"/>
      <c r="K200" s="171">
        <f t="shared" si="12"/>
        <v>91500</v>
      </c>
      <c r="L200" s="17">
        <v>14000</v>
      </c>
      <c r="M200" s="17">
        <v>-5124</v>
      </c>
      <c r="N200" s="17">
        <f t="shared" si="10"/>
        <v>100376</v>
      </c>
      <c r="O200" s="76" t="s">
        <v>43</v>
      </c>
      <c r="P200" s="72"/>
      <c r="Q200" s="10" t="s">
        <v>176</v>
      </c>
      <c r="R200" s="17"/>
      <c r="S200" s="17"/>
      <c r="T200" s="17"/>
      <c r="U200" s="17"/>
      <c r="V200" s="17"/>
      <c r="W200" s="17"/>
    </row>
    <row r="201" spans="1:23" s="20" customFormat="1">
      <c r="A201" s="880">
        <v>44512</v>
      </c>
      <c r="B201" s="76" t="s">
        <v>43</v>
      </c>
      <c r="C201" s="11" t="s">
        <v>7704</v>
      </c>
      <c r="D201" s="29" t="s">
        <v>7705</v>
      </c>
      <c r="E201" s="739" t="s">
        <v>7677</v>
      </c>
      <c r="F201" s="739" t="s">
        <v>7678</v>
      </c>
      <c r="G201" s="952">
        <v>1</v>
      </c>
      <c r="H201" s="20">
        <v>104000</v>
      </c>
      <c r="I201" s="17">
        <f t="shared" si="11"/>
        <v>104000</v>
      </c>
      <c r="J201" s="17">
        <f>I201*15%</f>
        <v>15600</v>
      </c>
      <c r="K201" s="171">
        <f t="shared" si="12"/>
        <v>88400</v>
      </c>
      <c r="L201" s="17"/>
      <c r="M201" s="17">
        <v>-4900</v>
      </c>
      <c r="N201" s="17">
        <f t="shared" si="10"/>
        <v>83500</v>
      </c>
      <c r="O201" s="76" t="s">
        <v>43</v>
      </c>
      <c r="P201" s="183"/>
      <c r="Q201" s="10" t="s">
        <v>176</v>
      </c>
      <c r="R201" s="17"/>
      <c r="S201" s="17"/>
      <c r="T201" s="17"/>
      <c r="U201" s="17"/>
      <c r="V201" s="17"/>
      <c r="W201" s="17"/>
    </row>
    <row r="202" spans="1:23" s="17" customFormat="1">
      <c r="A202" s="880">
        <v>44512</v>
      </c>
      <c r="B202" s="76" t="s">
        <v>206</v>
      </c>
      <c r="C202" s="10" t="s">
        <v>7706</v>
      </c>
      <c r="D202" s="92" t="s">
        <v>7707</v>
      </c>
      <c r="E202" s="907" t="s">
        <v>7708</v>
      </c>
      <c r="F202" s="907" t="s">
        <v>5495</v>
      </c>
      <c r="G202" s="16">
        <v>1</v>
      </c>
      <c r="H202" s="17">
        <v>136000</v>
      </c>
      <c r="I202" s="17">
        <f t="shared" si="11"/>
        <v>136000</v>
      </c>
      <c r="K202" s="171">
        <f t="shared" si="12"/>
        <v>136000</v>
      </c>
      <c r="L202" s="17">
        <f>45000-40000</f>
        <v>5000</v>
      </c>
      <c r="N202" s="17">
        <f t="shared" si="10"/>
        <v>141000</v>
      </c>
      <c r="O202" s="76" t="s">
        <v>206</v>
      </c>
      <c r="P202" s="183"/>
      <c r="Q202" s="10" t="s">
        <v>328</v>
      </c>
      <c r="S202" s="13"/>
    </row>
    <row r="203" spans="1:23" s="17" customFormat="1">
      <c r="A203" s="880">
        <v>44512</v>
      </c>
      <c r="B203" s="76" t="s">
        <v>206</v>
      </c>
      <c r="C203" s="10" t="s">
        <v>7706</v>
      </c>
      <c r="D203" s="92" t="s">
        <v>7707</v>
      </c>
      <c r="E203" s="907" t="s">
        <v>3517</v>
      </c>
      <c r="F203" s="907" t="s">
        <v>3518</v>
      </c>
      <c r="G203" s="16">
        <v>1</v>
      </c>
      <c r="H203" s="17">
        <v>52000</v>
      </c>
      <c r="I203" s="17">
        <f t="shared" si="11"/>
        <v>52000</v>
      </c>
      <c r="K203" s="171">
        <f t="shared" si="12"/>
        <v>52000</v>
      </c>
      <c r="N203" s="17">
        <f t="shared" si="10"/>
        <v>52000</v>
      </c>
      <c r="O203" s="76" t="s">
        <v>206</v>
      </c>
      <c r="P203" s="183"/>
      <c r="Q203" s="10" t="s">
        <v>328</v>
      </c>
    </row>
    <row r="204" spans="1:23" s="17" customFormat="1">
      <c r="A204" s="880">
        <v>44512</v>
      </c>
      <c r="B204" s="76" t="s">
        <v>313</v>
      </c>
      <c r="C204" s="11" t="s">
        <v>7709</v>
      </c>
      <c r="D204" s="92" t="s">
        <v>7710</v>
      </c>
      <c r="E204" s="739" t="s">
        <v>4916</v>
      </c>
      <c r="F204" s="739" t="s">
        <v>4917</v>
      </c>
      <c r="G204" s="16">
        <v>1</v>
      </c>
      <c r="H204" s="17">
        <v>121000</v>
      </c>
      <c r="I204" s="17">
        <f t="shared" si="11"/>
        <v>121000</v>
      </c>
      <c r="K204" s="171">
        <f t="shared" si="12"/>
        <v>121000</v>
      </c>
      <c r="L204" s="17">
        <v>57038</v>
      </c>
      <c r="N204" s="17">
        <f t="shared" si="10"/>
        <v>178038</v>
      </c>
      <c r="O204" s="76" t="s">
        <v>313</v>
      </c>
      <c r="P204" s="183"/>
      <c r="Q204" s="10" t="s">
        <v>40</v>
      </c>
    </row>
    <row r="205" spans="1:23" s="17" customFormat="1">
      <c r="A205" s="880">
        <v>44512</v>
      </c>
      <c r="B205" s="76" t="s">
        <v>23</v>
      </c>
      <c r="C205" s="11" t="s">
        <v>7711</v>
      </c>
      <c r="D205" s="92" t="s">
        <v>7712</v>
      </c>
      <c r="E205" s="76" t="s">
        <v>7713</v>
      </c>
      <c r="F205" s="76" t="s">
        <v>7714</v>
      </c>
      <c r="G205" s="16">
        <v>1</v>
      </c>
      <c r="H205" s="17">
        <v>88000</v>
      </c>
      <c r="I205" s="17">
        <f t="shared" si="11"/>
        <v>88000</v>
      </c>
      <c r="K205" s="171">
        <f t="shared" si="12"/>
        <v>88000</v>
      </c>
      <c r="L205" s="17">
        <v>17000</v>
      </c>
      <c r="N205" s="17">
        <f t="shared" si="10"/>
        <v>105000</v>
      </c>
      <c r="O205" s="76" t="s">
        <v>23</v>
      </c>
      <c r="P205" s="72"/>
      <c r="Q205" s="10" t="s">
        <v>40</v>
      </c>
    </row>
    <row r="206" spans="1:23" s="17" customFormat="1">
      <c r="A206" s="880">
        <v>44512</v>
      </c>
      <c r="B206" s="76" t="s">
        <v>177</v>
      </c>
      <c r="C206" s="11" t="s">
        <v>7715</v>
      </c>
      <c r="D206" s="92" t="s">
        <v>7716</v>
      </c>
      <c r="E206" s="739" t="s">
        <v>173</v>
      </c>
      <c r="F206" s="739" t="s">
        <v>174</v>
      </c>
      <c r="G206" s="16">
        <v>1</v>
      </c>
      <c r="H206" s="17">
        <v>64000</v>
      </c>
      <c r="I206" s="17">
        <f t="shared" si="11"/>
        <v>64000</v>
      </c>
      <c r="K206" s="171">
        <f t="shared" si="12"/>
        <v>64000</v>
      </c>
      <c r="L206" s="17">
        <v>35500</v>
      </c>
      <c r="N206" s="17">
        <f t="shared" si="10"/>
        <v>99500</v>
      </c>
      <c r="O206" s="76" t="s">
        <v>177</v>
      </c>
      <c r="P206" s="72"/>
      <c r="Q206" s="10" t="s">
        <v>54</v>
      </c>
    </row>
    <row r="207" spans="1:23" s="17" customFormat="1">
      <c r="A207" s="880">
        <v>44512</v>
      </c>
      <c r="B207" s="76" t="s">
        <v>177</v>
      </c>
      <c r="C207" s="10" t="s">
        <v>7717</v>
      </c>
      <c r="D207" s="92" t="s">
        <v>7718</v>
      </c>
      <c r="E207" s="739" t="s">
        <v>7677</v>
      </c>
      <c r="F207" s="739" t="s">
        <v>7678</v>
      </c>
      <c r="G207" s="16">
        <v>1</v>
      </c>
      <c r="H207" s="17">
        <v>104000</v>
      </c>
      <c r="I207" s="17">
        <f t="shared" si="11"/>
        <v>104000</v>
      </c>
      <c r="K207" s="171">
        <f t="shared" si="12"/>
        <v>104000</v>
      </c>
      <c r="L207" s="17">
        <v>9000</v>
      </c>
      <c r="N207" s="17">
        <f t="shared" si="10"/>
        <v>113000</v>
      </c>
      <c r="O207" s="76" t="s">
        <v>177</v>
      </c>
      <c r="P207" s="183"/>
      <c r="Q207" s="10" t="s">
        <v>54</v>
      </c>
    </row>
    <row r="208" spans="1:23" s="17" customFormat="1">
      <c r="A208" s="880">
        <v>44512</v>
      </c>
      <c r="B208" s="76" t="s">
        <v>177</v>
      </c>
      <c r="C208" s="11" t="s">
        <v>7719</v>
      </c>
      <c r="D208" s="92" t="s">
        <v>7720</v>
      </c>
      <c r="E208" s="739" t="s">
        <v>7721</v>
      </c>
      <c r="F208" s="739" t="s">
        <v>7722</v>
      </c>
      <c r="G208" s="16">
        <v>1</v>
      </c>
      <c r="H208" s="17">
        <v>112000</v>
      </c>
      <c r="I208" s="17">
        <f t="shared" si="11"/>
        <v>112000</v>
      </c>
      <c r="K208" s="171">
        <f t="shared" si="12"/>
        <v>112000</v>
      </c>
      <c r="L208" s="17">
        <v>45000</v>
      </c>
      <c r="N208" s="17">
        <f t="shared" si="10"/>
        <v>157000</v>
      </c>
      <c r="O208" s="76" t="s">
        <v>177</v>
      </c>
      <c r="P208" s="183"/>
      <c r="Q208" s="10" t="s">
        <v>54</v>
      </c>
      <c r="S208" s="13"/>
    </row>
    <row r="209" spans="1:19" s="17" customFormat="1">
      <c r="A209" s="880">
        <v>44512</v>
      </c>
      <c r="B209" s="76" t="s">
        <v>43</v>
      </c>
      <c r="C209" s="11" t="s">
        <v>7723</v>
      </c>
      <c r="D209" s="92" t="s">
        <v>7724</v>
      </c>
      <c r="E209" s="739" t="s">
        <v>1845</v>
      </c>
      <c r="F209" s="739" t="s">
        <v>1846</v>
      </c>
      <c r="G209" s="16">
        <v>1</v>
      </c>
      <c r="H209" s="17">
        <v>434000</v>
      </c>
      <c r="I209" s="17">
        <f t="shared" si="11"/>
        <v>434000</v>
      </c>
      <c r="J209" s="17">
        <f>I209*15%</f>
        <v>65100</v>
      </c>
      <c r="K209" s="171">
        <f t="shared" si="12"/>
        <v>368900</v>
      </c>
      <c r="M209" s="17">
        <v>-17378</v>
      </c>
      <c r="N209" s="17">
        <f t="shared" si="10"/>
        <v>351522</v>
      </c>
      <c r="O209" s="76" t="s">
        <v>43</v>
      </c>
      <c r="P209" s="183"/>
      <c r="Q209" s="10" t="s">
        <v>54</v>
      </c>
      <c r="S209" s="13"/>
    </row>
    <row r="210" spans="1:19" s="17" customFormat="1">
      <c r="A210" s="880">
        <v>44512</v>
      </c>
      <c r="B210" s="76" t="s">
        <v>170</v>
      </c>
      <c r="C210" s="11" t="s">
        <v>7725</v>
      </c>
      <c r="D210" s="92" t="s">
        <v>7726</v>
      </c>
      <c r="E210" s="739" t="s">
        <v>5099</v>
      </c>
      <c r="F210" s="739" t="s">
        <v>5100</v>
      </c>
      <c r="G210" s="16">
        <v>1</v>
      </c>
      <c r="H210" s="17">
        <v>83000</v>
      </c>
      <c r="I210" s="17">
        <f t="shared" si="11"/>
        <v>83000</v>
      </c>
      <c r="K210" s="171">
        <f t="shared" si="12"/>
        <v>83000</v>
      </c>
      <c r="L210" s="17">
        <f>16000-16000</f>
        <v>0</v>
      </c>
      <c r="N210" s="17">
        <f t="shared" si="10"/>
        <v>83000</v>
      </c>
      <c r="O210" s="76" t="s">
        <v>170</v>
      </c>
      <c r="P210" s="183"/>
      <c r="Q210" s="10" t="s">
        <v>176</v>
      </c>
      <c r="S210" s="13"/>
    </row>
    <row r="211" spans="1:19" s="17" customFormat="1">
      <c r="A211" s="880">
        <v>44512</v>
      </c>
      <c r="B211" s="76" t="s">
        <v>23</v>
      </c>
      <c r="C211" s="10" t="s">
        <v>7727</v>
      </c>
      <c r="D211" s="92" t="s">
        <v>7728</v>
      </c>
      <c r="E211" s="780" t="s">
        <v>5608</v>
      </c>
      <c r="F211" s="780" t="s">
        <v>5609</v>
      </c>
      <c r="G211" s="16">
        <v>3</v>
      </c>
      <c r="H211" s="17">
        <v>100500</v>
      </c>
      <c r="I211" s="17">
        <f t="shared" si="11"/>
        <v>301500</v>
      </c>
      <c r="K211" s="171">
        <f t="shared" si="12"/>
        <v>301500</v>
      </c>
      <c r="L211" s="17">
        <v>102000</v>
      </c>
      <c r="N211" s="17">
        <f t="shared" si="10"/>
        <v>403500</v>
      </c>
      <c r="O211" s="76" t="s">
        <v>23</v>
      </c>
      <c r="P211" s="72"/>
      <c r="Q211" s="10" t="s">
        <v>40</v>
      </c>
    </row>
    <row r="212" spans="1:19" s="17" customFormat="1">
      <c r="A212" s="880">
        <v>44512</v>
      </c>
      <c r="B212" s="76" t="s">
        <v>23</v>
      </c>
      <c r="C212" s="10" t="s">
        <v>7727</v>
      </c>
      <c r="D212" s="92" t="s">
        <v>7728</v>
      </c>
      <c r="E212" s="780" t="s">
        <v>7729</v>
      </c>
      <c r="F212" s="780" t="s">
        <v>7730</v>
      </c>
      <c r="G212" s="16">
        <v>3</v>
      </c>
      <c r="H212" s="17">
        <v>62000</v>
      </c>
      <c r="I212" s="17">
        <f t="shared" si="11"/>
        <v>186000</v>
      </c>
      <c r="K212" s="171">
        <f t="shared" si="12"/>
        <v>186000</v>
      </c>
      <c r="N212" s="17">
        <f t="shared" si="10"/>
        <v>186000</v>
      </c>
      <c r="O212" s="76" t="s">
        <v>23</v>
      </c>
      <c r="P212" s="183"/>
      <c r="Q212" s="10" t="s">
        <v>40</v>
      </c>
    </row>
    <row r="213" spans="1:19" s="17" customFormat="1">
      <c r="A213" s="880">
        <v>44512</v>
      </c>
      <c r="B213" s="76" t="s">
        <v>23</v>
      </c>
      <c r="C213" s="10" t="s">
        <v>7727</v>
      </c>
      <c r="D213" s="92" t="s">
        <v>7728</v>
      </c>
      <c r="E213" s="780" t="s">
        <v>7731</v>
      </c>
      <c r="F213" s="780" t="s">
        <v>7732</v>
      </c>
      <c r="G213" s="16">
        <v>3</v>
      </c>
      <c r="H213" s="17">
        <v>75500</v>
      </c>
      <c r="I213" s="17">
        <f t="shared" si="11"/>
        <v>226500</v>
      </c>
      <c r="K213" s="171">
        <f t="shared" si="12"/>
        <v>226500</v>
      </c>
      <c r="N213" s="17">
        <f t="shared" si="10"/>
        <v>226500</v>
      </c>
      <c r="O213" s="76" t="s">
        <v>23</v>
      </c>
      <c r="P213" s="183"/>
      <c r="Q213" s="10" t="s">
        <v>40</v>
      </c>
    </row>
    <row r="214" spans="1:19" s="17" customFormat="1">
      <c r="A214" s="880">
        <v>44512</v>
      </c>
      <c r="B214" s="76" t="s">
        <v>23</v>
      </c>
      <c r="C214" s="10" t="s">
        <v>7727</v>
      </c>
      <c r="D214" s="92" t="s">
        <v>7728</v>
      </c>
      <c r="E214" s="780" t="s">
        <v>7347</v>
      </c>
      <c r="F214" s="780" t="s">
        <v>7348</v>
      </c>
      <c r="G214" s="16">
        <v>3</v>
      </c>
      <c r="H214" s="17">
        <v>97000</v>
      </c>
      <c r="I214" s="17">
        <f t="shared" si="11"/>
        <v>291000</v>
      </c>
      <c r="K214" s="171">
        <f t="shared" si="12"/>
        <v>291000</v>
      </c>
      <c r="N214" s="17">
        <f t="shared" si="10"/>
        <v>291000</v>
      </c>
      <c r="O214" s="76" t="s">
        <v>23</v>
      </c>
      <c r="P214" s="72"/>
      <c r="Q214" s="10" t="s">
        <v>40</v>
      </c>
    </row>
    <row r="215" spans="1:19" s="17" customFormat="1">
      <c r="A215" s="880">
        <v>44512</v>
      </c>
      <c r="B215" s="76" t="s">
        <v>23</v>
      </c>
      <c r="C215" s="10" t="s">
        <v>7727</v>
      </c>
      <c r="D215" s="92" t="s">
        <v>7728</v>
      </c>
      <c r="E215" s="780" t="s">
        <v>1202</v>
      </c>
      <c r="F215" s="780" t="s">
        <v>1203</v>
      </c>
      <c r="G215" s="16">
        <v>3</v>
      </c>
      <c r="H215" s="849">
        <v>218000</v>
      </c>
      <c r="I215" s="17">
        <f t="shared" si="11"/>
        <v>654000</v>
      </c>
      <c r="K215" s="171">
        <f t="shared" si="12"/>
        <v>654000</v>
      </c>
      <c r="N215" s="17">
        <f t="shared" si="10"/>
        <v>654000</v>
      </c>
      <c r="O215" s="76" t="s">
        <v>23</v>
      </c>
      <c r="P215" s="72"/>
      <c r="Q215" s="10" t="s">
        <v>40</v>
      </c>
      <c r="S215" s="13"/>
    </row>
    <row r="216" spans="1:19" s="17" customFormat="1">
      <c r="A216" s="880">
        <v>44512</v>
      </c>
      <c r="B216" s="76" t="s">
        <v>23</v>
      </c>
      <c r="C216" s="10" t="s">
        <v>7727</v>
      </c>
      <c r="D216" s="92" t="s">
        <v>7728</v>
      </c>
      <c r="E216" s="780" t="s">
        <v>1189</v>
      </c>
      <c r="F216" s="780" t="s">
        <v>1190</v>
      </c>
      <c r="G216" s="16">
        <v>3</v>
      </c>
      <c r="H216" s="849">
        <v>10000</v>
      </c>
      <c r="I216" s="17">
        <f t="shared" si="11"/>
        <v>30000</v>
      </c>
      <c r="K216" s="171">
        <f t="shared" si="12"/>
        <v>30000</v>
      </c>
      <c r="N216" s="17">
        <f t="shared" si="10"/>
        <v>30000</v>
      </c>
      <c r="O216" s="76" t="s">
        <v>23</v>
      </c>
      <c r="P216" s="72"/>
      <c r="Q216" s="10" t="s">
        <v>40</v>
      </c>
    </row>
    <row r="217" spans="1:19" s="17" customFormat="1">
      <c r="A217" s="880">
        <v>44515</v>
      </c>
      <c r="B217" s="76" t="s">
        <v>206</v>
      </c>
      <c r="C217" s="11" t="s">
        <v>7733</v>
      </c>
      <c r="D217" s="191" t="s">
        <v>7734</v>
      </c>
      <c r="E217" s="76" t="s">
        <v>841</v>
      </c>
      <c r="F217" s="76" t="s">
        <v>842</v>
      </c>
      <c r="G217" s="16">
        <v>1</v>
      </c>
      <c r="H217" s="849">
        <v>87000</v>
      </c>
      <c r="I217" s="86">
        <f t="shared" si="11"/>
        <v>87000</v>
      </c>
      <c r="K217" s="171">
        <f t="shared" si="12"/>
        <v>87000</v>
      </c>
      <c r="L217" s="17">
        <f>15000-15000</f>
        <v>0</v>
      </c>
      <c r="N217" s="17">
        <f t="shared" si="10"/>
        <v>87000</v>
      </c>
      <c r="O217" s="76" t="s">
        <v>206</v>
      </c>
      <c r="P217" s="72"/>
      <c r="Q217" s="10" t="s">
        <v>328</v>
      </c>
    </row>
    <row r="218" spans="1:19" s="17" customFormat="1">
      <c r="A218" s="880">
        <v>44515</v>
      </c>
      <c r="B218" s="76" t="s">
        <v>177</v>
      </c>
      <c r="C218" s="10" t="s">
        <v>7735</v>
      </c>
      <c r="D218" s="92" t="s">
        <v>7736</v>
      </c>
      <c r="E218" s="739" t="s">
        <v>7677</v>
      </c>
      <c r="F218" s="739" t="s">
        <v>7678</v>
      </c>
      <c r="G218" s="16">
        <v>1</v>
      </c>
      <c r="H218" s="849">
        <v>104000</v>
      </c>
      <c r="I218" s="86">
        <f t="shared" si="11"/>
        <v>104000</v>
      </c>
      <c r="K218" s="171">
        <f t="shared" si="12"/>
        <v>104000</v>
      </c>
      <c r="L218" s="17">
        <v>9500</v>
      </c>
      <c r="N218" s="17">
        <f t="shared" ref="N218:N281" si="13">K218+L218+M218</f>
        <v>113500</v>
      </c>
      <c r="O218" s="76" t="s">
        <v>177</v>
      </c>
      <c r="P218" s="183"/>
      <c r="Q218" s="10" t="s">
        <v>54</v>
      </c>
    </row>
    <row r="219" spans="1:19" s="17" customFormat="1">
      <c r="A219" s="880">
        <v>44515</v>
      </c>
      <c r="B219" s="76" t="s">
        <v>177</v>
      </c>
      <c r="C219" s="10" t="s">
        <v>7737</v>
      </c>
      <c r="D219" s="92" t="s">
        <v>7738</v>
      </c>
      <c r="E219" s="739" t="s">
        <v>1758</v>
      </c>
      <c r="F219" s="739" t="s">
        <v>1759</v>
      </c>
      <c r="G219" s="16">
        <v>1</v>
      </c>
      <c r="H219" s="849">
        <v>55000</v>
      </c>
      <c r="I219" s="86">
        <f t="shared" si="11"/>
        <v>55000</v>
      </c>
      <c r="K219" s="171">
        <f t="shared" si="12"/>
        <v>55000</v>
      </c>
      <c r="L219" s="17">
        <v>8000</v>
      </c>
      <c r="N219" s="17">
        <f t="shared" si="13"/>
        <v>63000</v>
      </c>
      <c r="O219" s="76" t="s">
        <v>177</v>
      </c>
      <c r="P219" s="183"/>
      <c r="Q219" s="10" t="s">
        <v>54</v>
      </c>
    </row>
    <row r="220" spans="1:19" s="17" customFormat="1" ht="15.6">
      <c r="A220" s="880">
        <v>44515</v>
      </c>
      <c r="B220" s="76" t="s">
        <v>23</v>
      </c>
      <c r="C220" s="10" t="s">
        <v>7739</v>
      </c>
      <c r="D220" s="92" t="s">
        <v>7496</v>
      </c>
      <c r="E220" s="780" t="s">
        <v>7740</v>
      </c>
      <c r="F220" s="780" t="s">
        <v>7741</v>
      </c>
      <c r="G220" s="16">
        <v>2</v>
      </c>
      <c r="H220" s="336">
        <v>61000</v>
      </c>
      <c r="I220" s="86">
        <f t="shared" si="11"/>
        <v>122000</v>
      </c>
      <c r="J220" s="17">
        <f>I220*40%</f>
        <v>48800</v>
      </c>
      <c r="K220" s="171">
        <f t="shared" si="12"/>
        <v>73200</v>
      </c>
      <c r="L220" s="17">
        <v>60000</v>
      </c>
      <c r="N220" s="17">
        <f t="shared" si="13"/>
        <v>133200</v>
      </c>
      <c r="O220" s="76" t="s">
        <v>23</v>
      </c>
      <c r="P220" s="183"/>
      <c r="Q220" s="10" t="s">
        <v>5552</v>
      </c>
    </row>
    <row r="221" spans="1:19" s="17" customFormat="1" ht="15.6">
      <c r="A221" s="880">
        <v>44515</v>
      </c>
      <c r="B221" s="76" t="s">
        <v>23</v>
      </c>
      <c r="C221" s="10" t="s">
        <v>7739</v>
      </c>
      <c r="D221" s="92" t="s">
        <v>7496</v>
      </c>
      <c r="E221" s="780" t="s">
        <v>7742</v>
      </c>
      <c r="F221" s="780" t="s">
        <v>7743</v>
      </c>
      <c r="G221" s="16">
        <v>2</v>
      </c>
      <c r="H221" s="336">
        <v>57500</v>
      </c>
      <c r="I221" s="86">
        <f t="shared" si="11"/>
        <v>115000</v>
      </c>
      <c r="J221" s="17">
        <f t="shared" ref="J221:J234" si="14">I221*40%</f>
        <v>46000</v>
      </c>
      <c r="K221" s="171">
        <f t="shared" si="12"/>
        <v>69000</v>
      </c>
      <c r="N221" s="17">
        <f t="shared" si="13"/>
        <v>69000</v>
      </c>
      <c r="O221" s="76" t="s">
        <v>23</v>
      </c>
      <c r="P221" s="183"/>
      <c r="Q221" s="10" t="s">
        <v>5552</v>
      </c>
    </row>
    <row r="222" spans="1:19" s="17" customFormat="1" ht="15.6">
      <c r="A222" s="880">
        <v>44515</v>
      </c>
      <c r="B222" s="76" t="s">
        <v>23</v>
      </c>
      <c r="C222" s="10" t="s">
        <v>7739</v>
      </c>
      <c r="D222" s="92" t="s">
        <v>7496</v>
      </c>
      <c r="E222" s="780" t="s">
        <v>7744</v>
      </c>
      <c r="F222" s="780" t="s">
        <v>7745</v>
      </c>
      <c r="G222" s="16">
        <v>2</v>
      </c>
      <c r="H222" s="336">
        <v>85000</v>
      </c>
      <c r="I222" s="86">
        <f t="shared" si="11"/>
        <v>170000</v>
      </c>
      <c r="J222" s="17">
        <f t="shared" si="14"/>
        <v>68000</v>
      </c>
      <c r="K222" s="171">
        <f t="shared" si="12"/>
        <v>102000</v>
      </c>
      <c r="N222" s="17">
        <f t="shared" si="13"/>
        <v>102000</v>
      </c>
      <c r="O222" s="76" t="s">
        <v>23</v>
      </c>
      <c r="P222" s="183"/>
      <c r="Q222" s="10" t="s">
        <v>5552</v>
      </c>
    </row>
    <row r="223" spans="1:19" s="17" customFormat="1" ht="15.6">
      <c r="A223" s="880">
        <v>44515</v>
      </c>
      <c r="B223" s="76" t="s">
        <v>23</v>
      </c>
      <c r="C223" s="10" t="s">
        <v>7739</v>
      </c>
      <c r="D223" s="92" t="s">
        <v>7496</v>
      </c>
      <c r="E223" s="780" t="s">
        <v>7746</v>
      </c>
      <c r="F223" s="780" t="s">
        <v>7747</v>
      </c>
      <c r="G223" s="16">
        <v>2</v>
      </c>
      <c r="H223" s="336">
        <v>70000</v>
      </c>
      <c r="I223" s="86">
        <f t="shared" si="11"/>
        <v>140000</v>
      </c>
      <c r="J223" s="17">
        <f t="shared" si="14"/>
        <v>56000</v>
      </c>
      <c r="K223" s="171">
        <f t="shared" si="12"/>
        <v>84000</v>
      </c>
      <c r="N223" s="17">
        <f t="shared" si="13"/>
        <v>84000</v>
      </c>
      <c r="O223" s="76" t="s">
        <v>23</v>
      </c>
      <c r="P223" s="183"/>
      <c r="Q223" s="10" t="s">
        <v>5552</v>
      </c>
    </row>
    <row r="224" spans="1:19" s="17" customFormat="1" ht="15.6">
      <c r="A224" s="880">
        <v>44515</v>
      </c>
      <c r="B224" s="76" t="s">
        <v>23</v>
      </c>
      <c r="C224" s="10" t="s">
        <v>7739</v>
      </c>
      <c r="D224" s="92" t="s">
        <v>7496</v>
      </c>
      <c r="E224" s="780" t="s">
        <v>7748</v>
      </c>
      <c r="F224" s="780" t="s">
        <v>7749</v>
      </c>
      <c r="G224" s="16">
        <v>2</v>
      </c>
      <c r="H224" s="336">
        <v>160000</v>
      </c>
      <c r="I224" s="86">
        <f t="shared" si="11"/>
        <v>320000</v>
      </c>
      <c r="J224" s="17">
        <f t="shared" si="14"/>
        <v>128000</v>
      </c>
      <c r="K224" s="171">
        <f t="shared" si="12"/>
        <v>192000</v>
      </c>
      <c r="N224" s="17">
        <f t="shared" si="13"/>
        <v>192000</v>
      </c>
      <c r="O224" s="76" t="s">
        <v>23</v>
      </c>
      <c r="P224" s="183"/>
      <c r="Q224" s="10" t="s">
        <v>5552</v>
      </c>
    </row>
    <row r="225" spans="1:17" s="17" customFormat="1" ht="15.6">
      <c r="A225" s="880">
        <v>44515</v>
      </c>
      <c r="B225" s="76" t="s">
        <v>23</v>
      </c>
      <c r="C225" s="10" t="s">
        <v>7739</v>
      </c>
      <c r="D225" s="92" t="s">
        <v>7496</v>
      </c>
      <c r="E225" s="780" t="s">
        <v>7750</v>
      </c>
      <c r="F225" s="780" t="s">
        <v>7751</v>
      </c>
      <c r="G225" s="16">
        <v>2</v>
      </c>
      <c r="H225" s="336">
        <v>101000</v>
      </c>
      <c r="I225" s="86">
        <f t="shared" si="11"/>
        <v>202000</v>
      </c>
      <c r="J225" s="17">
        <f t="shared" si="14"/>
        <v>80800</v>
      </c>
      <c r="K225" s="171">
        <f t="shared" si="12"/>
        <v>121200</v>
      </c>
      <c r="N225" s="17">
        <f t="shared" si="13"/>
        <v>121200</v>
      </c>
      <c r="O225" s="76" t="s">
        <v>23</v>
      </c>
      <c r="P225" s="183"/>
      <c r="Q225" s="10" t="s">
        <v>5552</v>
      </c>
    </row>
    <row r="226" spans="1:17" s="17" customFormat="1" ht="15.6">
      <c r="A226" s="880">
        <v>44515</v>
      </c>
      <c r="B226" s="76" t="s">
        <v>23</v>
      </c>
      <c r="C226" s="10" t="s">
        <v>7739</v>
      </c>
      <c r="D226" s="92" t="s">
        <v>7496</v>
      </c>
      <c r="E226" s="780" t="s">
        <v>7752</v>
      </c>
      <c r="F226" s="780" t="s">
        <v>7753</v>
      </c>
      <c r="G226" s="16">
        <v>2</v>
      </c>
      <c r="H226" s="336">
        <v>135000</v>
      </c>
      <c r="I226" s="86">
        <f t="shared" si="11"/>
        <v>270000</v>
      </c>
      <c r="J226" s="17">
        <f t="shared" si="14"/>
        <v>108000</v>
      </c>
      <c r="K226" s="171">
        <f t="shared" si="12"/>
        <v>162000</v>
      </c>
      <c r="N226" s="17">
        <f t="shared" si="13"/>
        <v>162000</v>
      </c>
      <c r="O226" s="76" t="s">
        <v>23</v>
      </c>
      <c r="P226" s="183"/>
      <c r="Q226" s="10" t="s">
        <v>5552</v>
      </c>
    </row>
    <row r="227" spans="1:17" s="17" customFormat="1" ht="15.6">
      <c r="A227" s="880">
        <v>44515</v>
      </c>
      <c r="B227" s="76" t="s">
        <v>23</v>
      </c>
      <c r="C227" s="10" t="s">
        <v>7739</v>
      </c>
      <c r="D227" s="92" t="s">
        <v>7496</v>
      </c>
      <c r="E227" s="780" t="s">
        <v>7754</v>
      </c>
      <c r="F227" s="780" t="s">
        <v>7755</v>
      </c>
      <c r="G227" s="16">
        <v>2</v>
      </c>
      <c r="H227" s="336">
        <v>66000</v>
      </c>
      <c r="I227" s="86">
        <f t="shared" si="11"/>
        <v>132000</v>
      </c>
      <c r="J227" s="17">
        <f t="shared" si="14"/>
        <v>52800</v>
      </c>
      <c r="K227" s="171">
        <f t="shared" si="12"/>
        <v>79200</v>
      </c>
      <c r="N227" s="17">
        <f t="shared" si="13"/>
        <v>79200</v>
      </c>
      <c r="O227" s="76" t="s">
        <v>23</v>
      </c>
      <c r="P227" s="183"/>
      <c r="Q227" s="10" t="s">
        <v>5552</v>
      </c>
    </row>
    <row r="228" spans="1:17" s="17" customFormat="1" ht="15.6">
      <c r="A228" s="880">
        <v>44515</v>
      </c>
      <c r="B228" s="76" t="s">
        <v>23</v>
      </c>
      <c r="C228" s="10" t="s">
        <v>7739</v>
      </c>
      <c r="D228" s="92" t="s">
        <v>7496</v>
      </c>
      <c r="E228" s="780" t="s">
        <v>7756</v>
      </c>
      <c r="F228" s="780" t="s">
        <v>2542</v>
      </c>
      <c r="G228" s="16">
        <v>2</v>
      </c>
      <c r="H228" s="336">
        <v>110500</v>
      </c>
      <c r="I228" s="86">
        <f t="shared" si="11"/>
        <v>221000</v>
      </c>
      <c r="J228" s="17">
        <f t="shared" si="14"/>
        <v>88400</v>
      </c>
      <c r="K228" s="171">
        <f t="shared" si="12"/>
        <v>132600</v>
      </c>
      <c r="N228" s="17">
        <f t="shared" si="13"/>
        <v>132600</v>
      </c>
      <c r="O228" s="76" t="s">
        <v>23</v>
      </c>
      <c r="P228" s="183"/>
      <c r="Q228" s="10" t="s">
        <v>5552</v>
      </c>
    </row>
    <row r="229" spans="1:17" s="17" customFormat="1" ht="15.6">
      <c r="A229" s="880">
        <v>44515</v>
      </c>
      <c r="B229" s="76" t="s">
        <v>23</v>
      </c>
      <c r="C229" s="10" t="s">
        <v>7739</v>
      </c>
      <c r="D229" s="92" t="s">
        <v>7496</v>
      </c>
      <c r="E229" s="780" t="s">
        <v>2816</v>
      </c>
      <c r="F229" s="780" t="s">
        <v>2817</v>
      </c>
      <c r="G229" s="16">
        <v>2</v>
      </c>
      <c r="H229" s="336">
        <v>76000</v>
      </c>
      <c r="I229" s="86">
        <f t="shared" si="11"/>
        <v>152000</v>
      </c>
      <c r="J229" s="17">
        <f t="shared" si="14"/>
        <v>60800</v>
      </c>
      <c r="K229" s="171">
        <f t="shared" si="12"/>
        <v>91200</v>
      </c>
      <c r="N229" s="17">
        <f t="shared" si="13"/>
        <v>91200</v>
      </c>
      <c r="O229" s="76" t="s">
        <v>23</v>
      </c>
      <c r="P229" s="183"/>
      <c r="Q229" s="10" t="s">
        <v>5552</v>
      </c>
    </row>
    <row r="230" spans="1:17" s="17" customFormat="1" ht="15.6">
      <c r="A230" s="880">
        <v>44515</v>
      </c>
      <c r="B230" s="76" t="s">
        <v>23</v>
      </c>
      <c r="C230" s="10" t="s">
        <v>7739</v>
      </c>
      <c r="D230" s="92" t="s">
        <v>7496</v>
      </c>
      <c r="E230" s="780" t="s">
        <v>7757</v>
      </c>
      <c r="F230" s="780" t="s">
        <v>2542</v>
      </c>
      <c r="G230" s="16">
        <v>2</v>
      </c>
      <c r="H230" s="336">
        <v>153000</v>
      </c>
      <c r="I230" s="86">
        <f t="shared" si="11"/>
        <v>306000</v>
      </c>
      <c r="J230" s="17">
        <f t="shared" si="14"/>
        <v>122400</v>
      </c>
      <c r="K230" s="171">
        <f t="shared" si="12"/>
        <v>183600</v>
      </c>
      <c r="N230" s="17">
        <f t="shared" si="13"/>
        <v>183600</v>
      </c>
      <c r="O230" s="76" t="s">
        <v>23</v>
      </c>
      <c r="P230" s="72"/>
      <c r="Q230" s="10" t="s">
        <v>5552</v>
      </c>
    </row>
    <row r="231" spans="1:17" s="17" customFormat="1" ht="15.6">
      <c r="A231" s="880">
        <v>44515</v>
      </c>
      <c r="B231" s="76" t="s">
        <v>23</v>
      </c>
      <c r="C231" s="10" t="s">
        <v>7739</v>
      </c>
      <c r="D231" s="92" t="s">
        <v>7496</v>
      </c>
      <c r="E231" s="780" t="s">
        <v>7758</v>
      </c>
      <c r="F231" s="780" t="s">
        <v>7759</v>
      </c>
      <c r="G231" s="16">
        <v>2</v>
      </c>
      <c r="H231" s="336">
        <v>187000</v>
      </c>
      <c r="I231" s="86">
        <f t="shared" si="11"/>
        <v>374000</v>
      </c>
      <c r="J231" s="17">
        <f t="shared" si="14"/>
        <v>149600</v>
      </c>
      <c r="K231" s="171">
        <f t="shared" si="12"/>
        <v>224400</v>
      </c>
      <c r="N231" s="17">
        <f t="shared" si="13"/>
        <v>224400</v>
      </c>
      <c r="O231" s="76" t="s">
        <v>23</v>
      </c>
      <c r="P231" s="183"/>
      <c r="Q231" s="10" t="s">
        <v>5552</v>
      </c>
    </row>
    <row r="232" spans="1:17" s="17" customFormat="1" ht="15.6">
      <c r="A232" s="880">
        <v>44515</v>
      </c>
      <c r="B232" s="76" t="s">
        <v>23</v>
      </c>
      <c r="C232" s="10" t="s">
        <v>7739</v>
      </c>
      <c r="D232" s="92" t="s">
        <v>7496</v>
      </c>
      <c r="E232" s="780" t="s">
        <v>1351</v>
      </c>
      <c r="F232" s="780" t="s">
        <v>1352</v>
      </c>
      <c r="G232" s="16">
        <v>2</v>
      </c>
      <c r="H232" s="336">
        <v>52000</v>
      </c>
      <c r="I232" s="86">
        <f t="shared" si="11"/>
        <v>104000</v>
      </c>
      <c r="J232" s="17">
        <f t="shared" si="14"/>
        <v>41600</v>
      </c>
      <c r="K232" s="171">
        <f t="shared" si="12"/>
        <v>62400</v>
      </c>
      <c r="N232" s="17">
        <f t="shared" si="13"/>
        <v>62400</v>
      </c>
      <c r="O232" s="76" t="s">
        <v>23</v>
      </c>
      <c r="P232" s="72"/>
      <c r="Q232" s="10" t="s">
        <v>5552</v>
      </c>
    </row>
    <row r="233" spans="1:17" s="17" customFormat="1" ht="15.6">
      <c r="A233" s="880">
        <v>44515</v>
      </c>
      <c r="B233" s="76" t="s">
        <v>23</v>
      </c>
      <c r="C233" s="10" t="s">
        <v>7739</v>
      </c>
      <c r="D233" s="92" t="s">
        <v>7496</v>
      </c>
      <c r="E233" s="780" t="s">
        <v>724</v>
      </c>
      <c r="F233" s="780" t="s">
        <v>5784</v>
      </c>
      <c r="G233" s="16">
        <v>2</v>
      </c>
      <c r="H233" s="953">
        <v>56000</v>
      </c>
      <c r="I233" s="86">
        <f t="shared" si="11"/>
        <v>112000</v>
      </c>
      <c r="J233" s="17">
        <f t="shared" si="14"/>
        <v>44800</v>
      </c>
      <c r="K233" s="171">
        <f t="shared" si="12"/>
        <v>67200</v>
      </c>
      <c r="N233" s="17">
        <f t="shared" si="13"/>
        <v>67200</v>
      </c>
      <c r="O233" s="76" t="s">
        <v>23</v>
      </c>
      <c r="P233" s="72"/>
      <c r="Q233" s="10" t="s">
        <v>5552</v>
      </c>
    </row>
    <row r="234" spans="1:17" s="17" customFormat="1" ht="15.6">
      <c r="A234" s="880">
        <v>44515</v>
      </c>
      <c r="B234" s="76" t="s">
        <v>23</v>
      </c>
      <c r="C234" s="10" t="s">
        <v>7739</v>
      </c>
      <c r="D234" s="92" t="s">
        <v>7496</v>
      </c>
      <c r="E234" s="780" t="s">
        <v>5893</v>
      </c>
      <c r="F234" s="780" t="s">
        <v>5894</v>
      </c>
      <c r="G234" s="16">
        <v>2</v>
      </c>
      <c r="H234" s="953">
        <v>33500</v>
      </c>
      <c r="I234" s="86">
        <f t="shared" si="11"/>
        <v>67000</v>
      </c>
      <c r="J234" s="17">
        <f t="shared" si="14"/>
        <v>26800</v>
      </c>
      <c r="K234" s="171">
        <f t="shared" si="12"/>
        <v>40200</v>
      </c>
      <c r="N234" s="17">
        <f t="shared" si="13"/>
        <v>40200</v>
      </c>
      <c r="O234" s="76" t="s">
        <v>23</v>
      </c>
      <c r="P234" s="183"/>
      <c r="Q234" s="10" t="s">
        <v>5552</v>
      </c>
    </row>
    <row r="235" spans="1:17" s="17" customFormat="1" ht="15.6">
      <c r="A235" s="880">
        <v>44515</v>
      </c>
      <c r="B235" s="76" t="s">
        <v>23</v>
      </c>
      <c r="C235" s="11" t="s">
        <v>7500</v>
      </c>
      <c r="D235" s="92" t="s">
        <v>7760</v>
      </c>
      <c r="E235" s="739" t="s">
        <v>7499</v>
      </c>
      <c r="F235" s="739" t="s">
        <v>7500</v>
      </c>
      <c r="G235" s="938">
        <v>3</v>
      </c>
      <c r="H235" s="336">
        <v>92500</v>
      </c>
      <c r="I235" s="86">
        <f t="shared" si="11"/>
        <v>277500</v>
      </c>
      <c r="K235" s="171">
        <f t="shared" si="12"/>
        <v>277500</v>
      </c>
      <c r="L235" s="17">
        <v>17000</v>
      </c>
      <c r="N235" s="17">
        <f t="shared" si="13"/>
        <v>294500</v>
      </c>
      <c r="O235" s="76" t="s">
        <v>23</v>
      </c>
      <c r="P235" s="72"/>
      <c r="Q235" s="10" t="s">
        <v>40</v>
      </c>
    </row>
    <row r="236" spans="1:17" s="17" customFormat="1" ht="15.6">
      <c r="A236" s="880">
        <v>44515</v>
      </c>
      <c r="B236" s="76" t="s">
        <v>23</v>
      </c>
      <c r="C236" s="10" t="s">
        <v>7761</v>
      </c>
      <c r="D236" s="92" t="s">
        <v>7762</v>
      </c>
      <c r="E236" s="76" t="s">
        <v>3921</v>
      </c>
      <c r="F236" s="76" t="s">
        <v>384</v>
      </c>
      <c r="G236" s="16">
        <v>1</v>
      </c>
      <c r="H236" s="336">
        <v>113000</v>
      </c>
      <c r="I236" s="86">
        <f t="shared" si="11"/>
        <v>113000</v>
      </c>
      <c r="J236" s="17">
        <f>I236*10%</f>
        <v>11300</v>
      </c>
      <c r="K236" s="171">
        <f t="shared" si="12"/>
        <v>101700</v>
      </c>
      <c r="L236" s="17">
        <v>24000</v>
      </c>
      <c r="N236" s="17">
        <f t="shared" si="13"/>
        <v>125700</v>
      </c>
      <c r="O236" s="76" t="s">
        <v>23</v>
      </c>
      <c r="P236" s="72"/>
      <c r="Q236" s="10" t="s">
        <v>40</v>
      </c>
    </row>
    <row r="237" spans="1:17" s="17" customFormat="1" ht="15.6">
      <c r="A237" s="880">
        <v>44515</v>
      </c>
      <c r="B237" s="76" t="s">
        <v>43</v>
      </c>
      <c r="C237" s="10" t="s">
        <v>7763</v>
      </c>
      <c r="D237" s="92" t="s">
        <v>7764</v>
      </c>
      <c r="E237" s="76" t="s">
        <v>773</v>
      </c>
      <c r="F237" s="76" t="s">
        <v>774</v>
      </c>
      <c r="G237" s="16">
        <v>1</v>
      </c>
      <c r="H237" s="336">
        <v>96000</v>
      </c>
      <c r="I237" s="86">
        <f t="shared" si="11"/>
        <v>96000</v>
      </c>
      <c r="J237" s="17">
        <f>I237*15%</f>
        <v>14400</v>
      </c>
      <c r="K237" s="171">
        <f t="shared" si="12"/>
        <v>81600</v>
      </c>
      <c r="M237" s="17">
        <v>-4570</v>
      </c>
      <c r="N237" s="17">
        <f t="shared" si="13"/>
        <v>77030</v>
      </c>
      <c r="O237" s="76" t="s">
        <v>43</v>
      </c>
      <c r="P237" s="92"/>
      <c r="Q237" s="10" t="s">
        <v>176</v>
      </c>
    </row>
    <row r="238" spans="1:17" s="17" customFormat="1" ht="15.6">
      <c r="A238" s="880">
        <v>44515</v>
      </c>
      <c r="B238" s="76" t="s">
        <v>23</v>
      </c>
      <c r="C238" s="11" t="s">
        <v>7765</v>
      </c>
      <c r="D238" s="92" t="s">
        <v>7766</v>
      </c>
      <c r="E238" s="76" t="s">
        <v>7767</v>
      </c>
      <c r="F238" s="76" t="s">
        <v>7768</v>
      </c>
      <c r="G238" s="16">
        <v>1</v>
      </c>
      <c r="H238" s="336">
        <v>86500</v>
      </c>
      <c r="I238" s="86">
        <f t="shared" si="11"/>
        <v>86500</v>
      </c>
      <c r="K238" s="171">
        <f t="shared" si="12"/>
        <v>86500</v>
      </c>
      <c r="L238" s="17">
        <v>12000</v>
      </c>
      <c r="N238" s="17">
        <f t="shared" si="13"/>
        <v>98500</v>
      </c>
      <c r="O238" s="76" t="s">
        <v>23</v>
      </c>
      <c r="P238" s="183"/>
      <c r="Q238" s="10" t="s">
        <v>28</v>
      </c>
    </row>
    <row r="239" spans="1:17" s="961" customFormat="1" ht="15.6">
      <c r="A239" s="954">
        <v>44515</v>
      </c>
      <c r="B239" s="868" t="s">
        <v>313</v>
      </c>
      <c r="C239" s="955" t="s">
        <v>6627</v>
      </c>
      <c r="D239" s="956" t="s">
        <v>7769</v>
      </c>
      <c r="E239" s="868" t="s">
        <v>7770</v>
      </c>
      <c r="F239" s="957" t="s">
        <v>7771</v>
      </c>
      <c r="G239" s="958">
        <v>1</v>
      </c>
      <c r="H239" s="959">
        <v>87500</v>
      </c>
      <c r="I239" s="960">
        <f t="shared" si="11"/>
        <v>87500</v>
      </c>
      <c r="K239" s="962">
        <f t="shared" si="12"/>
        <v>87500</v>
      </c>
      <c r="L239" s="961">
        <v>11049</v>
      </c>
      <c r="N239" s="961">
        <f t="shared" si="13"/>
        <v>98549</v>
      </c>
      <c r="O239" s="868" t="s">
        <v>313</v>
      </c>
      <c r="P239" s="955"/>
      <c r="Q239" s="963" t="s">
        <v>40</v>
      </c>
    </row>
    <row r="240" spans="1:17" s="17" customFormat="1" ht="15.6">
      <c r="A240" s="880">
        <v>44516</v>
      </c>
      <c r="B240" s="76" t="s">
        <v>43</v>
      </c>
      <c r="C240" s="10" t="s">
        <v>7772</v>
      </c>
      <c r="D240" s="92" t="s">
        <v>7773</v>
      </c>
      <c r="E240" s="739" t="s">
        <v>7774</v>
      </c>
      <c r="F240" s="739" t="s">
        <v>7775</v>
      </c>
      <c r="G240" s="16">
        <v>1</v>
      </c>
      <c r="H240" s="336">
        <v>84000</v>
      </c>
      <c r="I240" s="86">
        <f t="shared" si="11"/>
        <v>84000</v>
      </c>
      <c r="K240" s="171">
        <f t="shared" si="12"/>
        <v>84000</v>
      </c>
      <c r="M240" s="17">
        <v>-4704</v>
      </c>
      <c r="N240" s="17">
        <f t="shared" si="13"/>
        <v>79296</v>
      </c>
      <c r="O240" s="76" t="s">
        <v>43</v>
      </c>
      <c r="P240" s="183"/>
      <c r="Q240" s="10" t="s">
        <v>54</v>
      </c>
    </row>
    <row r="241" spans="1:19" s="17" customFormat="1" ht="15.6">
      <c r="A241" s="880">
        <v>44516</v>
      </c>
      <c r="B241" s="76" t="s">
        <v>177</v>
      </c>
      <c r="C241" s="11" t="s">
        <v>7776</v>
      </c>
      <c r="D241" s="92" t="s">
        <v>7777</v>
      </c>
      <c r="E241" s="76" t="s">
        <v>6262</v>
      </c>
      <c r="F241" s="76" t="s">
        <v>6263</v>
      </c>
      <c r="G241" s="16">
        <v>1</v>
      </c>
      <c r="H241" s="336">
        <v>151000</v>
      </c>
      <c r="I241" s="86">
        <f t="shared" si="11"/>
        <v>151000</v>
      </c>
      <c r="K241" s="171">
        <f t="shared" si="12"/>
        <v>151000</v>
      </c>
      <c r="L241" s="17">
        <v>9000</v>
      </c>
      <c r="N241" s="17">
        <f t="shared" si="13"/>
        <v>160000</v>
      </c>
      <c r="O241" s="76" t="s">
        <v>177</v>
      </c>
      <c r="P241" s="183"/>
      <c r="Q241" s="10" t="s">
        <v>54</v>
      </c>
    </row>
    <row r="242" spans="1:19" s="17" customFormat="1" ht="15.6">
      <c r="A242" s="880">
        <v>44517</v>
      </c>
      <c r="B242" s="76" t="s">
        <v>170</v>
      </c>
      <c r="C242" s="11" t="s">
        <v>7778</v>
      </c>
      <c r="D242" s="92" t="s">
        <v>9450</v>
      </c>
      <c r="E242" s="739" t="s">
        <v>1387</v>
      </c>
      <c r="F242" s="739" t="s">
        <v>1388</v>
      </c>
      <c r="G242" s="16">
        <v>1</v>
      </c>
      <c r="H242" s="336">
        <v>79000</v>
      </c>
      <c r="I242" s="86">
        <f t="shared" si="11"/>
        <v>79000</v>
      </c>
      <c r="K242" s="171">
        <f t="shared" si="12"/>
        <v>79000</v>
      </c>
      <c r="L242" s="17">
        <f>59000-59000</f>
        <v>0</v>
      </c>
      <c r="N242" s="17">
        <f t="shared" si="13"/>
        <v>79000</v>
      </c>
      <c r="O242" s="76" t="s">
        <v>170</v>
      </c>
      <c r="P242" s="183"/>
      <c r="Q242" s="10" t="s">
        <v>176</v>
      </c>
    </row>
    <row r="243" spans="1:19" s="17" customFormat="1" ht="15.6">
      <c r="A243" s="880">
        <v>44517</v>
      </c>
      <c r="B243" s="76" t="s">
        <v>170</v>
      </c>
      <c r="C243" s="11" t="s">
        <v>7779</v>
      </c>
      <c r="D243" s="92" t="s">
        <v>7780</v>
      </c>
      <c r="E243" s="76" t="s">
        <v>7781</v>
      </c>
      <c r="F243" s="76" t="s">
        <v>7782</v>
      </c>
      <c r="G243" s="16">
        <v>1</v>
      </c>
      <c r="H243" s="336">
        <v>96500</v>
      </c>
      <c r="I243" s="86">
        <f t="shared" si="11"/>
        <v>96500</v>
      </c>
      <c r="K243" s="171">
        <f t="shared" si="12"/>
        <v>96500</v>
      </c>
      <c r="L243" s="17">
        <f>14000-14000</f>
        <v>0</v>
      </c>
      <c r="N243" s="17">
        <f t="shared" si="13"/>
        <v>96500</v>
      </c>
      <c r="O243" s="76" t="s">
        <v>170</v>
      </c>
      <c r="P243" s="183"/>
      <c r="Q243" s="10" t="s">
        <v>176</v>
      </c>
    </row>
    <row r="244" spans="1:19" s="17" customFormat="1" ht="15.6">
      <c r="A244" s="880">
        <v>44517</v>
      </c>
      <c r="B244" s="76" t="s">
        <v>177</v>
      </c>
      <c r="C244" s="11" t="s">
        <v>7783</v>
      </c>
      <c r="D244" s="92" t="s">
        <v>7784</v>
      </c>
      <c r="E244" s="739" t="s">
        <v>7785</v>
      </c>
      <c r="F244" s="739" t="s">
        <v>7786</v>
      </c>
      <c r="G244" s="16">
        <v>1</v>
      </c>
      <c r="H244" s="336">
        <v>64000</v>
      </c>
      <c r="I244" s="86">
        <f t="shared" si="11"/>
        <v>64000</v>
      </c>
      <c r="K244" s="171">
        <f t="shared" si="12"/>
        <v>64000</v>
      </c>
      <c r="L244" s="17">
        <v>8000</v>
      </c>
      <c r="N244" s="17">
        <f t="shared" si="13"/>
        <v>72000</v>
      </c>
      <c r="O244" s="76" t="s">
        <v>177</v>
      </c>
      <c r="P244" s="92"/>
      <c r="Q244" s="10" t="s">
        <v>54</v>
      </c>
    </row>
    <row r="245" spans="1:19" s="17" customFormat="1" ht="15.6">
      <c r="A245" s="880">
        <v>44517</v>
      </c>
      <c r="B245" s="76" t="s">
        <v>313</v>
      </c>
      <c r="C245" s="11" t="s">
        <v>5930</v>
      </c>
      <c r="D245" s="92" t="s">
        <v>7787</v>
      </c>
      <c r="E245" s="934" t="s">
        <v>7788</v>
      </c>
      <c r="F245" s="934" t="s">
        <v>7789</v>
      </c>
      <c r="G245" s="16">
        <v>1</v>
      </c>
      <c r="H245" s="336">
        <v>55000</v>
      </c>
      <c r="I245" s="86">
        <f t="shared" si="11"/>
        <v>55000</v>
      </c>
      <c r="K245" s="171">
        <f t="shared" si="12"/>
        <v>55000</v>
      </c>
      <c r="L245" s="17">
        <v>64027</v>
      </c>
      <c r="N245" s="17">
        <f t="shared" si="13"/>
        <v>119027</v>
      </c>
      <c r="O245" s="76" t="s">
        <v>313</v>
      </c>
      <c r="P245" s="183"/>
      <c r="Q245" s="10" t="s">
        <v>40</v>
      </c>
    </row>
    <row r="246" spans="1:19" s="17" customFormat="1" ht="15.6">
      <c r="A246" s="880">
        <v>44517</v>
      </c>
      <c r="B246" s="76" t="s">
        <v>313</v>
      </c>
      <c r="C246" s="11" t="s">
        <v>5930</v>
      </c>
      <c r="D246" s="92" t="s">
        <v>7787</v>
      </c>
      <c r="E246" s="934" t="s">
        <v>86</v>
      </c>
      <c r="F246" s="934" t="s">
        <v>109</v>
      </c>
      <c r="G246" s="16">
        <v>1</v>
      </c>
      <c r="H246" s="336">
        <v>60000</v>
      </c>
      <c r="I246" s="86">
        <f t="shared" si="11"/>
        <v>60000</v>
      </c>
      <c r="K246" s="171">
        <f t="shared" si="12"/>
        <v>60000</v>
      </c>
      <c r="N246" s="17">
        <f t="shared" si="13"/>
        <v>60000</v>
      </c>
      <c r="O246" s="76" t="s">
        <v>313</v>
      </c>
      <c r="P246" s="183"/>
      <c r="Q246" s="10" t="s">
        <v>40</v>
      </c>
    </row>
    <row r="247" spans="1:19" s="17" customFormat="1" ht="15.6">
      <c r="A247" s="880">
        <v>44517</v>
      </c>
      <c r="B247" s="76" t="s">
        <v>313</v>
      </c>
      <c r="C247" s="11" t="s">
        <v>5930</v>
      </c>
      <c r="D247" s="92" t="s">
        <v>7787</v>
      </c>
      <c r="E247" s="913" t="s">
        <v>7790</v>
      </c>
      <c r="F247" s="913" t="s">
        <v>7791</v>
      </c>
      <c r="G247" s="16">
        <v>1</v>
      </c>
      <c r="H247" s="336">
        <v>117000</v>
      </c>
      <c r="I247" s="86">
        <f t="shared" si="11"/>
        <v>117000</v>
      </c>
      <c r="K247" s="171">
        <f t="shared" si="12"/>
        <v>117000</v>
      </c>
      <c r="N247" s="17">
        <f t="shared" si="13"/>
        <v>117000</v>
      </c>
      <c r="O247" s="76" t="s">
        <v>313</v>
      </c>
      <c r="P247" s="191"/>
      <c r="Q247" s="10" t="s">
        <v>40</v>
      </c>
    </row>
    <row r="248" spans="1:19" s="17" customFormat="1" ht="15.6">
      <c r="A248" s="880">
        <v>44517</v>
      </c>
      <c r="B248" s="76" t="s">
        <v>313</v>
      </c>
      <c r="C248" s="11" t="s">
        <v>5930</v>
      </c>
      <c r="D248" s="92" t="s">
        <v>7787</v>
      </c>
      <c r="E248" s="913" t="s">
        <v>7792</v>
      </c>
      <c r="F248" s="913" t="s">
        <v>7793</v>
      </c>
      <c r="G248" s="16">
        <v>1</v>
      </c>
      <c r="H248" s="336">
        <v>126000</v>
      </c>
      <c r="I248" s="86">
        <f t="shared" si="11"/>
        <v>126000</v>
      </c>
      <c r="K248" s="171">
        <f t="shared" si="12"/>
        <v>126000</v>
      </c>
      <c r="N248" s="17">
        <f t="shared" si="13"/>
        <v>126000</v>
      </c>
      <c r="O248" s="76" t="s">
        <v>313</v>
      </c>
      <c r="P248" s="191"/>
      <c r="Q248" s="10" t="s">
        <v>40</v>
      </c>
    </row>
    <row r="249" spans="1:19" s="17" customFormat="1" ht="15.6">
      <c r="A249" s="880">
        <v>44517</v>
      </c>
      <c r="B249" s="76" t="s">
        <v>313</v>
      </c>
      <c r="C249" s="11" t="s">
        <v>5930</v>
      </c>
      <c r="D249" s="92" t="s">
        <v>7787</v>
      </c>
      <c r="E249" s="913" t="s">
        <v>1253</v>
      </c>
      <c r="F249" s="913" t="s">
        <v>1254</v>
      </c>
      <c r="G249" s="16">
        <v>1</v>
      </c>
      <c r="H249" s="336">
        <v>81000</v>
      </c>
      <c r="I249" s="86">
        <f t="shared" si="11"/>
        <v>81000</v>
      </c>
      <c r="K249" s="171">
        <f t="shared" si="12"/>
        <v>81000</v>
      </c>
      <c r="N249" s="17">
        <f t="shared" si="13"/>
        <v>81000</v>
      </c>
      <c r="O249" s="76" t="s">
        <v>313</v>
      </c>
      <c r="P249" s="191"/>
      <c r="Q249" s="10" t="s">
        <v>40</v>
      </c>
    </row>
    <row r="250" spans="1:19" s="17" customFormat="1" ht="15.6">
      <c r="A250" s="880">
        <v>44517</v>
      </c>
      <c r="B250" s="76" t="s">
        <v>313</v>
      </c>
      <c r="C250" s="11" t="s">
        <v>5930</v>
      </c>
      <c r="D250" s="92" t="s">
        <v>7787</v>
      </c>
      <c r="E250" s="934" t="s">
        <v>6698</v>
      </c>
      <c r="F250" s="934" t="s">
        <v>6699</v>
      </c>
      <c r="G250" s="16">
        <v>1</v>
      </c>
      <c r="H250" s="336">
        <v>114000</v>
      </c>
      <c r="I250" s="86">
        <f t="shared" si="11"/>
        <v>114000</v>
      </c>
      <c r="K250" s="171">
        <f t="shared" si="12"/>
        <v>114000</v>
      </c>
      <c r="N250" s="17">
        <f t="shared" si="13"/>
        <v>114000</v>
      </c>
      <c r="O250" s="76" t="s">
        <v>313</v>
      </c>
      <c r="P250" s="191"/>
      <c r="Q250" s="10" t="s">
        <v>40</v>
      </c>
    </row>
    <row r="251" spans="1:19" s="17" customFormat="1" ht="15.6">
      <c r="A251" s="880">
        <v>44517</v>
      </c>
      <c r="B251" s="76" t="s">
        <v>313</v>
      </c>
      <c r="C251" s="11" t="s">
        <v>5930</v>
      </c>
      <c r="D251" s="92" t="s">
        <v>7787</v>
      </c>
      <c r="E251" s="913" t="s">
        <v>7794</v>
      </c>
      <c r="F251" s="913" t="s">
        <v>7795</v>
      </c>
      <c r="G251" s="16">
        <v>1</v>
      </c>
      <c r="H251" s="336">
        <v>93000</v>
      </c>
      <c r="I251" s="86">
        <f t="shared" si="11"/>
        <v>93000</v>
      </c>
      <c r="K251" s="171">
        <f t="shared" si="12"/>
        <v>93000</v>
      </c>
      <c r="N251" s="17">
        <f t="shared" si="13"/>
        <v>93000</v>
      </c>
      <c r="O251" s="76" t="s">
        <v>313</v>
      </c>
      <c r="P251" s="191"/>
      <c r="Q251" s="10" t="s">
        <v>40</v>
      </c>
    </row>
    <row r="252" spans="1:19" s="17" customFormat="1" ht="15.6">
      <c r="A252" s="880">
        <v>44517</v>
      </c>
      <c r="B252" s="76" t="s">
        <v>313</v>
      </c>
      <c r="C252" s="11" t="s">
        <v>5930</v>
      </c>
      <c r="D252" s="92" t="s">
        <v>7787</v>
      </c>
      <c r="E252" s="934" t="s">
        <v>7796</v>
      </c>
      <c r="F252" s="934" t="s">
        <v>7797</v>
      </c>
      <c r="G252" s="16">
        <v>1</v>
      </c>
      <c r="H252" s="336">
        <v>79000</v>
      </c>
      <c r="I252" s="86">
        <f t="shared" si="11"/>
        <v>79000</v>
      </c>
      <c r="K252" s="171">
        <f t="shared" si="12"/>
        <v>79000</v>
      </c>
      <c r="N252" s="17">
        <f t="shared" si="13"/>
        <v>79000</v>
      </c>
      <c r="O252" s="76" t="s">
        <v>313</v>
      </c>
      <c r="P252" s="191"/>
      <c r="Q252" s="10" t="s">
        <v>40</v>
      </c>
    </row>
    <row r="253" spans="1:19" s="17" customFormat="1" ht="15.6">
      <c r="A253" s="880">
        <v>44517</v>
      </c>
      <c r="B253" s="76" t="s">
        <v>313</v>
      </c>
      <c r="C253" s="11" t="s">
        <v>5930</v>
      </c>
      <c r="D253" s="92" t="s">
        <v>7787</v>
      </c>
      <c r="E253" s="913" t="s">
        <v>1272</v>
      </c>
      <c r="F253" s="913" t="s">
        <v>1273</v>
      </c>
      <c r="G253" s="16">
        <v>1</v>
      </c>
      <c r="H253" s="336">
        <v>50000</v>
      </c>
      <c r="I253" s="86">
        <f t="shared" si="11"/>
        <v>50000</v>
      </c>
      <c r="K253" s="171">
        <f t="shared" si="12"/>
        <v>50000</v>
      </c>
      <c r="N253" s="17">
        <f t="shared" si="13"/>
        <v>50000</v>
      </c>
      <c r="O253" s="76" t="s">
        <v>313</v>
      </c>
      <c r="P253" s="191"/>
      <c r="Q253" s="10" t="s">
        <v>40</v>
      </c>
    </row>
    <row r="254" spans="1:19" s="17" customFormat="1" ht="15.6">
      <c r="A254" s="880">
        <v>44517</v>
      </c>
      <c r="B254" s="76" t="s">
        <v>313</v>
      </c>
      <c r="C254" s="11" t="s">
        <v>5930</v>
      </c>
      <c r="D254" s="92" t="s">
        <v>7787</v>
      </c>
      <c r="E254" s="913" t="s">
        <v>7257</v>
      </c>
      <c r="F254" s="913" t="s">
        <v>7258</v>
      </c>
      <c r="G254" s="16">
        <v>1</v>
      </c>
      <c r="H254" s="336">
        <v>59000</v>
      </c>
      <c r="I254" s="86">
        <f t="shared" si="11"/>
        <v>59000</v>
      </c>
      <c r="K254" s="171">
        <f t="shared" si="12"/>
        <v>59000</v>
      </c>
      <c r="N254" s="17">
        <f t="shared" si="13"/>
        <v>59000</v>
      </c>
      <c r="O254" s="76" t="s">
        <v>313</v>
      </c>
      <c r="P254" s="191"/>
      <c r="Q254" s="10" t="s">
        <v>40</v>
      </c>
    </row>
    <row r="255" spans="1:19" s="17" customFormat="1" ht="15.6">
      <c r="A255" s="880">
        <v>44517</v>
      </c>
      <c r="B255" s="76" t="s">
        <v>313</v>
      </c>
      <c r="C255" s="11" t="s">
        <v>5930</v>
      </c>
      <c r="D255" s="92" t="s">
        <v>7787</v>
      </c>
      <c r="E255" s="913" t="s">
        <v>5633</v>
      </c>
      <c r="F255" s="913" t="s">
        <v>5634</v>
      </c>
      <c r="G255" s="16">
        <v>1</v>
      </c>
      <c r="H255" s="336">
        <v>24000</v>
      </c>
      <c r="I255" s="86">
        <f t="shared" si="11"/>
        <v>24000</v>
      </c>
      <c r="K255" s="171">
        <f t="shared" si="12"/>
        <v>24000</v>
      </c>
      <c r="N255" s="17">
        <f t="shared" si="13"/>
        <v>24000</v>
      </c>
      <c r="O255" s="76" t="s">
        <v>313</v>
      </c>
      <c r="P255" s="191"/>
      <c r="Q255" s="10" t="s">
        <v>40</v>
      </c>
    </row>
    <row r="256" spans="1:19" s="17" customFormat="1" ht="15.6">
      <c r="A256" s="880">
        <v>44517</v>
      </c>
      <c r="B256" s="76" t="s">
        <v>313</v>
      </c>
      <c r="C256" s="11" t="s">
        <v>5930</v>
      </c>
      <c r="D256" s="92" t="s">
        <v>7787</v>
      </c>
      <c r="E256" s="913" t="s">
        <v>1679</v>
      </c>
      <c r="F256" s="913" t="s">
        <v>1680</v>
      </c>
      <c r="G256" s="16">
        <v>1</v>
      </c>
      <c r="H256" s="336">
        <v>109000</v>
      </c>
      <c r="I256" s="86">
        <f t="shared" si="11"/>
        <v>109000</v>
      </c>
      <c r="K256" s="171">
        <f t="shared" si="12"/>
        <v>109000</v>
      </c>
      <c r="N256" s="17">
        <f t="shared" si="13"/>
        <v>109000</v>
      </c>
      <c r="O256" s="76" t="s">
        <v>313</v>
      </c>
      <c r="P256" s="191"/>
      <c r="Q256" s="10" t="s">
        <v>40</v>
      </c>
      <c r="S256" s="13"/>
    </row>
    <row r="257" spans="1:19" s="17" customFormat="1" ht="15.6">
      <c r="A257" s="880">
        <v>44517</v>
      </c>
      <c r="B257" s="76" t="s">
        <v>313</v>
      </c>
      <c r="C257" s="11" t="s">
        <v>5930</v>
      </c>
      <c r="D257" s="92" t="s">
        <v>7787</v>
      </c>
      <c r="E257" s="913" t="s">
        <v>7798</v>
      </c>
      <c r="F257" s="913" t="s">
        <v>7799</v>
      </c>
      <c r="G257" s="16">
        <v>1</v>
      </c>
      <c r="H257" s="336">
        <v>123000</v>
      </c>
      <c r="I257" s="86">
        <f t="shared" si="11"/>
        <v>123000</v>
      </c>
      <c r="K257" s="171">
        <f t="shared" si="12"/>
        <v>123000</v>
      </c>
      <c r="N257" s="17">
        <f t="shared" si="13"/>
        <v>123000</v>
      </c>
      <c r="O257" s="76" t="s">
        <v>313</v>
      </c>
      <c r="P257" s="191"/>
      <c r="Q257" s="10" t="s">
        <v>40</v>
      </c>
      <c r="S257" s="13"/>
    </row>
    <row r="258" spans="1:19" s="17" customFormat="1" ht="15.6">
      <c r="A258" s="880">
        <v>44517</v>
      </c>
      <c r="B258" s="76" t="s">
        <v>313</v>
      </c>
      <c r="C258" s="11" t="s">
        <v>5930</v>
      </c>
      <c r="D258" s="92" t="s">
        <v>7787</v>
      </c>
      <c r="E258" s="913" t="s">
        <v>7800</v>
      </c>
      <c r="F258" s="913" t="s">
        <v>7801</v>
      </c>
      <c r="G258" s="16">
        <v>1</v>
      </c>
      <c r="H258" s="336">
        <v>96000</v>
      </c>
      <c r="I258" s="86">
        <f t="shared" si="11"/>
        <v>96000</v>
      </c>
      <c r="K258" s="171">
        <f t="shared" si="12"/>
        <v>96000</v>
      </c>
      <c r="N258" s="17">
        <f t="shared" si="13"/>
        <v>96000</v>
      </c>
      <c r="O258" s="76" t="s">
        <v>313</v>
      </c>
      <c r="P258" s="191"/>
      <c r="Q258" s="10" t="s">
        <v>40</v>
      </c>
      <c r="S258" s="13"/>
    </row>
    <row r="259" spans="1:19" s="961" customFormat="1" ht="15.6">
      <c r="A259" s="954">
        <v>44517</v>
      </c>
      <c r="B259" s="868" t="s">
        <v>313</v>
      </c>
      <c r="C259" s="955" t="s">
        <v>5930</v>
      </c>
      <c r="D259" s="956" t="s">
        <v>7787</v>
      </c>
      <c r="E259" s="957" t="s">
        <v>7802</v>
      </c>
      <c r="F259" s="957" t="s">
        <v>7803</v>
      </c>
      <c r="G259" s="958">
        <v>1</v>
      </c>
      <c r="H259" s="959">
        <v>26825</v>
      </c>
      <c r="I259" s="960">
        <f t="shared" ref="I259:I324" si="15">H259*G259</f>
        <v>26825</v>
      </c>
      <c r="K259" s="962">
        <f t="shared" si="12"/>
        <v>26825</v>
      </c>
      <c r="N259" s="961">
        <f t="shared" si="13"/>
        <v>26825</v>
      </c>
      <c r="O259" s="868" t="s">
        <v>313</v>
      </c>
      <c r="P259" s="964"/>
      <c r="Q259" s="10" t="s">
        <v>40</v>
      </c>
      <c r="S259" s="965"/>
    </row>
    <row r="260" spans="1:19" s="961" customFormat="1" ht="15.6">
      <c r="A260" s="954">
        <v>44517</v>
      </c>
      <c r="B260" s="868" t="s">
        <v>313</v>
      </c>
      <c r="C260" s="955" t="s">
        <v>5930</v>
      </c>
      <c r="D260" s="956" t="s">
        <v>7787</v>
      </c>
      <c r="E260" s="957" t="s">
        <v>7804</v>
      </c>
      <c r="F260" s="957" t="s">
        <v>7805</v>
      </c>
      <c r="G260" s="958">
        <v>1</v>
      </c>
      <c r="H260" s="959">
        <v>26825</v>
      </c>
      <c r="I260" s="960">
        <f t="shared" si="15"/>
        <v>26825</v>
      </c>
      <c r="K260" s="962">
        <f t="shared" ref="K260:K323" si="16">I260-J260</f>
        <v>26825</v>
      </c>
      <c r="N260" s="961">
        <f t="shared" si="13"/>
        <v>26825</v>
      </c>
      <c r="O260" s="868" t="s">
        <v>313</v>
      </c>
      <c r="P260" s="964"/>
      <c r="Q260" s="10" t="s">
        <v>40</v>
      </c>
      <c r="S260" s="965"/>
    </row>
    <row r="261" spans="1:19" s="17" customFormat="1" ht="15.6">
      <c r="A261" s="880">
        <v>44517</v>
      </c>
      <c r="B261" s="76" t="s">
        <v>313</v>
      </c>
      <c r="C261" s="11" t="s">
        <v>4488</v>
      </c>
      <c r="D261" s="92" t="s">
        <v>4489</v>
      </c>
      <c r="E261" s="966" t="s">
        <v>4995</v>
      </c>
      <c r="F261" s="966" t="s">
        <v>4996</v>
      </c>
      <c r="G261" s="16">
        <v>4</v>
      </c>
      <c r="H261" s="336">
        <v>77000</v>
      </c>
      <c r="I261" s="86">
        <f t="shared" si="15"/>
        <v>308000</v>
      </c>
      <c r="K261" s="171">
        <f t="shared" si="16"/>
        <v>308000</v>
      </c>
      <c r="L261" s="17">
        <v>34084</v>
      </c>
      <c r="N261" s="17">
        <f t="shared" si="13"/>
        <v>342084</v>
      </c>
      <c r="O261" s="76" t="s">
        <v>313</v>
      </c>
      <c r="P261" s="191"/>
      <c r="Q261" s="10" t="s">
        <v>40</v>
      </c>
      <c r="S261" s="13"/>
    </row>
    <row r="262" spans="1:19" s="17" customFormat="1" ht="15.6">
      <c r="A262" s="880">
        <v>44517</v>
      </c>
      <c r="B262" s="76" t="s">
        <v>313</v>
      </c>
      <c r="C262" s="11" t="s">
        <v>4488</v>
      </c>
      <c r="D262" s="92" t="s">
        <v>4489</v>
      </c>
      <c r="E262" s="967" t="s">
        <v>4969</v>
      </c>
      <c r="F262" s="967" t="s">
        <v>4970</v>
      </c>
      <c r="G262" s="16">
        <v>4</v>
      </c>
      <c r="H262" s="336">
        <v>86000</v>
      </c>
      <c r="I262" s="86">
        <f t="shared" si="15"/>
        <v>344000</v>
      </c>
      <c r="K262" s="171">
        <f t="shared" si="16"/>
        <v>344000</v>
      </c>
      <c r="N262" s="17">
        <f t="shared" si="13"/>
        <v>344000</v>
      </c>
      <c r="O262" s="76" t="s">
        <v>313</v>
      </c>
      <c r="P262" s="72"/>
      <c r="Q262" s="10" t="s">
        <v>40</v>
      </c>
    </row>
    <row r="263" spans="1:19" s="17" customFormat="1" ht="15.6">
      <c r="A263" s="880">
        <v>44517</v>
      </c>
      <c r="B263" s="76" t="s">
        <v>23</v>
      </c>
      <c r="C263" s="10" t="s">
        <v>7806</v>
      </c>
      <c r="D263" s="92" t="s">
        <v>7807</v>
      </c>
      <c r="E263" s="76" t="s">
        <v>5416</v>
      </c>
      <c r="F263" s="76" t="s">
        <v>5417</v>
      </c>
      <c r="G263" s="16">
        <v>3</v>
      </c>
      <c r="H263" s="336">
        <v>59500</v>
      </c>
      <c r="I263" s="86">
        <f t="shared" si="15"/>
        <v>178500</v>
      </c>
      <c r="K263" s="171">
        <f t="shared" si="16"/>
        <v>178500</v>
      </c>
      <c r="L263" s="17">
        <v>31000</v>
      </c>
      <c r="N263" s="17">
        <f t="shared" si="13"/>
        <v>209500</v>
      </c>
      <c r="O263" s="76" t="s">
        <v>23</v>
      </c>
      <c r="P263" s="72"/>
      <c r="Q263" s="10" t="s">
        <v>54</v>
      </c>
    </row>
    <row r="264" spans="1:19" s="17" customFormat="1" ht="15.6">
      <c r="A264" s="880">
        <v>44517</v>
      </c>
      <c r="B264" s="76" t="s">
        <v>23</v>
      </c>
      <c r="C264" s="10" t="s">
        <v>7808</v>
      </c>
      <c r="D264" s="92" t="s">
        <v>7809</v>
      </c>
      <c r="E264" s="76" t="s">
        <v>4999</v>
      </c>
      <c r="F264" s="76" t="s">
        <v>5000</v>
      </c>
      <c r="G264" s="16">
        <v>1</v>
      </c>
      <c r="H264" s="336">
        <v>127000</v>
      </c>
      <c r="I264" s="86">
        <f t="shared" si="15"/>
        <v>127000</v>
      </c>
      <c r="K264" s="171">
        <f t="shared" si="16"/>
        <v>127000</v>
      </c>
      <c r="L264" s="17">
        <v>17000</v>
      </c>
      <c r="N264" s="17">
        <f t="shared" si="13"/>
        <v>144000</v>
      </c>
      <c r="O264" s="76" t="s">
        <v>23</v>
      </c>
      <c r="P264" s="183"/>
      <c r="Q264" s="10" t="s">
        <v>40</v>
      </c>
    </row>
    <row r="265" spans="1:19" s="17" customFormat="1" ht="15.6">
      <c r="A265" s="880">
        <v>44517</v>
      </c>
      <c r="B265" s="76" t="s">
        <v>313</v>
      </c>
      <c r="C265" s="11" t="s">
        <v>7810</v>
      </c>
      <c r="D265" s="92" t="s">
        <v>7811</v>
      </c>
      <c r="E265" s="968" t="s">
        <v>7812</v>
      </c>
      <c r="F265" s="968" t="s">
        <v>7813</v>
      </c>
      <c r="G265" s="16">
        <v>1</v>
      </c>
      <c r="H265" s="336">
        <v>107000</v>
      </c>
      <c r="I265" s="86">
        <f t="shared" si="15"/>
        <v>107000</v>
      </c>
      <c r="K265" s="171">
        <f t="shared" si="16"/>
        <v>107000</v>
      </c>
      <c r="L265" s="17">
        <v>39038</v>
      </c>
      <c r="N265" s="17">
        <f t="shared" si="13"/>
        <v>146038</v>
      </c>
      <c r="O265" s="76" t="s">
        <v>23</v>
      </c>
      <c r="P265" s="72"/>
      <c r="Q265" s="10" t="s">
        <v>40</v>
      </c>
    </row>
    <row r="266" spans="1:19" s="17" customFormat="1" ht="15.6">
      <c r="A266" s="880">
        <v>44517</v>
      </c>
      <c r="B266" s="76" t="s">
        <v>313</v>
      </c>
      <c r="C266" s="11" t="s">
        <v>7810</v>
      </c>
      <c r="D266" s="92" t="s">
        <v>7814</v>
      </c>
      <c r="E266" s="968" t="s">
        <v>1432</v>
      </c>
      <c r="F266" s="968" t="s">
        <v>1433</v>
      </c>
      <c r="G266" s="16">
        <v>1</v>
      </c>
      <c r="H266" s="336">
        <v>78000</v>
      </c>
      <c r="I266" s="86">
        <f t="shared" si="15"/>
        <v>78000</v>
      </c>
      <c r="K266" s="171">
        <f t="shared" si="16"/>
        <v>78000</v>
      </c>
      <c r="N266" s="17">
        <f t="shared" si="13"/>
        <v>78000</v>
      </c>
      <c r="O266" s="76" t="s">
        <v>23</v>
      </c>
      <c r="P266" s="183"/>
      <c r="Q266" s="10" t="s">
        <v>40</v>
      </c>
    </row>
    <row r="267" spans="1:19" s="17" customFormat="1" ht="15.6">
      <c r="A267" s="880">
        <v>44517</v>
      </c>
      <c r="B267" s="76" t="s">
        <v>23</v>
      </c>
      <c r="C267" s="11" t="s">
        <v>7815</v>
      </c>
      <c r="D267" s="92" t="s">
        <v>7816</v>
      </c>
      <c r="E267" s="76" t="s">
        <v>7817</v>
      </c>
      <c r="F267" s="739" t="s">
        <v>4718</v>
      </c>
      <c r="G267" s="969">
        <v>1</v>
      </c>
      <c r="H267" s="336">
        <v>55000</v>
      </c>
      <c r="I267" s="86">
        <f t="shared" si="15"/>
        <v>55000</v>
      </c>
      <c r="K267" s="171">
        <f t="shared" si="16"/>
        <v>55000</v>
      </c>
      <c r="L267" s="17">
        <v>53000</v>
      </c>
      <c r="N267" s="17">
        <f t="shared" si="13"/>
        <v>108000</v>
      </c>
      <c r="O267" s="76" t="s">
        <v>23</v>
      </c>
      <c r="P267" s="183"/>
      <c r="Q267" s="10" t="s">
        <v>54</v>
      </c>
      <c r="S267" s="13"/>
    </row>
    <row r="268" spans="1:19" s="17" customFormat="1" ht="15.6">
      <c r="A268" s="880">
        <v>44517</v>
      </c>
      <c r="B268" s="76" t="s">
        <v>23</v>
      </c>
      <c r="C268" s="10" t="s">
        <v>7818</v>
      </c>
      <c r="D268" s="23" t="s">
        <v>7819</v>
      </c>
      <c r="E268" s="970" t="s">
        <v>4036</v>
      </c>
      <c r="F268" s="970" t="s">
        <v>4037</v>
      </c>
      <c r="G268" s="16">
        <v>1</v>
      </c>
      <c r="H268" s="336">
        <v>50500</v>
      </c>
      <c r="I268" s="86">
        <f t="shared" si="15"/>
        <v>50500</v>
      </c>
      <c r="K268" s="171">
        <f t="shared" si="16"/>
        <v>50500</v>
      </c>
      <c r="L268" s="17">
        <v>31500</v>
      </c>
      <c r="N268" s="17">
        <f t="shared" si="13"/>
        <v>82000</v>
      </c>
      <c r="O268" s="76" t="s">
        <v>23</v>
      </c>
      <c r="P268" s="183"/>
      <c r="Q268" s="10" t="s">
        <v>3179</v>
      </c>
    </row>
    <row r="269" spans="1:19" s="17" customFormat="1" ht="15.6">
      <c r="A269" s="971">
        <v>44517</v>
      </c>
      <c r="B269" s="777" t="s">
        <v>23</v>
      </c>
      <c r="C269" s="972" t="s">
        <v>7818</v>
      </c>
      <c r="D269" s="23" t="s">
        <v>7819</v>
      </c>
      <c r="E269" s="973" t="s">
        <v>7820</v>
      </c>
      <c r="F269" s="973" t="s">
        <v>3500</v>
      </c>
      <c r="G269" s="974">
        <v>1</v>
      </c>
      <c r="H269" s="336">
        <v>58000</v>
      </c>
      <c r="I269" s="86">
        <f t="shared" si="15"/>
        <v>58000</v>
      </c>
      <c r="K269" s="171">
        <f t="shared" si="16"/>
        <v>58000</v>
      </c>
      <c r="N269" s="17">
        <f t="shared" si="13"/>
        <v>58000</v>
      </c>
      <c r="O269" s="777" t="s">
        <v>23</v>
      </c>
      <c r="P269" s="183"/>
      <c r="Q269" s="972" t="s">
        <v>3179</v>
      </c>
    </row>
    <row r="270" spans="1:19" s="17" customFormat="1" ht="15.6">
      <c r="A270" s="880">
        <v>44517</v>
      </c>
      <c r="B270" s="76" t="s">
        <v>23</v>
      </c>
      <c r="C270" s="10" t="s">
        <v>431</v>
      </c>
      <c r="D270" s="92" t="s">
        <v>31</v>
      </c>
      <c r="E270" s="76" t="s">
        <v>7821</v>
      </c>
      <c r="F270" s="76" t="s">
        <v>7822</v>
      </c>
      <c r="G270" s="16">
        <v>1</v>
      </c>
      <c r="H270" s="336">
        <v>83000</v>
      </c>
      <c r="I270" s="86">
        <f t="shared" si="15"/>
        <v>83000</v>
      </c>
      <c r="J270" s="17">
        <f>I270*25%+40000</f>
        <v>60750</v>
      </c>
      <c r="K270" s="171">
        <f t="shared" si="16"/>
        <v>22250</v>
      </c>
      <c r="N270" s="17">
        <f t="shared" si="13"/>
        <v>22250</v>
      </c>
      <c r="O270" s="76" t="s">
        <v>23</v>
      </c>
      <c r="P270" s="183"/>
      <c r="Q270" s="10" t="s">
        <v>35</v>
      </c>
    </row>
    <row r="271" spans="1:19" s="17" customFormat="1" ht="15.6">
      <c r="A271" s="880">
        <v>44517</v>
      </c>
      <c r="B271" s="76" t="s">
        <v>23</v>
      </c>
      <c r="C271" s="10" t="s">
        <v>431</v>
      </c>
      <c r="D271" s="92" t="s">
        <v>31</v>
      </c>
      <c r="E271" s="76" t="s">
        <v>7823</v>
      </c>
      <c r="F271" s="76" t="s">
        <v>7824</v>
      </c>
      <c r="G271" s="16">
        <v>1</v>
      </c>
      <c r="H271" s="336">
        <v>138000</v>
      </c>
      <c r="I271" s="86">
        <f t="shared" si="15"/>
        <v>138000</v>
      </c>
      <c r="J271" s="17">
        <f>I271*25%</f>
        <v>34500</v>
      </c>
      <c r="K271" s="171">
        <f t="shared" si="16"/>
        <v>103500</v>
      </c>
      <c r="N271" s="17">
        <f t="shared" si="13"/>
        <v>103500</v>
      </c>
      <c r="O271" s="76" t="s">
        <v>23</v>
      </c>
      <c r="P271" s="72"/>
      <c r="Q271" s="10" t="s">
        <v>35</v>
      </c>
    </row>
    <row r="272" spans="1:19" s="17" customFormat="1" ht="15.6">
      <c r="A272" s="880">
        <v>44517</v>
      </c>
      <c r="B272" s="76" t="s">
        <v>23</v>
      </c>
      <c r="C272" s="11" t="s">
        <v>7825</v>
      </c>
      <c r="D272" s="92" t="s">
        <v>7826</v>
      </c>
      <c r="E272" s="739" t="s">
        <v>7827</v>
      </c>
      <c r="F272" s="739" t="s">
        <v>7828</v>
      </c>
      <c r="G272" s="16">
        <v>1</v>
      </c>
      <c r="H272" s="336">
        <v>122000</v>
      </c>
      <c r="I272" s="86">
        <f t="shared" si="15"/>
        <v>122000</v>
      </c>
      <c r="K272" s="171">
        <f t="shared" si="16"/>
        <v>122000</v>
      </c>
      <c r="L272" s="17">
        <f>51000-10000</f>
        <v>41000</v>
      </c>
      <c r="N272" s="17">
        <f t="shared" si="13"/>
        <v>163000</v>
      </c>
      <c r="O272" s="76" t="s">
        <v>23</v>
      </c>
      <c r="P272" s="72"/>
      <c r="Q272" s="10" t="s">
        <v>40</v>
      </c>
    </row>
    <row r="273" spans="1:23" s="17" customFormat="1" ht="15.6">
      <c r="A273" s="880">
        <v>44517</v>
      </c>
      <c r="B273" s="76" t="s">
        <v>23</v>
      </c>
      <c r="C273" s="11" t="s">
        <v>7829</v>
      </c>
      <c r="D273" s="92" t="s">
        <v>7830</v>
      </c>
      <c r="E273" s="76" t="s">
        <v>3063</v>
      </c>
      <c r="F273" s="76" t="s">
        <v>3064</v>
      </c>
      <c r="G273" s="319">
        <v>2</v>
      </c>
      <c r="H273" s="336">
        <v>91500</v>
      </c>
      <c r="I273" s="86">
        <f t="shared" si="15"/>
        <v>183000</v>
      </c>
      <c r="J273" s="17">
        <f>I273*20%</f>
        <v>36600</v>
      </c>
      <c r="K273" s="171">
        <f t="shared" si="16"/>
        <v>146400</v>
      </c>
      <c r="L273" s="17">
        <v>7000</v>
      </c>
      <c r="N273" s="17">
        <f t="shared" si="13"/>
        <v>153400</v>
      </c>
      <c r="O273" s="76" t="s">
        <v>23</v>
      </c>
      <c r="P273" s="183"/>
      <c r="Q273" s="10" t="s">
        <v>28</v>
      </c>
    </row>
    <row r="274" spans="1:23" s="17" customFormat="1" ht="15.6">
      <c r="A274" s="880">
        <v>44517</v>
      </c>
      <c r="B274" s="76" t="s">
        <v>23</v>
      </c>
      <c r="C274" s="10" t="s">
        <v>7831</v>
      </c>
      <c r="D274" s="92" t="s">
        <v>7832</v>
      </c>
      <c r="E274" s="76" t="s">
        <v>3063</v>
      </c>
      <c r="F274" s="76" t="s">
        <v>3064</v>
      </c>
      <c r="G274" s="319">
        <v>1</v>
      </c>
      <c r="H274" s="336">
        <v>91500</v>
      </c>
      <c r="I274" s="86">
        <f t="shared" si="15"/>
        <v>91500</v>
      </c>
      <c r="J274" s="17">
        <f>I274*20%</f>
        <v>18300</v>
      </c>
      <c r="K274" s="171">
        <f t="shared" si="16"/>
        <v>73200</v>
      </c>
      <c r="L274" s="17">
        <v>7000</v>
      </c>
      <c r="N274" s="17">
        <f t="shared" si="13"/>
        <v>80200</v>
      </c>
      <c r="O274" s="76" t="s">
        <v>23</v>
      </c>
      <c r="P274" s="183"/>
      <c r="Q274" s="10" t="s">
        <v>28</v>
      </c>
    </row>
    <row r="275" spans="1:23" s="17" customFormat="1" ht="15.6">
      <c r="A275" s="975">
        <v>44518</v>
      </c>
      <c r="B275" s="740" t="s">
        <v>670</v>
      </c>
      <c r="C275" s="11" t="s">
        <v>7833</v>
      </c>
      <c r="D275" s="92" t="s">
        <v>7834</v>
      </c>
      <c r="E275" s="758" t="s">
        <v>4153</v>
      </c>
      <c r="F275" s="758" t="s">
        <v>4154</v>
      </c>
      <c r="G275" s="976">
        <v>1</v>
      </c>
      <c r="H275" s="336">
        <v>60000</v>
      </c>
      <c r="I275" s="86">
        <f t="shared" si="15"/>
        <v>60000</v>
      </c>
      <c r="K275" s="171">
        <f t="shared" si="16"/>
        <v>60000</v>
      </c>
      <c r="L275" s="17">
        <v>23000</v>
      </c>
      <c r="N275" s="17">
        <f t="shared" si="13"/>
        <v>83000</v>
      </c>
      <c r="O275" s="740" t="s">
        <v>670</v>
      </c>
      <c r="P275" s="183"/>
      <c r="Q275" s="10" t="s">
        <v>40</v>
      </c>
    </row>
    <row r="276" spans="1:23" s="17" customFormat="1" ht="15.6">
      <c r="A276" s="975">
        <v>44518</v>
      </c>
      <c r="B276" s="740" t="s">
        <v>177</v>
      </c>
      <c r="C276" s="758" t="s">
        <v>7835</v>
      </c>
      <c r="D276" s="92" t="s">
        <v>7836</v>
      </c>
      <c r="E276" s="740" t="s">
        <v>1275</v>
      </c>
      <c r="F276" s="740" t="s">
        <v>68</v>
      </c>
      <c r="G276" s="976">
        <v>1</v>
      </c>
      <c r="H276" s="336">
        <v>66000</v>
      </c>
      <c r="I276" s="86">
        <f t="shared" si="15"/>
        <v>66000</v>
      </c>
      <c r="K276" s="171">
        <f t="shared" si="16"/>
        <v>66000</v>
      </c>
      <c r="L276" s="17">
        <v>9000</v>
      </c>
      <c r="N276" s="17">
        <f t="shared" si="13"/>
        <v>75000</v>
      </c>
      <c r="O276" s="740" t="s">
        <v>177</v>
      </c>
      <c r="P276" s="183"/>
      <c r="Q276" s="10" t="s">
        <v>54</v>
      </c>
    </row>
    <row r="277" spans="1:23" s="17" customFormat="1" ht="15.6">
      <c r="A277" s="975">
        <v>44518</v>
      </c>
      <c r="B277" s="740" t="s">
        <v>313</v>
      </c>
      <c r="C277" s="11" t="s">
        <v>7837</v>
      </c>
      <c r="D277" s="92" t="s">
        <v>7838</v>
      </c>
      <c r="E277" s="977" t="s">
        <v>7839</v>
      </c>
      <c r="F277" s="977" t="s">
        <v>7840</v>
      </c>
      <c r="G277" s="976">
        <v>1</v>
      </c>
      <c r="H277" s="336">
        <v>124000</v>
      </c>
      <c r="I277" s="86">
        <f t="shared" si="15"/>
        <v>124000</v>
      </c>
      <c r="K277" s="171">
        <f t="shared" si="16"/>
        <v>124000</v>
      </c>
      <c r="L277" s="17">
        <v>250024</v>
      </c>
      <c r="N277" s="17">
        <f t="shared" si="13"/>
        <v>374024</v>
      </c>
      <c r="O277" s="740" t="s">
        <v>313</v>
      </c>
      <c r="P277" s="72"/>
      <c r="Q277" s="10" t="s">
        <v>40</v>
      </c>
    </row>
    <row r="278" spans="1:23" s="961" customFormat="1">
      <c r="A278" s="978">
        <v>44518</v>
      </c>
      <c r="B278" s="956" t="s">
        <v>313</v>
      </c>
      <c r="C278" s="955" t="s">
        <v>7837</v>
      </c>
      <c r="D278" s="956" t="s">
        <v>7838</v>
      </c>
      <c r="E278" s="964" t="s">
        <v>7841</v>
      </c>
      <c r="F278" s="964" t="s">
        <v>7842</v>
      </c>
      <c r="G278" s="979">
        <v>1</v>
      </c>
      <c r="H278" s="961">
        <v>35092</v>
      </c>
      <c r="I278" s="960">
        <f t="shared" si="15"/>
        <v>35092</v>
      </c>
      <c r="K278" s="171">
        <f t="shared" si="16"/>
        <v>35092</v>
      </c>
      <c r="N278" s="961">
        <f t="shared" si="13"/>
        <v>35092</v>
      </c>
      <c r="O278" s="956" t="s">
        <v>23</v>
      </c>
      <c r="P278" s="963"/>
      <c r="Q278" s="963"/>
    </row>
    <row r="279" spans="1:23" s="961" customFormat="1">
      <c r="A279" s="978">
        <v>44518</v>
      </c>
      <c r="B279" s="956" t="s">
        <v>313</v>
      </c>
      <c r="C279" s="955" t="s">
        <v>7837</v>
      </c>
      <c r="D279" s="956" t="s">
        <v>7838</v>
      </c>
      <c r="E279" s="964" t="s">
        <v>7843</v>
      </c>
      <c r="F279" s="964" t="s">
        <v>7844</v>
      </c>
      <c r="G279" s="979">
        <v>1</v>
      </c>
      <c r="H279" s="961">
        <v>48992</v>
      </c>
      <c r="I279" s="960">
        <f t="shared" si="15"/>
        <v>48992</v>
      </c>
      <c r="K279" s="171">
        <f t="shared" si="16"/>
        <v>48992</v>
      </c>
      <c r="N279" s="961">
        <f t="shared" si="13"/>
        <v>48992</v>
      </c>
      <c r="O279" s="956" t="s">
        <v>23</v>
      </c>
      <c r="P279" s="963"/>
      <c r="Q279" s="963"/>
    </row>
    <row r="280" spans="1:23" s="17" customFormat="1" ht="15.6">
      <c r="A280" s="975">
        <v>44518</v>
      </c>
      <c r="B280" s="740" t="s">
        <v>23</v>
      </c>
      <c r="C280" s="10" t="s">
        <v>431</v>
      </c>
      <c r="D280" s="92" t="s">
        <v>31</v>
      </c>
      <c r="E280" s="758" t="s">
        <v>7845</v>
      </c>
      <c r="F280" s="758" t="s">
        <v>5313</v>
      </c>
      <c r="G280" s="976">
        <v>1</v>
      </c>
      <c r="H280" s="336">
        <v>175000</v>
      </c>
      <c r="I280" s="86">
        <f t="shared" si="15"/>
        <v>175000</v>
      </c>
      <c r="J280" s="17">
        <f>I280*25%</f>
        <v>43750</v>
      </c>
      <c r="K280" s="171">
        <f t="shared" si="16"/>
        <v>131250</v>
      </c>
      <c r="N280" s="17">
        <f t="shared" si="13"/>
        <v>131250</v>
      </c>
      <c r="O280" s="740" t="s">
        <v>23</v>
      </c>
      <c r="P280" s="183"/>
      <c r="Q280" s="10" t="s">
        <v>35</v>
      </c>
    </row>
    <row r="281" spans="1:23" s="92" customFormat="1" ht="15.6">
      <c r="A281" s="975">
        <v>44518</v>
      </c>
      <c r="B281" s="740" t="s">
        <v>23</v>
      </c>
      <c r="C281" s="10" t="s">
        <v>7846</v>
      </c>
      <c r="D281" s="92" t="s">
        <v>7847</v>
      </c>
      <c r="E281" s="740" t="s">
        <v>935</v>
      </c>
      <c r="F281" s="740" t="s">
        <v>936</v>
      </c>
      <c r="G281" s="976">
        <v>1</v>
      </c>
      <c r="H281" s="336">
        <v>86000</v>
      </c>
      <c r="I281" s="86">
        <f t="shared" si="15"/>
        <v>86000</v>
      </c>
      <c r="K281" s="171">
        <f t="shared" si="16"/>
        <v>86000</v>
      </c>
      <c r="L281" s="92">
        <f>7000-7000</f>
        <v>0</v>
      </c>
      <c r="N281" s="92">
        <f t="shared" si="13"/>
        <v>86000</v>
      </c>
      <c r="O281" s="740" t="s">
        <v>23</v>
      </c>
      <c r="P281" s="72"/>
      <c r="Q281" s="10" t="s">
        <v>54</v>
      </c>
    </row>
    <row r="282" spans="1:23" s="92" customFormat="1" ht="15.6">
      <c r="A282" s="975">
        <v>44518</v>
      </c>
      <c r="B282" s="740" t="s">
        <v>313</v>
      </c>
      <c r="C282" s="11" t="s">
        <v>7848</v>
      </c>
      <c r="D282" s="92" t="s">
        <v>7849</v>
      </c>
      <c r="E282" s="758" t="s">
        <v>4153</v>
      </c>
      <c r="F282" s="758" t="s">
        <v>4154</v>
      </c>
      <c r="G282" s="976">
        <v>1</v>
      </c>
      <c r="H282" s="336">
        <v>60000</v>
      </c>
      <c r="I282" s="86">
        <f t="shared" si="15"/>
        <v>60000</v>
      </c>
      <c r="K282" s="171">
        <f t="shared" si="16"/>
        <v>60000</v>
      </c>
      <c r="L282" s="92">
        <v>7055</v>
      </c>
      <c r="M282" s="92" t="s">
        <v>6429</v>
      </c>
      <c r="N282" s="92" t="e">
        <f>K282+L282+M282</f>
        <v>#VALUE!</v>
      </c>
      <c r="O282" s="740" t="s">
        <v>23</v>
      </c>
      <c r="P282" s="72"/>
      <c r="Q282" s="10" t="s">
        <v>40</v>
      </c>
    </row>
    <row r="283" spans="1:23" s="17" customFormat="1" ht="15.6">
      <c r="A283" s="975">
        <v>44519</v>
      </c>
      <c r="B283" s="740" t="s">
        <v>23</v>
      </c>
      <c r="C283" s="10" t="s">
        <v>7850</v>
      </c>
      <c r="D283" s="92" t="s">
        <v>7851</v>
      </c>
      <c r="E283" s="758" t="s">
        <v>5216</v>
      </c>
      <c r="F283" s="758" t="s">
        <v>7369</v>
      </c>
      <c r="G283" s="976">
        <v>1</v>
      </c>
      <c r="H283" s="336">
        <v>101600</v>
      </c>
      <c r="I283" s="86">
        <f t="shared" si="15"/>
        <v>101600</v>
      </c>
      <c r="K283" s="171">
        <f t="shared" si="16"/>
        <v>101600</v>
      </c>
      <c r="L283" s="17">
        <v>23000</v>
      </c>
      <c r="N283" s="17">
        <f t="shared" ref="N283:N346" si="17">K283+L283+M283</f>
        <v>124600</v>
      </c>
      <c r="O283" s="740" t="s">
        <v>23</v>
      </c>
      <c r="P283" s="72"/>
      <c r="Q283" s="10" t="s">
        <v>54</v>
      </c>
    </row>
    <row r="284" spans="1:23" s="17" customFormat="1" ht="15.6">
      <c r="A284" s="975">
        <v>44519</v>
      </c>
      <c r="B284" s="740" t="s">
        <v>23</v>
      </c>
      <c r="C284" s="10" t="s">
        <v>1271</v>
      </c>
      <c r="D284" s="92" t="s">
        <v>31</v>
      </c>
      <c r="E284" s="740" t="s">
        <v>4730</v>
      </c>
      <c r="F284" s="740" t="s">
        <v>4731</v>
      </c>
      <c r="G284" s="976">
        <v>1</v>
      </c>
      <c r="H284" s="336">
        <v>72000</v>
      </c>
      <c r="I284" s="86">
        <f t="shared" si="15"/>
        <v>72000</v>
      </c>
      <c r="J284" s="17">
        <v>14500</v>
      </c>
      <c r="K284" s="171">
        <f t="shared" si="16"/>
        <v>57500</v>
      </c>
      <c r="N284" s="17">
        <f t="shared" si="17"/>
        <v>57500</v>
      </c>
      <c r="O284" s="740" t="s">
        <v>23</v>
      </c>
      <c r="P284" s="183"/>
      <c r="Q284" s="10" t="s">
        <v>35</v>
      </c>
    </row>
    <row r="285" spans="1:23" s="17" customFormat="1" ht="15.6">
      <c r="A285" s="975">
        <v>44519</v>
      </c>
      <c r="B285" s="740" t="s">
        <v>313</v>
      </c>
      <c r="C285" s="11" t="s">
        <v>2062</v>
      </c>
      <c r="D285" s="92" t="s">
        <v>4164</v>
      </c>
      <c r="E285" s="832" t="s">
        <v>7852</v>
      </c>
      <c r="F285" s="832" t="s">
        <v>7853</v>
      </c>
      <c r="G285" s="976">
        <v>1</v>
      </c>
      <c r="H285" s="336">
        <v>157000</v>
      </c>
      <c r="I285" s="86">
        <f t="shared" si="15"/>
        <v>157000</v>
      </c>
      <c r="K285" s="171">
        <f t="shared" si="16"/>
        <v>157000</v>
      </c>
      <c r="L285" s="17">
        <v>34023</v>
      </c>
      <c r="N285" s="17">
        <f t="shared" si="17"/>
        <v>191023</v>
      </c>
      <c r="O285" s="740" t="s">
        <v>313</v>
      </c>
      <c r="P285" s="92"/>
      <c r="Q285" s="10" t="s">
        <v>28</v>
      </c>
    </row>
    <row r="286" spans="1:23" s="17" customFormat="1" ht="15.6">
      <c r="A286" s="975">
        <v>44519</v>
      </c>
      <c r="B286" s="740" t="s">
        <v>313</v>
      </c>
      <c r="C286" s="11" t="s">
        <v>2062</v>
      </c>
      <c r="D286" s="92" t="s">
        <v>4167</v>
      </c>
      <c r="E286" s="834" t="s">
        <v>2556</v>
      </c>
      <c r="F286" s="834" t="s">
        <v>2557</v>
      </c>
      <c r="G286" s="976">
        <v>1</v>
      </c>
      <c r="H286" s="336">
        <v>127000</v>
      </c>
      <c r="I286" s="86">
        <f t="shared" si="15"/>
        <v>127000</v>
      </c>
      <c r="K286" s="171">
        <f t="shared" si="16"/>
        <v>127000</v>
      </c>
      <c r="N286" s="17">
        <f t="shared" si="17"/>
        <v>127000</v>
      </c>
      <c r="O286" s="740" t="s">
        <v>313</v>
      </c>
      <c r="P286" s="72"/>
      <c r="Q286" s="10" t="s">
        <v>28</v>
      </c>
    </row>
    <row r="287" spans="1:23" s="20" customFormat="1" ht="15.6">
      <c r="A287" s="975">
        <v>44519</v>
      </c>
      <c r="B287" s="740" t="s">
        <v>313</v>
      </c>
      <c r="C287" s="11" t="s">
        <v>7854</v>
      </c>
      <c r="D287" s="29" t="s">
        <v>7855</v>
      </c>
      <c r="E287" s="980" t="s">
        <v>7827</v>
      </c>
      <c r="F287" s="980" t="s">
        <v>7828</v>
      </c>
      <c r="G287" s="976">
        <v>1</v>
      </c>
      <c r="H287" s="336">
        <v>122000</v>
      </c>
      <c r="I287" s="86">
        <f t="shared" si="15"/>
        <v>122000</v>
      </c>
      <c r="K287" s="171">
        <f t="shared" si="16"/>
        <v>122000</v>
      </c>
      <c r="L287" s="17">
        <v>45061</v>
      </c>
      <c r="M287" s="17"/>
      <c r="N287" s="17">
        <f t="shared" si="17"/>
        <v>167061</v>
      </c>
      <c r="O287" s="740" t="s">
        <v>313</v>
      </c>
      <c r="P287" s="183"/>
      <c r="Q287" s="10" t="s">
        <v>40</v>
      </c>
      <c r="R287" s="17"/>
      <c r="S287" s="17"/>
      <c r="T287" s="17"/>
      <c r="U287" s="17"/>
      <c r="V287" s="17"/>
      <c r="W287" s="17"/>
    </row>
    <row r="288" spans="1:23" s="20" customFormat="1" ht="15.6">
      <c r="A288" s="975">
        <v>44519</v>
      </c>
      <c r="B288" s="740" t="s">
        <v>313</v>
      </c>
      <c r="C288" s="11" t="s">
        <v>7854</v>
      </c>
      <c r="D288" s="29" t="s">
        <v>7856</v>
      </c>
      <c r="E288" s="980" t="s">
        <v>7857</v>
      </c>
      <c r="F288" s="980" t="s">
        <v>7858</v>
      </c>
      <c r="G288" s="981">
        <v>1</v>
      </c>
      <c r="H288" s="336">
        <v>94000</v>
      </c>
      <c r="I288" s="86">
        <f t="shared" si="15"/>
        <v>94000</v>
      </c>
      <c r="K288" s="171">
        <f t="shared" si="16"/>
        <v>94000</v>
      </c>
      <c r="L288" s="17"/>
      <c r="M288" s="17"/>
      <c r="N288" s="17">
        <f t="shared" si="17"/>
        <v>94000</v>
      </c>
      <c r="O288" s="740" t="s">
        <v>313</v>
      </c>
      <c r="P288" s="72"/>
      <c r="Q288" s="982" t="s">
        <v>40</v>
      </c>
      <c r="R288" s="17"/>
      <c r="S288" s="17"/>
      <c r="T288" s="17"/>
      <c r="U288" s="17"/>
      <c r="V288" s="17"/>
      <c r="W288" s="17"/>
    </row>
    <row r="289" spans="1:23" s="20" customFormat="1" ht="15.6">
      <c r="A289" s="975">
        <v>44519</v>
      </c>
      <c r="B289" s="740" t="s">
        <v>23</v>
      </c>
      <c r="C289" s="10" t="s">
        <v>7859</v>
      </c>
      <c r="D289" s="29" t="s">
        <v>7860</v>
      </c>
      <c r="E289" s="740" t="s">
        <v>190</v>
      </c>
      <c r="F289" s="740" t="s">
        <v>191</v>
      </c>
      <c r="G289" s="976">
        <v>1</v>
      </c>
      <c r="H289" s="336">
        <v>92000</v>
      </c>
      <c r="I289" s="86">
        <f t="shared" si="15"/>
        <v>92000</v>
      </c>
      <c r="K289" s="171">
        <f t="shared" si="16"/>
        <v>92000</v>
      </c>
      <c r="L289" s="17">
        <f>55000-10000</f>
        <v>45000</v>
      </c>
      <c r="N289" s="17">
        <f t="shared" si="17"/>
        <v>137000</v>
      </c>
      <c r="O289" s="740" t="s">
        <v>23</v>
      </c>
      <c r="P289" s="183"/>
      <c r="Q289" s="10" t="s">
        <v>40</v>
      </c>
      <c r="R289" s="17"/>
      <c r="S289" s="17"/>
      <c r="T289" s="17"/>
      <c r="U289" s="17"/>
      <c r="V289" s="17"/>
      <c r="W289" s="17"/>
    </row>
    <row r="290" spans="1:23" s="20" customFormat="1" ht="15.6">
      <c r="A290" s="983">
        <v>44519</v>
      </c>
      <c r="B290" s="740" t="s">
        <v>43</v>
      </c>
      <c r="C290" s="11" t="s">
        <v>7861</v>
      </c>
      <c r="D290" s="29" t="s">
        <v>7862</v>
      </c>
      <c r="E290" s="832" t="s">
        <v>4047</v>
      </c>
      <c r="F290" s="832" t="s">
        <v>4048</v>
      </c>
      <c r="G290" s="976">
        <v>1</v>
      </c>
      <c r="H290" s="336">
        <v>192500</v>
      </c>
      <c r="I290" s="86">
        <f t="shared" si="15"/>
        <v>192500</v>
      </c>
      <c r="J290" s="20">
        <f>I290*15%</f>
        <v>28875</v>
      </c>
      <c r="K290" s="171">
        <f t="shared" si="16"/>
        <v>163625</v>
      </c>
      <c r="L290" s="17"/>
      <c r="M290" s="17">
        <v>-46958</v>
      </c>
      <c r="N290" s="17">
        <f t="shared" si="17"/>
        <v>116667</v>
      </c>
      <c r="O290" s="740" t="s">
        <v>43</v>
      </c>
      <c r="P290" s="72"/>
      <c r="Q290" s="10" t="s">
        <v>176</v>
      </c>
      <c r="R290" s="17"/>
      <c r="S290" s="17"/>
      <c r="T290" s="17"/>
      <c r="U290" s="17"/>
      <c r="V290" s="17"/>
      <c r="W290" s="17"/>
    </row>
    <row r="291" spans="1:23" s="20" customFormat="1" ht="15.6">
      <c r="A291" s="983">
        <v>44519</v>
      </c>
      <c r="B291" s="740" t="s">
        <v>43</v>
      </c>
      <c r="C291" s="11" t="s">
        <v>7861</v>
      </c>
      <c r="D291" s="29" t="s">
        <v>7863</v>
      </c>
      <c r="E291" s="832" t="s">
        <v>3063</v>
      </c>
      <c r="F291" s="832" t="s">
        <v>3064</v>
      </c>
      <c r="G291" s="976">
        <v>2</v>
      </c>
      <c r="H291" s="336">
        <v>91500</v>
      </c>
      <c r="I291" s="86">
        <f t="shared" si="15"/>
        <v>183000</v>
      </c>
      <c r="J291" s="20">
        <f t="shared" ref="J291:J298" si="18">I291*15%</f>
        <v>27450</v>
      </c>
      <c r="K291" s="171">
        <f t="shared" si="16"/>
        <v>155550</v>
      </c>
      <c r="L291" s="17"/>
      <c r="M291" s="17"/>
      <c r="N291" s="17">
        <f t="shared" si="17"/>
        <v>155550</v>
      </c>
      <c r="O291" s="740" t="s">
        <v>43</v>
      </c>
      <c r="P291" s="183"/>
      <c r="Q291" s="10" t="s">
        <v>176</v>
      </c>
      <c r="R291" s="17"/>
      <c r="S291" s="17"/>
      <c r="T291" s="17"/>
      <c r="U291" s="17"/>
      <c r="V291" s="17"/>
      <c r="W291" s="17"/>
    </row>
    <row r="292" spans="1:23" s="20" customFormat="1" ht="15.6">
      <c r="A292" s="983">
        <v>44519</v>
      </c>
      <c r="B292" s="740" t="s">
        <v>43</v>
      </c>
      <c r="C292" s="11" t="s">
        <v>7861</v>
      </c>
      <c r="D292" s="29" t="s">
        <v>7864</v>
      </c>
      <c r="E292" s="832" t="s">
        <v>7865</v>
      </c>
      <c r="F292" s="832" t="s">
        <v>7866</v>
      </c>
      <c r="G292" s="976">
        <v>1</v>
      </c>
      <c r="H292" s="336">
        <v>61500</v>
      </c>
      <c r="I292" s="86">
        <f t="shared" si="15"/>
        <v>61500</v>
      </c>
      <c r="J292" s="20">
        <f t="shared" si="18"/>
        <v>9225</v>
      </c>
      <c r="K292" s="171">
        <f t="shared" si="16"/>
        <v>52275</v>
      </c>
      <c r="L292" s="17"/>
      <c r="M292" s="17"/>
      <c r="N292" s="17">
        <f t="shared" si="17"/>
        <v>52275</v>
      </c>
      <c r="O292" s="740" t="s">
        <v>43</v>
      </c>
      <c r="P292" s="72"/>
      <c r="Q292" s="10" t="s">
        <v>176</v>
      </c>
      <c r="R292" s="17"/>
      <c r="S292" s="17"/>
      <c r="T292" s="17"/>
      <c r="U292" s="17"/>
      <c r="V292" s="17"/>
      <c r="W292" s="17"/>
    </row>
    <row r="293" spans="1:23" s="20" customFormat="1" ht="15.6">
      <c r="A293" s="983">
        <v>44519</v>
      </c>
      <c r="B293" s="740" t="s">
        <v>43</v>
      </c>
      <c r="C293" s="11" t="s">
        <v>7861</v>
      </c>
      <c r="D293" s="29" t="s">
        <v>7867</v>
      </c>
      <c r="E293" s="832" t="s">
        <v>6955</v>
      </c>
      <c r="F293" s="832" t="s">
        <v>6956</v>
      </c>
      <c r="G293" s="976">
        <v>1</v>
      </c>
      <c r="H293" s="336">
        <v>57500</v>
      </c>
      <c r="I293" s="86">
        <f t="shared" si="15"/>
        <v>57500</v>
      </c>
      <c r="J293" s="20">
        <f t="shared" si="18"/>
        <v>8625</v>
      </c>
      <c r="K293" s="171">
        <f t="shared" si="16"/>
        <v>48875</v>
      </c>
      <c r="L293" s="17"/>
      <c r="M293" s="17"/>
      <c r="N293" s="17">
        <f t="shared" si="17"/>
        <v>48875</v>
      </c>
      <c r="O293" s="740" t="s">
        <v>43</v>
      </c>
      <c r="P293" s="183"/>
      <c r="Q293" s="10" t="s">
        <v>176</v>
      </c>
      <c r="R293" s="17"/>
      <c r="S293" s="17"/>
      <c r="T293" s="17"/>
      <c r="U293" s="17"/>
      <c r="V293" s="17"/>
      <c r="W293" s="17"/>
    </row>
    <row r="294" spans="1:23" s="20" customFormat="1" ht="15.6">
      <c r="A294" s="983">
        <v>44519</v>
      </c>
      <c r="B294" s="740" t="s">
        <v>43</v>
      </c>
      <c r="C294" s="11" t="s">
        <v>7861</v>
      </c>
      <c r="D294" s="29" t="s">
        <v>7868</v>
      </c>
      <c r="E294" s="832" t="s">
        <v>7869</v>
      </c>
      <c r="F294" s="832" t="s">
        <v>7870</v>
      </c>
      <c r="G294" s="976">
        <v>1</v>
      </c>
      <c r="H294" s="336">
        <v>86000</v>
      </c>
      <c r="I294" s="86">
        <f t="shared" si="15"/>
        <v>86000</v>
      </c>
      <c r="J294" s="20">
        <f t="shared" si="18"/>
        <v>12900</v>
      </c>
      <c r="K294" s="171">
        <f t="shared" si="16"/>
        <v>73100</v>
      </c>
      <c r="L294" s="17"/>
      <c r="M294" s="17"/>
      <c r="N294" s="17">
        <f t="shared" si="17"/>
        <v>73100</v>
      </c>
      <c r="O294" s="740" t="s">
        <v>43</v>
      </c>
      <c r="P294" s="183"/>
      <c r="Q294" s="10" t="s">
        <v>176</v>
      </c>
      <c r="R294" s="17"/>
      <c r="S294" s="17"/>
      <c r="T294" s="17"/>
      <c r="U294" s="17"/>
      <c r="V294" s="17"/>
      <c r="W294" s="17"/>
    </row>
    <row r="295" spans="1:23" s="20" customFormat="1" ht="15.6">
      <c r="A295" s="983">
        <v>44519</v>
      </c>
      <c r="B295" s="740" t="s">
        <v>43</v>
      </c>
      <c r="C295" s="11" t="s">
        <v>7861</v>
      </c>
      <c r="D295" s="29" t="s">
        <v>7871</v>
      </c>
      <c r="E295" s="834" t="s">
        <v>1753</v>
      </c>
      <c r="F295" s="834" t="s">
        <v>1754</v>
      </c>
      <c r="G295" s="976">
        <v>1</v>
      </c>
      <c r="H295" s="336">
        <v>86000</v>
      </c>
      <c r="I295" s="86">
        <f t="shared" si="15"/>
        <v>86000</v>
      </c>
      <c r="J295" s="20">
        <f t="shared" si="18"/>
        <v>12900</v>
      </c>
      <c r="K295" s="171">
        <f t="shared" si="16"/>
        <v>73100</v>
      </c>
      <c r="L295" s="17"/>
      <c r="M295" s="17"/>
      <c r="N295" s="17">
        <f t="shared" si="17"/>
        <v>73100</v>
      </c>
      <c r="O295" s="740" t="s">
        <v>43</v>
      </c>
      <c r="P295" s="183"/>
      <c r="Q295" s="10" t="s">
        <v>176</v>
      </c>
      <c r="R295" s="17"/>
      <c r="S295" s="17"/>
      <c r="T295" s="17"/>
      <c r="U295" s="17"/>
      <c r="V295" s="17"/>
      <c r="W295" s="17"/>
    </row>
    <row r="296" spans="1:23" s="20" customFormat="1" ht="15.6">
      <c r="A296" s="983">
        <v>44519</v>
      </c>
      <c r="B296" s="740" t="s">
        <v>43</v>
      </c>
      <c r="C296" s="11" t="s">
        <v>7861</v>
      </c>
      <c r="D296" s="29" t="s">
        <v>7872</v>
      </c>
      <c r="E296" s="834" t="s">
        <v>7873</v>
      </c>
      <c r="F296" s="834" t="s">
        <v>7874</v>
      </c>
      <c r="G296" s="976">
        <v>1</v>
      </c>
      <c r="H296" s="336">
        <v>122000</v>
      </c>
      <c r="I296" s="86">
        <f t="shared" si="15"/>
        <v>122000</v>
      </c>
      <c r="J296" s="20">
        <f t="shared" si="18"/>
        <v>18300</v>
      </c>
      <c r="K296" s="171">
        <f t="shared" si="16"/>
        <v>103700</v>
      </c>
      <c r="L296" s="17"/>
      <c r="M296" s="17"/>
      <c r="N296" s="17">
        <f t="shared" si="17"/>
        <v>103700</v>
      </c>
      <c r="O296" s="740" t="s">
        <v>43</v>
      </c>
      <c r="P296" s="183"/>
      <c r="Q296" s="10" t="s">
        <v>176</v>
      </c>
      <c r="R296" s="17"/>
      <c r="S296" s="17"/>
      <c r="T296" s="17"/>
      <c r="U296" s="17"/>
      <c r="V296" s="17"/>
      <c r="W296" s="17"/>
    </row>
    <row r="297" spans="1:23" s="20" customFormat="1" ht="15.6">
      <c r="A297" s="983">
        <v>44519</v>
      </c>
      <c r="B297" s="740" t="s">
        <v>43</v>
      </c>
      <c r="C297" s="11" t="s">
        <v>7861</v>
      </c>
      <c r="D297" s="29" t="s">
        <v>7875</v>
      </c>
      <c r="E297" s="834" t="s">
        <v>7876</v>
      </c>
      <c r="F297" s="834" t="s">
        <v>7877</v>
      </c>
      <c r="G297" s="976">
        <v>1</v>
      </c>
      <c r="H297" s="336">
        <v>70000</v>
      </c>
      <c r="I297" s="86">
        <f t="shared" si="15"/>
        <v>70000</v>
      </c>
      <c r="J297" s="20">
        <f t="shared" si="18"/>
        <v>10500</v>
      </c>
      <c r="K297" s="171">
        <f t="shared" si="16"/>
        <v>59500</v>
      </c>
      <c r="L297" s="17"/>
      <c r="M297" s="17"/>
      <c r="N297" s="17">
        <f t="shared" si="17"/>
        <v>59500</v>
      </c>
      <c r="O297" s="740" t="s">
        <v>43</v>
      </c>
      <c r="P297" s="183"/>
      <c r="Q297" s="10" t="s">
        <v>176</v>
      </c>
      <c r="R297" s="17"/>
      <c r="S297" s="13"/>
      <c r="T297" s="17"/>
      <c r="U297" s="17"/>
      <c r="V297" s="17"/>
      <c r="W297" s="17"/>
    </row>
    <row r="298" spans="1:23" s="20" customFormat="1" ht="15.6">
      <c r="A298" s="983">
        <v>44519</v>
      </c>
      <c r="B298" s="740" t="s">
        <v>43</v>
      </c>
      <c r="C298" s="11" t="s">
        <v>7861</v>
      </c>
      <c r="D298" s="29" t="s">
        <v>7878</v>
      </c>
      <c r="E298" s="834" t="s">
        <v>7386</v>
      </c>
      <c r="F298" s="834" t="s">
        <v>7387</v>
      </c>
      <c r="G298" s="976">
        <v>1</v>
      </c>
      <c r="H298" s="336">
        <v>128000</v>
      </c>
      <c r="I298" s="86">
        <f t="shared" si="15"/>
        <v>128000</v>
      </c>
      <c r="J298" s="20">
        <f t="shared" si="18"/>
        <v>19200</v>
      </c>
      <c r="K298" s="171">
        <f t="shared" si="16"/>
        <v>108800</v>
      </c>
      <c r="L298" s="17"/>
      <c r="M298" s="17"/>
      <c r="N298" s="17">
        <f t="shared" si="17"/>
        <v>108800</v>
      </c>
      <c r="O298" s="740" t="s">
        <v>43</v>
      </c>
      <c r="P298" s="183"/>
      <c r="Q298" s="10" t="s">
        <v>176</v>
      </c>
      <c r="R298" s="17"/>
      <c r="S298" s="17"/>
      <c r="T298" s="17"/>
      <c r="U298" s="17"/>
      <c r="V298" s="17"/>
      <c r="W298" s="17"/>
    </row>
    <row r="299" spans="1:23" s="20" customFormat="1" ht="15.6">
      <c r="A299" s="983">
        <v>44519</v>
      </c>
      <c r="B299" s="740" t="s">
        <v>43</v>
      </c>
      <c r="C299" s="10" t="s">
        <v>7879</v>
      </c>
      <c r="D299" s="29" t="s">
        <v>7880</v>
      </c>
      <c r="E299" s="758" t="s">
        <v>1371</v>
      </c>
      <c r="F299" s="758" t="s">
        <v>1372</v>
      </c>
      <c r="G299" s="976">
        <v>1</v>
      </c>
      <c r="H299" s="336">
        <v>98000</v>
      </c>
      <c r="I299" s="86">
        <f t="shared" si="15"/>
        <v>98000</v>
      </c>
      <c r="J299" s="20">
        <f>I299*15%</f>
        <v>14700</v>
      </c>
      <c r="K299" s="171">
        <f t="shared" si="16"/>
        <v>83300</v>
      </c>
      <c r="L299" s="17"/>
      <c r="M299" s="17">
        <v>-4665</v>
      </c>
      <c r="N299" s="17">
        <f t="shared" si="17"/>
        <v>78635</v>
      </c>
      <c r="O299" s="740" t="s">
        <v>43</v>
      </c>
      <c r="P299" s="183"/>
      <c r="Q299" s="10" t="s">
        <v>176</v>
      </c>
      <c r="R299" s="17"/>
      <c r="S299" s="17"/>
      <c r="T299" s="17"/>
      <c r="U299" s="17"/>
      <c r="V299" s="17"/>
      <c r="W299" s="17"/>
    </row>
    <row r="300" spans="1:23" s="20" customFormat="1">
      <c r="A300" s="975">
        <v>44519</v>
      </c>
      <c r="B300" s="10" t="s">
        <v>23</v>
      </c>
      <c r="C300" s="183" t="s">
        <v>7881</v>
      </c>
      <c r="D300" s="20" t="s">
        <v>7882</v>
      </c>
      <c r="E300" s="984" t="s">
        <v>7883</v>
      </c>
      <c r="F300" s="984" t="s">
        <v>7884</v>
      </c>
      <c r="G300" s="985">
        <v>10</v>
      </c>
      <c r="H300" s="20">
        <v>68000</v>
      </c>
      <c r="I300" s="86">
        <f t="shared" si="15"/>
        <v>680000</v>
      </c>
      <c r="J300" s="20">
        <f>I300*40%</f>
        <v>272000</v>
      </c>
      <c r="K300" s="171">
        <f t="shared" si="16"/>
        <v>408000</v>
      </c>
      <c r="L300" s="17">
        <v>336000</v>
      </c>
      <c r="M300" s="17"/>
      <c r="N300" s="17">
        <f t="shared" si="17"/>
        <v>744000</v>
      </c>
      <c r="O300" s="10" t="s">
        <v>23</v>
      </c>
      <c r="P300" s="72"/>
      <c r="Q300" s="10" t="s">
        <v>3449</v>
      </c>
      <c r="R300" s="17"/>
      <c r="S300" s="17"/>
      <c r="T300" s="17"/>
      <c r="U300" s="17"/>
      <c r="V300" s="17"/>
      <c r="W300" s="17"/>
    </row>
    <row r="301" spans="1:23" s="20" customFormat="1">
      <c r="A301" s="975">
        <v>44519</v>
      </c>
      <c r="B301" s="10" t="s">
        <v>23</v>
      </c>
      <c r="C301" s="183" t="s">
        <v>7881</v>
      </c>
      <c r="D301" s="20" t="s">
        <v>7882</v>
      </c>
      <c r="E301" s="984" t="s">
        <v>955</v>
      </c>
      <c r="F301" s="984" t="s">
        <v>956</v>
      </c>
      <c r="G301" s="985">
        <v>10</v>
      </c>
      <c r="H301" s="20">
        <v>73000</v>
      </c>
      <c r="I301" s="86">
        <f t="shared" si="15"/>
        <v>730000</v>
      </c>
      <c r="J301" s="20">
        <f t="shared" ref="J301:J317" si="19">I301*40%</f>
        <v>292000</v>
      </c>
      <c r="K301" s="171">
        <f t="shared" si="16"/>
        <v>438000</v>
      </c>
      <c r="L301" s="17"/>
      <c r="M301" s="17"/>
      <c r="N301" s="17">
        <f t="shared" si="17"/>
        <v>438000</v>
      </c>
      <c r="O301" s="10" t="s">
        <v>23</v>
      </c>
      <c r="P301" s="72"/>
      <c r="Q301" s="10" t="s">
        <v>3449</v>
      </c>
      <c r="R301" s="17"/>
      <c r="S301" s="17"/>
      <c r="T301" s="17"/>
      <c r="U301" s="17"/>
      <c r="V301" s="17"/>
      <c r="W301" s="17"/>
    </row>
    <row r="302" spans="1:23" s="20" customFormat="1">
      <c r="A302" s="975">
        <v>44519</v>
      </c>
      <c r="B302" s="10" t="s">
        <v>23</v>
      </c>
      <c r="C302" s="183" t="s">
        <v>7881</v>
      </c>
      <c r="D302" s="20" t="s">
        <v>7882</v>
      </c>
      <c r="E302" s="984" t="s">
        <v>51</v>
      </c>
      <c r="F302" s="984" t="s">
        <v>52</v>
      </c>
      <c r="G302" s="985">
        <v>10</v>
      </c>
      <c r="H302" s="20">
        <v>94000</v>
      </c>
      <c r="I302" s="86">
        <f t="shared" si="15"/>
        <v>940000</v>
      </c>
      <c r="J302" s="20">
        <f t="shared" si="19"/>
        <v>376000</v>
      </c>
      <c r="K302" s="171">
        <f t="shared" si="16"/>
        <v>564000</v>
      </c>
      <c r="L302" s="17"/>
      <c r="M302" s="17"/>
      <c r="N302" s="17">
        <f t="shared" si="17"/>
        <v>564000</v>
      </c>
      <c r="O302" s="10" t="s">
        <v>23</v>
      </c>
      <c r="P302" s="72"/>
      <c r="Q302" s="10" t="s">
        <v>3449</v>
      </c>
      <c r="R302" s="17"/>
      <c r="S302" s="17"/>
      <c r="T302" s="17"/>
      <c r="U302" s="17"/>
      <c r="V302" s="17"/>
      <c r="W302" s="17"/>
    </row>
    <row r="303" spans="1:23" s="20" customFormat="1">
      <c r="A303" s="975">
        <v>44519</v>
      </c>
      <c r="B303" s="10" t="s">
        <v>23</v>
      </c>
      <c r="C303" s="183" t="s">
        <v>7881</v>
      </c>
      <c r="D303" s="20" t="s">
        <v>7882</v>
      </c>
      <c r="E303" s="984" t="s">
        <v>7885</v>
      </c>
      <c r="F303" s="984" t="s">
        <v>7886</v>
      </c>
      <c r="G303" s="985">
        <v>7</v>
      </c>
      <c r="H303" s="20">
        <v>77000</v>
      </c>
      <c r="I303" s="86">
        <f t="shared" si="15"/>
        <v>539000</v>
      </c>
      <c r="J303" s="20">
        <f t="shared" si="19"/>
        <v>215600</v>
      </c>
      <c r="K303" s="171">
        <f t="shared" si="16"/>
        <v>323400</v>
      </c>
      <c r="L303" s="17"/>
      <c r="M303" s="17"/>
      <c r="N303" s="17">
        <f t="shared" si="17"/>
        <v>323400</v>
      </c>
      <c r="O303" s="10" t="s">
        <v>23</v>
      </c>
      <c r="P303" s="72"/>
      <c r="Q303" s="10" t="s">
        <v>3449</v>
      </c>
      <c r="R303" s="17"/>
      <c r="S303" s="17"/>
      <c r="T303" s="17"/>
      <c r="U303" s="17"/>
      <c r="V303" s="17"/>
      <c r="W303" s="17"/>
    </row>
    <row r="304" spans="1:23" s="20" customFormat="1">
      <c r="A304" s="975">
        <v>44519</v>
      </c>
      <c r="B304" s="10" t="s">
        <v>23</v>
      </c>
      <c r="C304" s="183" t="s">
        <v>7881</v>
      </c>
      <c r="D304" s="20" t="s">
        <v>7882</v>
      </c>
      <c r="E304" s="984" t="s">
        <v>1489</v>
      </c>
      <c r="F304" s="984" t="s">
        <v>1490</v>
      </c>
      <c r="G304" s="986">
        <v>10</v>
      </c>
      <c r="H304" s="20">
        <v>59000</v>
      </c>
      <c r="I304" s="86">
        <f t="shared" si="15"/>
        <v>590000</v>
      </c>
      <c r="J304" s="20">
        <f t="shared" si="19"/>
        <v>236000</v>
      </c>
      <c r="K304" s="171">
        <f t="shared" si="16"/>
        <v>354000</v>
      </c>
      <c r="L304" s="17"/>
      <c r="M304" s="17"/>
      <c r="N304" s="17">
        <f t="shared" si="17"/>
        <v>354000</v>
      </c>
      <c r="O304" s="10" t="s">
        <v>23</v>
      </c>
      <c r="P304" s="72"/>
      <c r="Q304" s="10" t="s">
        <v>3449</v>
      </c>
      <c r="R304" s="17"/>
      <c r="S304" s="17"/>
      <c r="T304" s="17"/>
      <c r="U304" s="17"/>
      <c r="V304" s="17"/>
      <c r="W304" s="17"/>
    </row>
    <row r="305" spans="1:23" s="20" customFormat="1">
      <c r="A305" s="975">
        <v>44519</v>
      </c>
      <c r="B305" s="10" t="s">
        <v>23</v>
      </c>
      <c r="C305" s="183" t="s">
        <v>7881</v>
      </c>
      <c r="D305" s="20" t="s">
        <v>7882</v>
      </c>
      <c r="E305" s="984" t="s">
        <v>7887</v>
      </c>
      <c r="F305" s="984" t="s">
        <v>7888</v>
      </c>
      <c r="G305" s="985">
        <v>12</v>
      </c>
      <c r="H305" s="20">
        <v>70000</v>
      </c>
      <c r="I305" s="86">
        <f t="shared" si="15"/>
        <v>840000</v>
      </c>
      <c r="J305" s="20">
        <f t="shared" si="19"/>
        <v>336000</v>
      </c>
      <c r="K305" s="171">
        <f t="shared" si="16"/>
        <v>504000</v>
      </c>
      <c r="L305" s="17"/>
      <c r="M305" s="17"/>
      <c r="N305" s="17">
        <f t="shared" si="17"/>
        <v>504000</v>
      </c>
      <c r="O305" s="10" t="s">
        <v>23</v>
      </c>
      <c r="P305" s="183"/>
      <c r="Q305" s="10" t="s">
        <v>3449</v>
      </c>
      <c r="R305" s="17"/>
      <c r="S305" s="17"/>
      <c r="T305" s="17"/>
      <c r="U305" s="17"/>
      <c r="V305" s="17"/>
      <c r="W305" s="17"/>
    </row>
    <row r="306" spans="1:23" s="20" customFormat="1">
      <c r="A306" s="975">
        <v>44519</v>
      </c>
      <c r="B306" s="10" t="s">
        <v>23</v>
      </c>
      <c r="C306" s="183" t="s">
        <v>7881</v>
      </c>
      <c r="D306" s="20" t="s">
        <v>7882</v>
      </c>
      <c r="E306" s="984" t="s">
        <v>7889</v>
      </c>
      <c r="F306" s="984" t="s">
        <v>174</v>
      </c>
      <c r="G306" s="985">
        <v>10</v>
      </c>
      <c r="H306" s="20">
        <v>91000</v>
      </c>
      <c r="I306" s="86">
        <f t="shared" si="15"/>
        <v>910000</v>
      </c>
      <c r="J306" s="20">
        <f t="shared" si="19"/>
        <v>364000</v>
      </c>
      <c r="K306" s="171">
        <f t="shared" si="16"/>
        <v>546000</v>
      </c>
      <c r="L306" s="17"/>
      <c r="M306" s="17"/>
      <c r="N306" s="17">
        <f t="shared" si="17"/>
        <v>546000</v>
      </c>
      <c r="O306" s="10" t="s">
        <v>23</v>
      </c>
      <c r="P306" s="183"/>
      <c r="Q306" s="10" t="s">
        <v>3449</v>
      </c>
      <c r="R306" s="17"/>
      <c r="S306" s="13"/>
      <c r="T306" s="17"/>
      <c r="U306" s="17"/>
      <c r="V306" s="17"/>
      <c r="W306" s="17"/>
    </row>
    <row r="307" spans="1:23" s="20" customFormat="1">
      <c r="A307" s="975">
        <v>44519</v>
      </c>
      <c r="B307" s="10" t="s">
        <v>23</v>
      </c>
      <c r="C307" s="183" t="s">
        <v>7881</v>
      </c>
      <c r="D307" s="20" t="s">
        <v>7882</v>
      </c>
      <c r="E307" s="984" t="s">
        <v>1455</v>
      </c>
      <c r="F307" s="984" t="s">
        <v>1456</v>
      </c>
      <c r="G307" s="985">
        <v>10</v>
      </c>
      <c r="H307" s="20">
        <v>206000</v>
      </c>
      <c r="I307" s="86">
        <f t="shared" si="15"/>
        <v>2060000</v>
      </c>
      <c r="J307" s="20">
        <f t="shared" si="19"/>
        <v>824000</v>
      </c>
      <c r="K307" s="171">
        <f t="shared" si="16"/>
        <v>1236000</v>
      </c>
      <c r="L307" s="17"/>
      <c r="M307" s="17"/>
      <c r="N307" s="17">
        <f t="shared" si="17"/>
        <v>1236000</v>
      </c>
      <c r="O307" s="10" t="s">
        <v>23</v>
      </c>
      <c r="P307" s="183"/>
      <c r="Q307" s="10" t="s">
        <v>3449</v>
      </c>
      <c r="R307" s="17"/>
      <c r="S307" s="17"/>
      <c r="T307" s="17"/>
      <c r="U307" s="17"/>
      <c r="V307" s="17"/>
      <c r="W307" s="17"/>
    </row>
    <row r="308" spans="1:23" s="20" customFormat="1">
      <c r="A308" s="975">
        <v>44519</v>
      </c>
      <c r="B308" s="10" t="s">
        <v>23</v>
      </c>
      <c r="C308" s="183" t="s">
        <v>7881</v>
      </c>
      <c r="D308" s="20" t="s">
        <v>7882</v>
      </c>
      <c r="E308" s="984" t="s">
        <v>7890</v>
      </c>
      <c r="F308" s="984" t="s">
        <v>7891</v>
      </c>
      <c r="G308" s="985">
        <v>7</v>
      </c>
      <c r="H308" s="20">
        <v>78500</v>
      </c>
      <c r="I308" s="86">
        <f t="shared" si="15"/>
        <v>549500</v>
      </c>
      <c r="J308" s="20">
        <f t="shared" si="19"/>
        <v>219800</v>
      </c>
      <c r="K308" s="171">
        <f t="shared" si="16"/>
        <v>329700</v>
      </c>
      <c r="L308" s="17"/>
      <c r="M308" s="17"/>
      <c r="N308" s="17">
        <f t="shared" si="17"/>
        <v>329700</v>
      </c>
      <c r="O308" s="10" t="s">
        <v>23</v>
      </c>
      <c r="P308" s="183"/>
      <c r="Q308" s="10" t="s">
        <v>3449</v>
      </c>
      <c r="R308" s="17"/>
      <c r="S308" s="17"/>
      <c r="T308" s="17"/>
      <c r="U308" s="17"/>
      <c r="V308" s="17"/>
      <c r="W308" s="17"/>
    </row>
    <row r="309" spans="1:23" s="20" customFormat="1">
      <c r="A309" s="975">
        <v>44519</v>
      </c>
      <c r="B309" s="10" t="s">
        <v>23</v>
      </c>
      <c r="C309" s="183" t="s">
        <v>7881</v>
      </c>
      <c r="D309" s="20" t="s">
        <v>7882</v>
      </c>
      <c r="E309" s="984" t="s">
        <v>7892</v>
      </c>
      <c r="F309" s="984" t="s">
        <v>7893</v>
      </c>
      <c r="G309" s="985">
        <v>7</v>
      </c>
      <c r="H309" s="20">
        <v>89000</v>
      </c>
      <c r="I309" s="86">
        <f t="shared" si="15"/>
        <v>623000</v>
      </c>
      <c r="J309" s="20">
        <f t="shared" si="19"/>
        <v>249200</v>
      </c>
      <c r="K309" s="171">
        <f t="shared" si="16"/>
        <v>373800</v>
      </c>
      <c r="L309" s="17"/>
      <c r="M309" s="17"/>
      <c r="N309" s="17">
        <f t="shared" si="17"/>
        <v>373800</v>
      </c>
      <c r="O309" s="10" t="s">
        <v>23</v>
      </c>
      <c r="P309" s="183"/>
      <c r="Q309" s="10" t="s">
        <v>3449</v>
      </c>
      <c r="R309" s="17"/>
      <c r="S309" s="17"/>
      <c r="T309" s="17"/>
      <c r="U309" s="17"/>
      <c r="V309" s="17"/>
      <c r="W309" s="17"/>
    </row>
    <row r="310" spans="1:23" s="20" customFormat="1">
      <c r="A310" s="975">
        <v>44519</v>
      </c>
      <c r="B310" s="10" t="s">
        <v>23</v>
      </c>
      <c r="C310" s="183" t="s">
        <v>7881</v>
      </c>
      <c r="D310" s="20" t="s">
        <v>7882</v>
      </c>
      <c r="E310" s="984" t="s">
        <v>6768</v>
      </c>
      <c r="F310" s="984" t="s">
        <v>6769</v>
      </c>
      <c r="G310" s="985">
        <v>7</v>
      </c>
      <c r="H310" s="20">
        <v>57000</v>
      </c>
      <c r="I310" s="86">
        <f t="shared" si="15"/>
        <v>399000</v>
      </c>
      <c r="J310" s="20">
        <f t="shared" si="19"/>
        <v>159600</v>
      </c>
      <c r="K310" s="171">
        <f t="shared" si="16"/>
        <v>239400</v>
      </c>
      <c r="L310" s="17"/>
      <c r="M310" s="17"/>
      <c r="N310" s="17">
        <f t="shared" si="17"/>
        <v>239400</v>
      </c>
      <c r="O310" s="10" t="s">
        <v>23</v>
      </c>
      <c r="P310" s="72"/>
      <c r="Q310" s="10" t="s">
        <v>3449</v>
      </c>
      <c r="R310" s="17"/>
      <c r="S310" s="17"/>
      <c r="T310" s="17"/>
      <c r="U310" s="17"/>
      <c r="V310" s="17"/>
      <c r="W310" s="17"/>
    </row>
    <row r="311" spans="1:23" s="20" customFormat="1">
      <c r="A311" s="975">
        <v>44519</v>
      </c>
      <c r="B311" s="10" t="s">
        <v>23</v>
      </c>
      <c r="C311" s="183" t="s">
        <v>7881</v>
      </c>
      <c r="D311" s="20" t="s">
        <v>7882</v>
      </c>
      <c r="E311" s="987" t="s">
        <v>4492</v>
      </c>
      <c r="F311" s="987" t="s">
        <v>4493</v>
      </c>
      <c r="G311" s="985">
        <v>12</v>
      </c>
      <c r="H311" s="20">
        <v>337000</v>
      </c>
      <c r="I311" s="86">
        <f t="shared" si="15"/>
        <v>4044000</v>
      </c>
      <c r="J311" s="20">
        <f t="shared" si="19"/>
        <v>1617600</v>
      </c>
      <c r="K311" s="171">
        <f t="shared" si="16"/>
        <v>2426400</v>
      </c>
      <c r="L311" s="17"/>
      <c r="M311" s="17"/>
      <c r="N311" s="17">
        <f t="shared" si="17"/>
        <v>2426400</v>
      </c>
      <c r="O311" s="10" t="s">
        <v>23</v>
      </c>
      <c r="P311" s="72"/>
      <c r="Q311" s="10" t="s">
        <v>3449</v>
      </c>
      <c r="R311" s="17"/>
      <c r="S311" s="17"/>
      <c r="T311" s="17"/>
      <c r="U311" s="17"/>
      <c r="V311" s="17"/>
      <c r="W311" s="17"/>
    </row>
    <row r="312" spans="1:23" s="20" customFormat="1">
      <c r="A312" s="975">
        <v>44519</v>
      </c>
      <c r="B312" s="10" t="s">
        <v>23</v>
      </c>
      <c r="C312" s="183" t="s">
        <v>7881</v>
      </c>
      <c r="D312" s="20" t="s">
        <v>7882</v>
      </c>
      <c r="E312" s="984" t="s">
        <v>2914</v>
      </c>
      <c r="F312" s="984" t="s">
        <v>2915</v>
      </c>
      <c r="G312" s="985">
        <v>7</v>
      </c>
      <c r="H312" s="20">
        <v>124500</v>
      </c>
      <c r="I312" s="86">
        <f t="shared" si="15"/>
        <v>871500</v>
      </c>
      <c r="J312" s="20">
        <f t="shared" si="19"/>
        <v>348600</v>
      </c>
      <c r="K312" s="171">
        <f t="shared" si="16"/>
        <v>522900</v>
      </c>
      <c r="L312" s="17"/>
      <c r="M312" s="17"/>
      <c r="N312" s="17">
        <f t="shared" si="17"/>
        <v>522900</v>
      </c>
      <c r="O312" s="10" t="s">
        <v>23</v>
      </c>
      <c r="P312" s="72"/>
      <c r="Q312" s="10" t="s">
        <v>3449</v>
      </c>
      <c r="R312" s="17"/>
      <c r="S312" s="17"/>
      <c r="T312" s="17"/>
      <c r="U312" s="17"/>
      <c r="V312" s="17"/>
      <c r="W312" s="17"/>
    </row>
    <row r="313" spans="1:23" s="20" customFormat="1">
      <c r="A313" s="975">
        <v>44519</v>
      </c>
      <c r="B313" s="10" t="s">
        <v>23</v>
      </c>
      <c r="C313" s="183" t="s">
        <v>7881</v>
      </c>
      <c r="D313" s="20" t="s">
        <v>7882</v>
      </c>
      <c r="E313" s="984" t="s">
        <v>7894</v>
      </c>
      <c r="F313" s="984" t="s">
        <v>7895</v>
      </c>
      <c r="G313" s="985">
        <v>10</v>
      </c>
      <c r="H313" s="20">
        <v>84000</v>
      </c>
      <c r="I313" s="86">
        <f t="shared" si="15"/>
        <v>840000</v>
      </c>
      <c r="J313" s="20">
        <f t="shared" si="19"/>
        <v>336000</v>
      </c>
      <c r="K313" s="171">
        <f t="shared" si="16"/>
        <v>504000</v>
      </c>
      <c r="L313" s="17"/>
      <c r="M313" s="17"/>
      <c r="N313" s="17">
        <f t="shared" si="17"/>
        <v>504000</v>
      </c>
      <c r="O313" s="10" t="s">
        <v>23</v>
      </c>
      <c r="P313" s="72"/>
      <c r="Q313" s="10" t="s">
        <v>3449</v>
      </c>
      <c r="R313" s="17"/>
      <c r="S313" s="17"/>
      <c r="T313" s="17"/>
      <c r="U313" s="17"/>
      <c r="V313" s="17"/>
      <c r="W313" s="17"/>
    </row>
    <row r="314" spans="1:23" s="20" customFormat="1">
      <c r="A314" s="975">
        <v>44519</v>
      </c>
      <c r="B314" s="10" t="s">
        <v>23</v>
      </c>
      <c r="C314" s="183" t="s">
        <v>7881</v>
      </c>
      <c r="D314" s="20" t="s">
        <v>7882</v>
      </c>
      <c r="E314" s="984" t="s">
        <v>7896</v>
      </c>
      <c r="F314" s="984" t="s">
        <v>7897</v>
      </c>
      <c r="G314" s="985">
        <v>7</v>
      </c>
      <c r="H314" s="20">
        <v>93000</v>
      </c>
      <c r="I314" s="86">
        <f t="shared" si="15"/>
        <v>651000</v>
      </c>
      <c r="J314" s="20">
        <f t="shared" si="19"/>
        <v>260400</v>
      </c>
      <c r="K314" s="171">
        <f t="shared" si="16"/>
        <v>390600</v>
      </c>
      <c r="L314" s="17"/>
      <c r="M314" s="17"/>
      <c r="N314" s="17">
        <f t="shared" si="17"/>
        <v>390600</v>
      </c>
      <c r="O314" s="10" t="s">
        <v>23</v>
      </c>
      <c r="P314" s="72"/>
      <c r="Q314" s="10" t="s">
        <v>3449</v>
      </c>
      <c r="R314" s="17"/>
      <c r="S314" s="17"/>
      <c r="T314" s="17"/>
      <c r="U314" s="17"/>
      <c r="V314" s="17"/>
      <c r="W314" s="17"/>
    </row>
    <row r="315" spans="1:23" s="20" customFormat="1">
      <c r="A315" s="975">
        <v>44519</v>
      </c>
      <c r="B315" s="10" t="s">
        <v>23</v>
      </c>
      <c r="C315" s="183" t="s">
        <v>7881</v>
      </c>
      <c r="D315" s="20" t="s">
        <v>7882</v>
      </c>
      <c r="E315" s="984" t="s">
        <v>7898</v>
      </c>
      <c r="F315" s="984" t="s">
        <v>7899</v>
      </c>
      <c r="G315" s="985">
        <v>10</v>
      </c>
      <c r="H315" s="20">
        <v>184000</v>
      </c>
      <c r="I315" s="86">
        <f t="shared" si="15"/>
        <v>1840000</v>
      </c>
      <c r="J315" s="20">
        <f t="shared" si="19"/>
        <v>736000</v>
      </c>
      <c r="K315" s="171">
        <f t="shared" si="16"/>
        <v>1104000</v>
      </c>
      <c r="L315" s="17"/>
      <c r="M315" s="17"/>
      <c r="N315" s="17">
        <f t="shared" si="17"/>
        <v>1104000</v>
      </c>
      <c r="O315" s="10" t="s">
        <v>23</v>
      </c>
      <c r="P315" s="72"/>
      <c r="Q315" s="10" t="s">
        <v>3449</v>
      </c>
      <c r="R315" s="17"/>
      <c r="S315" s="17"/>
      <c r="T315" s="17"/>
      <c r="U315" s="17"/>
      <c r="V315" s="17"/>
      <c r="W315" s="17"/>
    </row>
    <row r="316" spans="1:23" s="20" customFormat="1">
      <c r="A316" s="975">
        <v>44519</v>
      </c>
      <c r="B316" s="10" t="s">
        <v>23</v>
      </c>
      <c r="C316" s="183" t="s">
        <v>7881</v>
      </c>
      <c r="D316" s="20" t="s">
        <v>7882</v>
      </c>
      <c r="E316" s="984" t="s">
        <v>7900</v>
      </c>
      <c r="F316" s="984" t="s">
        <v>7901</v>
      </c>
      <c r="G316" s="985">
        <v>7</v>
      </c>
      <c r="H316" s="20">
        <v>88000</v>
      </c>
      <c r="I316" s="86">
        <f t="shared" si="15"/>
        <v>616000</v>
      </c>
      <c r="J316" s="20">
        <f t="shared" si="19"/>
        <v>246400</v>
      </c>
      <c r="K316" s="171">
        <f t="shared" si="16"/>
        <v>369600</v>
      </c>
      <c r="L316" s="17"/>
      <c r="M316" s="17"/>
      <c r="N316" s="17">
        <f t="shared" si="17"/>
        <v>369600</v>
      </c>
      <c r="O316" s="10" t="s">
        <v>23</v>
      </c>
      <c r="P316" s="183"/>
      <c r="Q316" s="10" t="s">
        <v>3449</v>
      </c>
      <c r="R316" s="17"/>
      <c r="S316" s="17"/>
      <c r="T316" s="17"/>
      <c r="U316" s="17"/>
      <c r="V316" s="17"/>
      <c r="W316" s="17"/>
    </row>
    <row r="317" spans="1:23" s="20" customFormat="1">
      <c r="A317" s="975">
        <v>44519</v>
      </c>
      <c r="B317" s="10" t="s">
        <v>23</v>
      </c>
      <c r="C317" s="183" t="s">
        <v>7881</v>
      </c>
      <c r="D317" s="20" t="s">
        <v>7882</v>
      </c>
      <c r="E317" s="987" t="s">
        <v>4957</v>
      </c>
      <c r="F317" s="987" t="s">
        <v>4958</v>
      </c>
      <c r="G317" s="985">
        <v>7</v>
      </c>
      <c r="H317" s="20">
        <v>56000</v>
      </c>
      <c r="I317" s="86">
        <f t="shared" si="15"/>
        <v>392000</v>
      </c>
      <c r="J317" s="20">
        <f t="shared" si="19"/>
        <v>156800</v>
      </c>
      <c r="K317" s="171">
        <f t="shared" si="16"/>
        <v>235200</v>
      </c>
      <c r="L317" s="17"/>
      <c r="M317" s="17"/>
      <c r="N317" s="17">
        <f t="shared" si="17"/>
        <v>235200</v>
      </c>
      <c r="O317" s="10" t="s">
        <v>23</v>
      </c>
      <c r="P317" s="183"/>
      <c r="Q317" s="10" t="s">
        <v>3449</v>
      </c>
      <c r="R317" s="17"/>
      <c r="S317" s="17"/>
      <c r="T317" s="17"/>
      <c r="U317" s="17"/>
      <c r="V317" s="17"/>
      <c r="W317" s="17"/>
    </row>
    <row r="318" spans="1:23" s="988" customFormat="1">
      <c r="A318" s="978">
        <v>44519</v>
      </c>
      <c r="B318" s="963" t="s">
        <v>23</v>
      </c>
      <c r="C318" s="955" t="s">
        <v>7881</v>
      </c>
      <c r="D318" s="988" t="s">
        <v>7882</v>
      </c>
      <c r="E318" s="989" t="s">
        <v>7902</v>
      </c>
      <c r="F318" s="989" t="s">
        <v>7903</v>
      </c>
      <c r="G318" s="990">
        <v>10</v>
      </c>
      <c r="H318" s="988">
        <v>8139</v>
      </c>
      <c r="I318" s="960">
        <f t="shared" si="15"/>
        <v>81390</v>
      </c>
      <c r="K318" s="171">
        <f t="shared" si="16"/>
        <v>81390</v>
      </c>
      <c r="L318" s="961"/>
      <c r="M318" s="961"/>
      <c r="N318" s="961">
        <f t="shared" si="17"/>
        <v>81390</v>
      </c>
      <c r="O318" s="963" t="s">
        <v>23</v>
      </c>
      <c r="P318" s="963"/>
      <c r="Q318" s="963" t="s">
        <v>3449</v>
      </c>
      <c r="R318" s="961"/>
      <c r="S318" s="961"/>
      <c r="T318" s="961"/>
      <c r="U318" s="961"/>
      <c r="V318" s="961"/>
      <c r="W318" s="961"/>
    </row>
    <row r="319" spans="1:23" s="988" customFormat="1">
      <c r="A319" s="978">
        <v>44519</v>
      </c>
      <c r="B319" s="963" t="s">
        <v>23</v>
      </c>
      <c r="C319" s="955" t="s">
        <v>7904</v>
      </c>
      <c r="D319" s="868" t="s">
        <v>7905</v>
      </c>
      <c r="E319" s="964" t="s">
        <v>7906</v>
      </c>
      <c r="F319" s="964" t="s">
        <v>7907</v>
      </c>
      <c r="G319" s="990">
        <v>1</v>
      </c>
      <c r="H319" s="988">
        <v>24800</v>
      </c>
      <c r="I319" s="960">
        <f t="shared" si="15"/>
        <v>24800</v>
      </c>
      <c r="K319" s="171">
        <f t="shared" si="16"/>
        <v>24800</v>
      </c>
      <c r="L319" s="961"/>
      <c r="M319" s="961"/>
      <c r="N319" s="961">
        <f t="shared" si="17"/>
        <v>24800</v>
      </c>
      <c r="O319" s="963"/>
      <c r="P319" s="963"/>
      <c r="Q319" s="963"/>
      <c r="R319" s="961"/>
      <c r="S319" s="961"/>
      <c r="T319" s="961"/>
      <c r="U319" s="961"/>
      <c r="V319" s="961"/>
      <c r="W319" s="961"/>
    </row>
    <row r="320" spans="1:23" s="20" customFormat="1">
      <c r="A320" s="991">
        <v>44522</v>
      </c>
      <c r="B320" s="76" t="s">
        <v>43</v>
      </c>
      <c r="C320" s="10" t="s">
        <v>7908</v>
      </c>
      <c r="D320" s="20" t="s">
        <v>7909</v>
      </c>
      <c r="E320" s="739" t="s">
        <v>7910</v>
      </c>
      <c r="F320" s="739" t="s">
        <v>7911</v>
      </c>
      <c r="G320" s="16">
        <v>1</v>
      </c>
      <c r="H320" s="20">
        <v>178000</v>
      </c>
      <c r="I320" s="86">
        <f t="shared" si="15"/>
        <v>178000</v>
      </c>
      <c r="K320" s="171">
        <f t="shared" si="16"/>
        <v>178000</v>
      </c>
      <c r="L320" s="17"/>
      <c r="M320" s="17">
        <v>-9968</v>
      </c>
      <c r="N320" s="17">
        <f t="shared" si="17"/>
        <v>168032</v>
      </c>
      <c r="O320" s="76" t="s">
        <v>43</v>
      </c>
      <c r="P320" s="72"/>
      <c r="Q320" s="10" t="s">
        <v>54</v>
      </c>
      <c r="R320" s="17"/>
      <c r="S320" s="17"/>
      <c r="T320" s="17"/>
      <c r="U320" s="17"/>
      <c r="V320" s="17"/>
      <c r="W320" s="17"/>
    </row>
    <row r="321" spans="1:19" s="17" customFormat="1">
      <c r="A321" s="991">
        <v>44522</v>
      </c>
      <c r="B321" s="76" t="s">
        <v>43</v>
      </c>
      <c r="C321" s="11" t="s">
        <v>7912</v>
      </c>
      <c r="D321" s="20" t="s">
        <v>7913</v>
      </c>
      <c r="E321" s="739" t="s">
        <v>993</v>
      </c>
      <c r="F321" s="739" t="s">
        <v>994</v>
      </c>
      <c r="G321" s="16">
        <v>1</v>
      </c>
      <c r="H321" s="17">
        <v>57000</v>
      </c>
      <c r="I321" s="86">
        <f t="shared" si="15"/>
        <v>57000</v>
      </c>
      <c r="K321" s="171">
        <f t="shared" si="16"/>
        <v>57000</v>
      </c>
      <c r="M321" s="17">
        <v>-3192</v>
      </c>
      <c r="N321" s="17">
        <f t="shared" si="17"/>
        <v>53808</v>
      </c>
      <c r="O321" s="76" t="s">
        <v>43</v>
      </c>
      <c r="P321" s="183"/>
      <c r="Q321" s="10" t="s">
        <v>176</v>
      </c>
    </row>
    <row r="322" spans="1:19" s="17" customFormat="1">
      <c r="A322" s="991">
        <v>44522</v>
      </c>
      <c r="B322" s="76" t="s">
        <v>43</v>
      </c>
      <c r="C322" s="11" t="s">
        <v>7914</v>
      </c>
      <c r="D322" s="20" t="s">
        <v>7915</v>
      </c>
      <c r="E322" s="76" t="s">
        <v>1351</v>
      </c>
      <c r="F322" s="76" t="s">
        <v>1352</v>
      </c>
      <c r="G322" s="16">
        <v>1</v>
      </c>
      <c r="H322" s="17">
        <v>41000</v>
      </c>
      <c r="I322" s="86">
        <f t="shared" si="15"/>
        <v>41000</v>
      </c>
      <c r="K322" s="171">
        <f t="shared" si="16"/>
        <v>41000</v>
      </c>
      <c r="M322" s="17">
        <v>-2296</v>
      </c>
      <c r="N322" s="17">
        <f t="shared" si="17"/>
        <v>38704</v>
      </c>
      <c r="O322" s="76" t="s">
        <v>43</v>
      </c>
      <c r="P322" s="860"/>
      <c r="Q322" s="10" t="s">
        <v>176</v>
      </c>
      <c r="S322" s="26"/>
    </row>
    <row r="323" spans="1:19" s="17" customFormat="1">
      <c r="A323" s="991">
        <v>44522</v>
      </c>
      <c r="B323" s="76" t="s">
        <v>43</v>
      </c>
      <c r="C323" s="10" t="s">
        <v>7916</v>
      </c>
      <c r="D323" s="20" t="s">
        <v>7917</v>
      </c>
      <c r="E323" s="76" t="s">
        <v>141</v>
      </c>
      <c r="F323" s="76" t="s">
        <v>142</v>
      </c>
      <c r="G323" s="16">
        <v>1</v>
      </c>
      <c r="H323" s="17">
        <v>68000</v>
      </c>
      <c r="I323" s="86">
        <f t="shared" si="15"/>
        <v>68000</v>
      </c>
      <c r="K323" s="171">
        <f t="shared" si="16"/>
        <v>68000</v>
      </c>
      <c r="M323" s="17">
        <v>-3808</v>
      </c>
      <c r="N323" s="17">
        <f t="shared" si="17"/>
        <v>64192</v>
      </c>
      <c r="O323" s="76" t="s">
        <v>43</v>
      </c>
      <c r="P323" s="862"/>
      <c r="Q323" s="10" t="s">
        <v>54</v>
      </c>
    </row>
    <row r="324" spans="1:19" s="17" customFormat="1">
      <c r="A324" s="991">
        <v>44522</v>
      </c>
      <c r="B324" s="76" t="s">
        <v>43</v>
      </c>
      <c r="C324" s="11" t="s">
        <v>7918</v>
      </c>
      <c r="D324" s="20" t="s">
        <v>7919</v>
      </c>
      <c r="E324" s="739" t="s">
        <v>7920</v>
      </c>
      <c r="F324" s="739" t="s">
        <v>7921</v>
      </c>
      <c r="G324" s="16">
        <v>1</v>
      </c>
      <c r="H324" s="17">
        <v>87000</v>
      </c>
      <c r="I324" s="86">
        <f t="shared" si="15"/>
        <v>87000</v>
      </c>
      <c r="K324" s="171">
        <f t="shared" ref="K324:K387" si="20">I324-J324</f>
        <v>87000</v>
      </c>
      <c r="M324" s="17">
        <v>-4872</v>
      </c>
      <c r="N324" s="17">
        <f t="shared" si="17"/>
        <v>82128</v>
      </c>
      <c r="O324" s="76" t="s">
        <v>43</v>
      </c>
      <c r="P324" s="189"/>
      <c r="Q324" s="10" t="s">
        <v>176</v>
      </c>
      <c r="S324" s="189"/>
    </row>
    <row r="325" spans="1:19" s="17" customFormat="1">
      <c r="A325" s="991">
        <v>44522</v>
      </c>
      <c r="B325" s="76" t="s">
        <v>43</v>
      </c>
      <c r="C325" s="11" t="s">
        <v>7922</v>
      </c>
      <c r="D325" s="20" t="s">
        <v>7923</v>
      </c>
      <c r="E325" s="76" t="s">
        <v>6018</v>
      </c>
      <c r="F325" s="76" t="s">
        <v>6019</v>
      </c>
      <c r="G325" s="16">
        <v>1</v>
      </c>
      <c r="H325" s="17">
        <v>88000</v>
      </c>
      <c r="I325" s="86">
        <f t="shared" ref="I325:I388" si="21">H325*G325</f>
        <v>88000</v>
      </c>
      <c r="K325" s="171">
        <f t="shared" si="20"/>
        <v>88000</v>
      </c>
      <c r="M325" s="17">
        <v>-4982</v>
      </c>
      <c r="N325" s="17">
        <f t="shared" si="17"/>
        <v>83018</v>
      </c>
      <c r="O325" s="76" t="s">
        <v>43</v>
      </c>
      <c r="P325" s="189"/>
      <c r="Q325" s="10" t="s">
        <v>176</v>
      </c>
      <c r="S325" s="189"/>
    </row>
    <row r="326" spans="1:19" s="17" customFormat="1">
      <c r="A326" s="991">
        <v>44523</v>
      </c>
      <c r="B326" s="76" t="s">
        <v>206</v>
      </c>
      <c r="C326" s="10" t="s">
        <v>7924</v>
      </c>
      <c r="D326" s="29" t="s">
        <v>7925</v>
      </c>
      <c r="E326" s="780" t="s">
        <v>7150</v>
      </c>
      <c r="F326" s="780" t="s">
        <v>7151</v>
      </c>
      <c r="G326" s="16">
        <v>1</v>
      </c>
      <c r="H326" s="17">
        <v>65500</v>
      </c>
      <c r="I326" s="86">
        <f t="shared" si="21"/>
        <v>65500</v>
      </c>
      <c r="K326" s="171">
        <f t="shared" si="20"/>
        <v>65500</v>
      </c>
      <c r="L326" s="17">
        <f>16600-16000</f>
        <v>600</v>
      </c>
      <c r="N326" s="17">
        <f t="shared" si="17"/>
        <v>66100</v>
      </c>
      <c r="O326" s="76" t="s">
        <v>206</v>
      </c>
      <c r="P326" s="183"/>
      <c r="Q326" s="10" t="s">
        <v>176</v>
      </c>
    </row>
    <row r="327" spans="1:19" s="17" customFormat="1">
      <c r="A327" s="991">
        <v>44522</v>
      </c>
      <c r="B327" s="76" t="s">
        <v>206</v>
      </c>
      <c r="C327" s="10" t="s">
        <v>7924</v>
      </c>
      <c r="D327" s="29" t="s">
        <v>7925</v>
      </c>
      <c r="E327" s="748" t="s">
        <v>2100</v>
      </c>
      <c r="F327" s="748" t="s">
        <v>2101</v>
      </c>
      <c r="G327" s="16">
        <v>1</v>
      </c>
      <c r="H327" s="17">
        <v>66500</v>
      </c>
      <c r="I327" s="86">
        <f t="shared" si="21"/>
        <v>66500</v>
      </c>
      <c r="K327" s="171">
        <f t="shared" si="20"/>
        <v>66500</v>
      </c>
      <c r="N327" s="17">
        <f t="shared" si="17"/>
        <v>66500</v>
      </c>
      <c r="O327" s="76" t="s">
        <v>206</v>
      </c>
      <c r="P327" s="183"/>
      <c r="Q327" s="10" t="s">
        <v>176</v>
      </c>
    </row>
    <row r="328" spans="1:19" s="17" customFormat="1">
      <c r="A328" s="991">
        <v>44522</v>
      </c>
      <c r="B328" s="76" t="s">
        <v>177</v>
      </c>
      <c r="C328" s="10" t="s">
        <v>7926</v>
      </c>
      <c r="D328" s="20" t="s">
        <v>7927</v>
      </c>
      <c r="E328" s="739" t="s">
        <v>3583</v>
      </c>
      <c r="F328" s="739" t="s">
        <v>7928</v>
      </c>
      <c r="G328" s="16">
        <v>1</v>
      </c>
      <c r="H328" s="17">
        <v>66000</v>
      </c>
      <c r="I328" s="86">
        <f t="shared" si="21"/>
        <v>66000</v>
      </c>
      <c r="K328" s="171">
        <f t="shared" si="20"/>
        <v>66000</v>
      </c>
      <c r="L328" s="17">
        <v>25000</v>
      </c>
      <c r="N328" s="17">
        <f t="shared" si="17"/>
        <v>91000</v>
      </c>
      <c r="O328" s="76" t="s">
        <v>177</v>
      </c>
      <c r="P328" s="183"/>
      <c r="Q328" s="10" t="s">
        <v>54</v>
      </c>
    </row>
    <row r="329" spans="1:19" s="17" customFormat="1">
      <c r="A329" s="991">
        <v>44522</v>
      </c>
      <c r="B329" s="76" t="s">
        <v>177</v>
      </c>
      <c r="C329" s="10" t="s">
        <v>7929</v>
      </c>
      <c r="D329" s="20" t="s">
        <v>7930</v>
      </c>
      <c r="E329" s="739" t="s">
        <v>7931</v>
      </c>
      <c r="F329" s="739" t="s">
        <v>7932</v>
      </c>
      <c r="G329" s="16">
        <v>1</v>
      </c>
      <c r="H329" s="17">
        <v>91500</v>
      </c>
      <c r="I329" s="86">
        <f t="shared" si="21"/>
        <v>91500</v>
      </c>
      <c r="K329" s="171">
        <f t="shared" si="20"/>
        <v>91500</v>
      </c>
      <c r="L329" s="17">
        <v>9000</v>
      </c>
      <c r="N329" s="17">
        <f t="shared" si="17"/>
        <v>100500</v>
      </c>
      <c r="O329" s="76" t="s">
        <v>177</v>
      </c>
      <c r="P329" s="864"/>
      <c r="Q329" s="10" t="s">
        <v>54</v>
      </c>
      <c r="S329" s="26"/>
    </row>
    <row r="330" spans="1:19" s="17" customFormat="1">
      <c r="A330" s="991">
        <v>44522</v>
      </c>
      <c r="B330" s="76" t="s">
        <v>313</v>
      </c>
      <c r="C330" s="11" t="s">
        <v>5930</v>
      </c>
      <c r="D330" s="92" t="s">
        <v>7787</v>
      </c>
      <c r="E330" s="992" t="s">
        <v>4500</v>
      </c>
      <c r="F330" s="992" t="s">
        <v>4501</v>
      </c>
      <c r="G330" s="16">
        <v>1</v>
      </c>
      <c r="H330" s="17">
        <v>42000</v>
      </c>
      <c r="I330" s="86">
        <f t="shared" si="21"/>
        <v>42000</v>
      </c>
      <c r="K330" s="171">
        <f t="shared" si="20"/>
        <v>42000</v>
      </c>
      <c r="L330" s="17">
        <v>64069</v>
      </c>
      <c r="N330" s="17">
        <f t="shared" si="17"/>
        <v>106069</v>
      </c>
      <c r="O330" s="76" t="s">
        <v>313</v>
      </c>
      <c r="P330" s="72"/>
      <c r="Q330" s="10" t="s">
        <v>40</v>
      </c>
    </row>
    <row r="331" spans="1:19" s="17" customFormat="1">
      <c r="A331" s="991">
        <v>44522</v>
      </c>
      <c r="B331" s="76" t="s">
        <v>313</v>
      </c>
      <c r="C331" s="11" t="s">
        <v>5930</v>
      </c>
      <c r="D331" s="92" t="s">
        <v>7787</v>
      </c>
      <c r="E331" s="993" t="s">
        <v>6695</v>
      </c>
      <c r="F331" s="993" t="s">
        <v>6696</v>
      </c>
      <c r="G331" s="16">
        <v>1</v>
      </c>
      <c r="H331" s="17">
        <v>68000</v>
      </c>
      <c r="I331" s="86">
        <f t="shared" si="21"/>
        <v>68000</v>
      </c>
      <c r="K331" s="171">
        <f t="shared" si="20"/>
        <v>68000</v>
      </c>
      <c r="N331" s="17">
        <f t="shared" si="17"/>
        <v>68000</v>
      </c>
      <c r="O331" s="76" t="s">
        <v>313</v>
      </c>
      <c r="P331" s="72"/>
      <c r="Q331" s="10" t="s">
        <v>40</v>
      </c>
    </row>
    <row r="332" spans="1:19" s="17" customFormat="1">
      <c r="A332" s="991">
        <v>44522</v>
      </c>
      <c r="B332" s="76" t="s">
        <v>313</v>
      </c>
      <c r="C332" s="11" t="s">
        <v>5930</v>
      </c>
      <c r="D332" s="92" t="s">
        <v>7787</v>
      </c>
      <c r="E332" s="993" t="s">
        <v>5623</v>
      </c>
      <c r="F332" s="993" t="s">
        <v>5624</v>
      </c>
      <c r="G332" s="16">
        <v>1</v>
      </c>
      <c r="H332" s="17">
        <v>30000</v>
      </c>
      <c r="I332" s="86">
        <f t="shared" si="21"/>
        <v>30000</v>
      </c>
      <c r="K332" s="171">
        <f t="shared" si="20"/>
        <v>30000</v>
      </c>
      <c r="N332" s="17">
        <f t="shared" si="17"/>
        <v>30000</v>
      </c>
      <c r="O332" s="76" t="s">
        <v>313</v>
      </c>
      <c r="P332" s="189"/>
      <c r="Q332" s="10" t="s">
        <v>40</v>
      </c>
      <c r="S332" s="189"/>
    </row>
    <row r="333" spans="1:19" s="17" customFormat="1">
      <c r="A333" s="991">
        <v>44522</v>
      </c>
      <c r="B333" s="76" t="s">
        <v>313</v>
      </c>
      <c r="C333" s="11" t="s">
        <v>5930</v>
      </c>
      <c r="D333" s="92" t="s">
        <v>7787</v>
      </c>
      <c r="E333" s="993" t="s">
        <v>7933</v>
      </c>
      <c r="F333" s="993" t="s">
        <v>7934</v>
      </c>
      <c r="G333" s="16">
        <v>1</v>
      </c>
      <c r="H333" s="17">
        <v>60800</v>
      </c>
      <c r="I333" s="86">
        <f t="shared" si="21"/>
        <v>60800</v>
      </c>
      <c r="K333" s="171">
        <f t="shared" si="20"/>
        <v>60800</v>
      </c>
      <c r="N333" s="17">
        <f t="shared" si="17"/>
        <v>60800</v>
      </c>
      <c r="O333" s="76" t="s">
        <v>313</v>
      </c>
      <c r="P333" s="72"/>
      <c r="Q333" s="10" t="s">
        <v>40</v>
      </c>
    </row>
    <row r="334" spans="1:19" s="17" customFormat="1">
      <c r="A334" s="991">
        <v>44522</v>
      </c>
      <c r="B334" s="76" t="s">
        <v>313</v>
      </c>
      <c r="C334" s="11" t="s">
        <v>5930</v>
      </c>
      <c r="D334" s="92" t="s">
        <v>7787</v>
      </c>
      <c r="E334" s="993" t="s">
        <v>7033</v>
      </c>
      <c r="F334" s="992" t="s">
        <v>7034</v>
      </c>
      <c r="G334" s="994">
        <v>1</v>
      </c>
      <c r="H334" s="17">
        <v>132000</v>
      </c>
      <c r="I334" s="86">
        <f t="shared" si="21"/>
        <v>132000</v>
      </c>
      <c r="K334" s="171">
        <f t="shared" si="20"/>
        <v>132000</v>
      </c>
      <c r="N334" s="17">
        <f t="shared" si="17"/>
        <v>132000</v>
      </c>
      <c r="O334" s="76" t="s">
        <v>313</v>
      </c>
      <c r="P334" s="26"/>
      <c r="Q334" s="10" t="s">
        <v>40</v>
      </c>
      <c r="S334" s="26"/>
    </row>
    <row r="335" spans="1:19" s="17" customFormat="1">
      <c r="A335" s="991">
        <v>44522</v>
      </c>
      <c r="B335" s="76" t="s">
        <v>313</v>
      </c>
      <c r="C335" s="11" t="s">
        <v>5930</v>
      </c>
      <c r="D335" s="92" t="s">
        <v>7787</v>
      </c>
      <c r="E335" s="993" t="s">
        <v>7935</v>
      </c>
      <c r="F335" s="993" t="s">
        <v>7936</v>
      </c>
      <c r="G335" s="16">
        <v>1</v>
      </c>
      <c r="H335" s="17">
        <v>136000</v>
      </c>
      <c r="I335" s="86">
        <f t="shared" si="21"/>
        <v>136000</v>
      </c>
      <c r="K335" s="171">
        <f t="shared" si="20"/>
        <v>136000</v>
      </c>
      <c r="N335" s="17">
        <f t="shared" si="17"/>
        <v>136000</v>
      </c>
      <c r="O335" s="76" t="s">
        <v>313</v>
      </c>
      <c r="P335" s="183"/>
      <c r="Q335" s="10" t="s">
        <v>40</v>
      </c>
    </row>
    <row r="336" spans="1:19" s="20" customFormat="1">
      <c r="A336" s="991">
        <v>44522</v>
      </c>
      <c r="B336" s="76" t="s">
        <v>313</v>
      </c>
      <c r="C336" s="11" t="s">
        <v>5930</v>
      </c>
      <c r="D336" s="92" t="s">
        <v>7787</v>
      </c>
      <c r="E336" s="993" t="s">
        <v>7937</v>
      </c>
      <c r="F336" s="993" t="s">
        <v>7938</v>
      </c>
      <c r="G336" s="16">
        <v>1</v>
      </c>
      <c r="H336" s="17">
        <v>85000</v>
      </c>
      <c r="I336" s="86">
        <f t="shared" si="21"/>
        <v>85000</v>
      </c>
      <c r="K336" s="171">
        <f t="shared" si="20"/>
        <v>85000</v>
      </c>
      <c r="L336" s="17"/>
      <c r="N336" s="17">
        <f t="shared" si="17"/>
        <v>85000</v>
      </c>
      <c r="O336" s="76" t="s">
        <v>313</v>
      </c>
      <c r="Q336" s="10" t="s">
        <v>40</v>
      </c>
    </row>
    <row r="337" spans="1:17" s="20" customFormat="1">
      <c r="A337" s="991">
        <v>44522</v>
      </c>
      <c r="B337" s="76" t="s">
        <v>313</v>
      </c>
      <c r="C337" s="11" t="s">
        <v>5930</v>
      </c>
      <c r="D337" s="92" t="s">
        <v>7787</v>
      </c>
      <c r="E337" s="993" t="s">
        <v>7939</v>
      </c>
      <c r="F337" s="993" t="s">
        <v>7940</v>
      </c>
      <c r="G337" s="16">
        <v>1</v>
      </c>
      <c r="H337" s="17">
        <v>68000</v>
      </c>
      <c r="I337" s="86">
        <f t="shared" si="21"/>
        <v>68000</v>
      </c>
      <c r="K337" s="171">
        <f t="shared" si="20"/>
        <v>68000</v>
      </c>
      <c r="N337" s="17">
        <f t="shared" si="17"/>
        <v>68000</v>
      </c>
      <c r="O337" s="76" t="s">
        <v>313</v>
      </c>
      <c r="Q337" s="10" t="s">
        <v>40</v>
      </c>
    </row>
    <row r="338" spans="1:17" s="20" customFormat="1">
      <c r="A338" s="991">
        <v>44522</v>
      </c>
      <c r="B338" s="76" t="s">
        <v>313</v>
      </c>
      <c r="C338" s="11" t="s">
        <v>5930</v>
      </c>
      <c r="D338" s="92" t="s">
        <v>7787</v>
      </c>
      <c r="E338" s="992" t="s">
        <v>7941</v>
      </c>
      <c r="F338" s="992" t="s">
        <v>7942</v>
      </c>
      <c r="G338" s="16">
        <v>1</v>
      </c>
      <c r="H338" s="17">
        <v>189000</v>
      </c>
      <c r="I338" s="86">
        <f t="shared" si="21"/>
        <v>189000</v>
      </c>
      <c r="K338" s="171">
        <f t="shared" si="20"/>
        <v>189000</v>
      </c>
      <c r="N338" s="17">
        <f t="shared" si="17"/>
        <v>189000</v>
      </c>
      <c r="O338" s="76" t="s">
        <v>313</v>
      </c>
      <c r="Q338" s="10" t="s">
        <v>40</v>
      </c>
    </row>
    <row r="339" spans="1:17" s="20" customFormat="1">
      <c r="A339" s="991">
        <v>44522</v>
      </c>
      <c r="B339" s="76" t="s">
        <v>313</v>
      </c>
      <c r="C339" s="11" t="s">
        <v>5930</v>
      </c>
      <c r="D339" s="92" t="s">
        <v>7787</v>
      </c>
      <c r="E339" s="993" t="s">
        <v>7323</v>
      </c>
      <c r="F339" s="993" t="s">
        <v>7324</v>
      </c>
      <c r="G339" s="16">
        <v>1</v>
      </c>
      <c r="H339" s="17">
        <v>103000</v>
      </c>
      <c r="I339" s="86">
        <f t="shared" si="21"/>
        <v>103000</v>
      </c>
      <c r="K339" s="171">
        <f t="shared" si="20"/>
        <v>103000</v>
      </c>
      <c r="N339" s="17">
        <f t="shared" si="17"/>
        <v>103000</v>
      </c>
      <c r="O339" s="76" t="s">
        <v>313</v>
      </c>
      <c r="Q339" s="10" t="s">
        <v>40</v>
      </c>
    </row>
    <row r="340" spans="1:17" s="20" customFormat="1">
      <c r="A340" s="991">
        <v>44522</v>
      </c>
      <c r="B340" s="76" t="s">
        <v>313</v>
      </c>
      <c r="C340" s="11" t="s">
        <v>5930</v>
      </c>
      <c r="D340" s="92" t="s">
        <v>7787</v>
      </c>
      <c r="E340" s="992" t="s">
        <v>4980</v>
      </c>
      <c r="F340" s="992" t="s">
        <v>4981</v>
      </c>
      <c r="G340" s="16">
        <v>1</v>
      </c>
      <c r="H340" s="17">
        <v>79000</v>
      </c>
      <c r="I340" s="86">
        <f t="shared" si="21"/>
        <v>79000</v>
      </c>
      <c r="K340" s="171">
        <f t="shared" si="20"/>
        <v>79000</v>
      </c>
      <c r="N340" s="17">
        <f t="shared" si="17"/>
        <v>79000</v>
      </c>
      <c r="O340" s="76" t="s">
        <v>313</v>
      </c>
      <c r="Q340" s="10" t="s">
        <v>40</v>
      </c>
    </row>
    <row r="341" spans="1:17" s="20" customFormat="1" ht="15.75" customHeight="1">
      <c r="A341" s="991">
        <v>44522</v>
      </c>
      <c r="B341" s="76" t="s">
        <v>313</v>
      </c>
      <c r="C341" s="11" t="s">
        <v>5930</v>
      </c>
      <c r="D341" s="92" t="s">
        <v>7787</v>
      </c>
      <c r="E341" s="992" t="s">
        <v>4061</v>
      </c>
      <c r="F341" s="992" t="s">
        <v>4062</v>
      </c>
      <c r="G341" s="16">
        <v>1</v>
      </c>
      <c r="H341" s="17">
        <v>148000</v>
      </c>
      <c r="I341" s="86">
        <f t="shared" si="21"/>
        <v>148000</v>
      </c>
      <c r="K341" s="171">
        <f t="shared" si="20"/>
        <v>148000</v>
      </c>
      <c r="N341" s="17">
        <f t="shared" si="17"/>
        <v>148000</v>
      </c>
      <c r="O341" s="76" t="s">
        <v>313</v>
      </c>
      <c r="Q341" s="10" t="s">
        <v>40</v>
      </c>
    </row>
    <row r="342" spans="1:17" s="20" customFormat="1">
      <c r="A342" s="991">
        <v>44522</v>
      </c>
      <c r="B342" s="76" t="s">
        <v>313</v>
      </c>
      <c r="C342" s="11" t="s">
        <v>5930</v>
      </c>
      <c r="D342" s="92" t="s">
        <v>7787</v>
      </c>
      <c r="E342" s="992" t="s">
        <v>6009</v>
      </c>
      <c r="F342" s="992" t="s">
        <v>891</v>
      </c>
      <c r="G342" s="16">
        <v>1</v>
      </c>
      <c r="H342" s="17">
        <v>217000</v>
      </c>
      <c r="I342" s="86">
        <f t="shared" si="21"/>
        <v>217000</v>
      </c>
      <c r="K342" s="171">
        <f t="shared" si="20"/>
        <v>217000</v>
      </c>
      <c r="N342" s="17">
        <f t="shared" si="17"/>
        <v>217000</v>
      </c>
      <c r="O342" s="76" t="s">
        <v>313</v>
      </c>
      <c r="Q342" s="10" t="s">
        <v>40</v>
      </c>
    </row>
    <row r="343" spans="1:17" s="20" customFormat="1">
      <c r="A343" s="991">
        <v>44522</v>
      </c>
      <c r="B343" s="76" t="s">
        <v>313</v>
      </c>
      <c r="C343" s="11" t="s">
        <v>5930</v>
      </c>
      <c r="D343" s="92" t="s">
        <v>7787</v>
      </c>
      <c r="E343" s="993" t="s">
        <v>85</v>
      </c>
      <c r="F343" s="993" t="s">
        <v>108</v>
      </c>
      <c r="G343" s="16">
        <v>1</v>
      </c>
      <c r="H343" s="17">
        <v>83000</v>
      </c>
      <c r="I343" s="86">
        <f t="shared" si="21"/>
        <v>83000</v>
      </c>
      <c r="K343" s="171">
        <f t="shared" si="20"/>
        <v>83000</v>
      </c>
      <c r="N343" s="17">
        <f t="shared" si="17"/>
        <v>83000</v>
      </c>
      <c r="O343" s="76" t="s">
        <v>313</v>
      </c>
      <c r="Q343" s="10" t="s">
        <v>40</v>
      </c>
    </row>
    <row r="344" spans="1:17" s="20" customFormat="1">
      <c r="A344" s="991">
        <v>44522</v>
      </c>
      <c r="B344" s="76" t="s">
        <v>313</v>
      </c>
      <c r="C344" s="11" t="s">
        <v>5930</v>
      </c>
      <c r="D344" s="92" t="s">
        <v>7787</v>
      </c>
      <c r="E344" s="993" t="s">
        <v>7943</v>
      </c>
      <c r="F344" s="993" t="s">
        <v>7944</v>
      </c>
      <c r="G344" s="16">
        <v>1</v>
      </c>
      <c r="H344" s="17">
        <v>85000</v>
      </c>
      <c r="I344" s="86">
        <f t="shared" si="21"/>
        <v>85000</v>
      </c>
      <c r="K344" s="171">
        <f t="shared" si="20"/>
        <v>85000</v>
      </c>
      <c r="N344" s="17">
        <f t="shared" si="17"/>
        <v>85000</v>
      </c>
      <c r="O344" s="76" t="s">
        <v>313</v>
      </c>
      <c r="Q344" s="10" t="s">
        <v>40</v>
      </c>
    </row>
    <row r="345" spans="1:17" s="20" customFormat="1">
      <c r="A345" s="991">
        <v>44522</v>
      </c>
      <c r="B345" s="76" t="s">
        <v>313</v>
      </c>
      <c r="C345" s="11" t="s">
        <v>7945</v>
      </c>
      <c r="D345" s="29" t="s">
        <v>7946</v>
      </c>
      <c r="E345" s="76" t="s">
        <v>7947</v>
      </c>
      <c r="F345" s="76" t="s">
        <v>6857</v>
      </c>
      <c r="G345" s="16">
        <v>1</v>
      </c>
      <c r="H345" s="17">
        <v>68500</v>
      </c>
      <c r="I345" s="86">
        <f t="shared" si="21"/>
        <v>68500</v>
      </c>
      <c r="K345" s="171">
        <f t="shared" si="20"/>
        <v>68500</v>
      </c>
      <c r="L345" s="20">
        <v>82031</v>
      </c>
      <c r="N345" s="17">
        <f t="shared" si="17"/>
        <v>150531</v>
      </c>
      <c r="O345" s="76" t="s">
        <v>313</v>
      </c>
      <c r="Q345" s="10" t="s">
        <v>40</v>
      </c>
    </row>
    <row r="346" spans="1:17" s="20" customFormat="1">
      <c r="A346" s="995">
        <v>44522</v>
      </c>
      <c r="B346" s="29" t="s">
        <v>23</v>
      </c>
      <c r="C346" s="183" t="s">
        <v>7948</v>
      </c>
      <c r="D346" s="29" t="s">
        <v>7949</v>
      </c>
      <c r="E346" s="866" t="s">
        <v>7950</v>
      </c>
      <c r="F346" s="866" t="s">
        <v>7951</v>
      </c>
      <c r="G346" s="319">
        <v>1</v>
      </c>
      <c r="H346" s="20">
        <v>78400</v>
      </c>
      <c r="I346" s="86">
        <f t="shared" si="21"/>
        <v>78400</v>
      </c>
      <c r="J346" s="20">
        <v>28625</v>
      </c>
      <c r="K346" s="171">
        <f t="shared" si="20"/>
        <v>49775</v>
      </c>
      <c r="L346" s="20">
        <v>47000</v>
      </c>
      <c r="N346" s="17">
        <f t="shared" si="17"/>
        <v>96775</v>
      </c>
      <c r="O346" s="29"/>
      <c r="Q346" s="72"/>
    </row>
    <row r="347" spans="1:17" s="20" customFormat="1">
      <c r="A347" s="995">
        <v>44522</v>
      </c>
      <c r="B347" s="29" t="s">
        <v>23</v>
      </c>
      <c r="C347" s="183" t="s">
        <v>7948</v>
      </c>
      <c r="D347" s="29" t="s">
        <v>7949</v>
      </c>
      <c r="E347" s="866" t="s">
        <v>7952</v>
      </c>
      <c r="F347" s="866" t="s">
        <v>7953</v>
      </c>
      <c r="G347" s="319">
        <v>1</v>
      </c>
      <c r="H347" s="20">
        <v>54400</v>
      </c>
      <c r="I347" s="86">
        <f t="shared" si="21"/>
        <v>54400</v>
      </c>
      <c r="J347" s="20">
        <v>28625</v>
      </c>
      <c r="K347" s="171">
        <f t="shared" si="20"/>
        <v>25775</v>
      </c>
      <c r="N347" s="17">
        <f t="shared" ref="N347:N410" si="22">K347+L347+M347</f>
        <v>25775</v>
      </c>
      <c r="O347" s="29"/>
      <c r="Q347" s="72"/>
    </row>
    <row r="348" spans="1:17" s="20" customFormat="1">
      <c r="A348" s="995">
        <v>44522</v>
      </c>
      <c r="B348" s="29" t="s">
        <v>23</v>
      </c>
      <c r="C348" s="183" t="s">
        <v>7948</v>
      </c>
      <c r="D348" s="29" t="s">
        <v>7949</v>
      </c>
      <c r="E348" s="866" t="s">
        <v>7954</v>
      </c>
      <c r="F348" s="866" t="s">
        <v>7955</v>
      </c>
      <c r="G348" s="319">
        <v>1</v>
      </c>
      <c r="H348" s="20">
        <v>52000</v>
      </c>
      <c r="I348" s="86">
        <f t="shared" si="21"/>
        <v>52000</v>
      </c>
      <c r="J348" s="20">
        <v>28625</v>
      </c>
      <c r="K348" s="171">
        <f t="shared" si="20"/>
        <v>23375</v>
      </c>
      <c r="N348" s="17">
        <f t="shared" si="22"/>
        <v>23375</v>
      </c>
      <c r="O348" s="29"/>
      <c r="Q348" s="72"/>
    </row>
    <row r="349" spans="1:17" s="20" customFormat="1">
      <c r="A349" s="991">
        <v>44523</v>
      </c>
      <c r="B349" s="76" t="s">
        <v>43</v>
      </c>
      <c r="C349" s="11" t="s">
        <v>7956</v>
      </c>
      <c r="D349" s="29" t="s">
        <v>7957</v>
      </c>
      <c r="E349" s="76" t="s">
        <v>62</v>
      </c>
      <c r="F349" s="76" t="s">
        <v>63</v>
      </c>
      <c r="G349" s="16">
        <v>1</v>
      </c>
      <c r="H349" s="20">
        <v>66000</v>
      </c>
      <c r="I349" s="86">
        <f t="shared" si="21"/>
        <v>66000</v>
      </c>
      <c r="K349" s="171">
        <f t="shared" si="20"/>
        <v>66000</v>
      </c>
      <c r="M349" s="20">
        <v>-3696</v>
      </c>
      <c r="N349" s="17">
        <f t="shared" si="22"/>
        <v>62304</v>
      </c>
      <c r="O349" s="76" t="s">
        <v>43</v>
      </c>
      <c r="Q349" s="10" t="s">
        <v>176</v>
      </c>
    </row>
    <row r="350" spans="1:17" s="20" customFormat="1">
      <c r="A350" s="991">
        <v>44523</v>
      </c>
      <c r="B350" s="76" t="s">
        <v>170</v>
      </c>
      <c r="C350" s="11" t="s">
        <v>7958</v>
      </c>
      <c r="D350" s="29" t="s">
        <v>7959</v>
      </c>
      <c r="E350" s="76" t="s">
        <v>7960</v>
      </c>
      <c r="F350" s="76" t="s">
        <v>7961</v>
      </c>
      <c r="G350" s="16">
        <v>1</v>
      </c>
      <c r="H350" s="20">
        <v>136000</v>
      </c>
      <c r="I350" s="86">
        <f t="shared" si="21"/>
        <v>136000</v>
      </c>
      <c r="K350" s="171">
        <f t="shared" si="20"/>
        <v>136000</v>
      </c>
      <c r="L350" s="20">
        <v>7000</v>
      </c>
      <c r="N350" s="17">
        <f t="shared" si="22"/>
        <v>143000</v>
      </c>
      <c r="O350" s="76" t="s">
        <v>170</v>
      </c>
      <c r="Q350" s="10" t="s">
        <v>28</v>
      </c>
    </row>
    <row r="351" spans="1:17" s="20" customFormat="1">
      <c r="A351" s="991">
        <v>44523</v>
      </c>
      <c r="B351" s="76" t="s">
        <v>177</v>
      </c>
      <c r="C351" s="10" t="s">
        <v>7962</v>
      </c>
      <c r="D351" s="20" t="s">
        <v>7963</v>
      </c>
      <c r="E351" s="739" t="s">
        <v>3439</v>
      </c>
      <c r="F351" s="739" t="s">
        <v>3440</v>
      </c>
      <c r="G351" s="16">
        <v>1</v>
      </c>
      <c r="H351" s="20">
        <v>108000</v>
      </c>
      <c r="I351" s="86">
        <f t="shared" si="21"/>
        <v>108000</v>
      </c>
      <c r="K351" s="171">
        <f t="shared" si="20"/>
        <v>108000</v>
      </c>
      <c r="L351" s="20">
        <v>90500</v>
      </c>
      <c r="N351" s="17">
        <f t="shared" si="22"/>
        <v>198500</v>
      </c>
      <c r="O351" s="76" t="s">
        <v>177</v>
      </c>
      <c r="Q351" s="10" t="s">
        <v>54</v>
      </c>
    </row>
    <row r="352" spans="1:17" s="20" customFormat="1">
      <c r="A352" s="991">
        <v>44523</v>
      </c>
      <c r="B352" s="76" t="s">
        <v>177</v>
      </c>
      <c r="C352" s="11" t="s">
        <v>7964</v>
      </c>
      <c r="D352" s="20" t="s">
        <v>7965</v>
      </c>
      <c r="E352" s="739" t="s">
        <v>884</v>
      </c>
      <c r="F352" s="739" t="s">
        <v>885</v>
      </c>
      <c r="G352" s="16">
        <v>1</v>
      </c>
      <c r="H352" s="20">
        <v>20000</v>
      </c>
      <c r="I352" s="86">
        <f t="shared" si="21"/>
        <v>20000</v>
      </c>
      <c r="K352" s="171">
        <f t="shared" si="20"/>
        <v>20000</v>
      </c>
      <c r="L352" s="20">
        <v>9000</v>
      </c>
      <c r="N352" s="17">
        <f t="shared" si="22"/>
        <v>29000</v>
      </c>
      <c r="O352" s="76" t="s">
        <v>177</v>
      </c>
      <c r="Q352" s="10" t="s">
        <v>54</v>
      </c>
    </row>
    <row r="353" spans="1:17" s="20" customFormat="1">
      <c r="A353" s="991">
        <v>44523</v>
      </c>
      <c r="B353" s="76" t="s">
        <v>177</v>
      </c>
      <c r="C353" s="10" t="s">
        <v>2330</v>
      </c>
      <c r="D353" s="20" t="s">
        <v>7966</v>
      </c>
      <c r="E353" s="739" t="s">
        <v>3439</v>
      </c>
      <c r="F353" s="739" t="s">
        <v>3440</v>
      </c>
      <c r="G353" s="16">
        <v>1</v>
      </c>
      <c r="H353" s="20">
        <v>108000</v>
      </c>
      <c r="I353" s="86">
        <f t="shared" si="21"/>
        <v>108000</v>
      </c>
      <c r="K353" s="171">
        <f t="shared" si="20"/>
        <v>108000</v>
      </c>
      <c r="L353" s="20">
        <v>27500</v>
      </c>
      <c r="N353" s="17">
        <f t="shared" si="22"/>
        <v>135500</v>
      </c>
      <c r="O353" s="76" t="s">
        <v>177</v>
      </c>
      <c r="Q353" s="10" t="s">
        <v>54</v>
      </c>
    </row>
    <row r="354" spans="1:17" s="20" customFormat="1">
      <c r="A354" s="991">
        <v>44523</v>
      </c>
      <c r="B354" s="76" t="s">
        <v>23</v>
      </c>
      <c r="C354" s="11" t="s">
        <v>7967</v>
      </c>
      <c r="D354" s="29" t="s">
        <v>7968</v>
      </c>
      <c r="E354" s="739" t="s">
        <v>7969</v>
      </c>
      <c r="F354" s="739" t="s">
        <v>7970</v>
      </c>
      <c r="G354" s="319">
        <v>1</v>
      </c>
      <c r="H354" s="20">
        <v>109000</v>
      </c>
      <c r="I354" s="86">
        <f t="shared" si="21"/>
        <v>109000</v>
      </c>
      <c r="K354" s="171">
        <f t="shared" si="20"/>
        <v>109000</v>
      </c>
      <c r="L354" s="20">
        <f>17000-10000</f>
        <v>7000</v>
      </c>
      <c r="N354" s="17">
        <f t="shared" si="22"/>
        <v>116000</v>
      </c>
      <c r="O354" s="76" t="s">
        <v>23</v>
      </c>
      <c r="Q354" s="10" t="s">
        <v>40</v>
      </c>
    </row>
    <row r="355" spans="1:17" s="20" customFormat="1">
      <c r="A355" s="991">
        <v>44523</v>
      </c>
      <c r="B355" s="76" t="s">
        <v>23</v>
      </c>
      <c r="C355" s="11" t="s">
        <v>7971</v>
      </c>
      <c r="D355" s="29" t="s">
        <v>7972</v>
      </c>
      <c r="E355" s="739" t="s">
        <v>7973</v>
      </c>
      <c r="F355" s="739" t="s">
        <v>7974</v>
      </c>
      <c r="G355" s="16">
        <v>1</v>
      </c>
      <c r="H355" s="20">
        <v>69000</v>
      </c>
      <c r="I355" s="86">
        <f t="shared" si="21"/>
        <v>69000</v>
      </c>
      <c r="K355" s="171">
        <f t="shared" si="20"/>
        <v>69000</v>
      </c>
      <c r="L355" s="20">
        <f>23000-10000</f>
        <v>13000</v>
      </c>
      <c r="N355" s="17">
        <f t="shared" si="22"/>
        <v>82000</v>
      </c>
      <c r="O355" s="76" t="s">
        <v>23</v>
      </c>
      <c r="Q355" s="10" t="s">
        <v>54</v>
      </c>
    </row>
    <row r="356" spans="1:17" s="20" customFormat="1">
      <c r="A356" s="991">
        <v>44523</v>
      </c>
      <c r="B356" s="76" t="s">
        <v>43</v>
      </c>
      <c r="C356" s="11" t="s">
        <v>7975</v>
      </c>
      <c r="D356" s="29" t="s">
        <v>7976</v>
      </c>
      <c r="E356" s="76" t="s">
        <v>1351</v>
      </c>
      <c r="F356" s="76" t="s">
        <v>1352</v>
      </c>
      <c r="G356" s="16">
        <v>1</v>
      </c>
      <c r="H356" s="20">
        <v>41000</v>
      </c>
      <c r="I356" s="86">
        <f t="shared" si="21"/>
        <v>41000</v>
      </c>
      <c r="K356" s="171">
        <f t="shared" si="20"/>
        <v>41000</v>
      </c>
      <c r="M356" s="20">
        <v>-2296</v>
      </c>
      <c r="N356" s="17">
        <f t="shared" si="22"/>
        <v>38704</v>
      </c>
      <c r="O356" s="76" t="s">
        <v>43</v>
      </c>
      <c r="Q356" s="10" t="s">
        <v>54</v>
      </c>
    </row>
    <row r="357" spans="1:17" s="20" customFormat="1">
      <c r="A357" s="991">
        <v>44523</v>
      </c>
      <c r="B357" s="76" t="s">
        <v>43</v>
      </c>
      <c r="C357" s="11" t="s">
        <v>7977</v>
      </c>
      <c r="D357" s="29" t="s">
        <v>7978</v>
      </c>
      <c r="E357" s="914" t="s">
        <v>1302</v>
      </c>
      <c r="F357" s="914" t="s">
        <v>1303</v>
      </c>
      <c r="G357" s="16">
        <v>1</v>
      </c>
      <c r="H357" s="20">
        <v>220000</v>
      </c>
      <c r="I357" s="86">
        <f t="shared" si="21"/>
        <v>220000</v>
      </c>
      <c r="J357" s="20">
        <f>I357*15%</f>
        <v>33000</v>
      </c>
      <c r="K357" s="171">
        <f t="shared" si="20"/>
        <v>187000</v>
      </c>
      <c r="L357" s="20">
        <v>1000</v>
      </c>
      <c r="M357" s="20">
        <v>-20135</v>
      </c>
      <c r="N357" s="17">
        <f t="shared" si="22"/>
        <v>167865</v>
      </c>
      <c r="O357" s="76" t="s">
        <v>43</v>
      </c>
      <c r="Q357" s="10" t="s">
        <v>54</v>
      </c>
    </row>
    <row r="358" spans="1:17" s="20" customFormat="1">
      <c r="A358" s="991">
        <v>44523</v>
      </c>
      <c r="B358" s="76" t="s">
        <v>43</v>
      </c>
      <c r="C358" s="11" t="s">
        <v>7977</v>
      </c>
      <c r="D358" s="29" t="s">
        <v>7979</v>
      </c>
      <c r="E358" s="914" t="s">
        <v>773</v>
      </c>
      <c r="F358" s="914" t="s">
        <v>774</v>
      </c>
      <c r="G358" s="16">
        <v>1</v>
      </c>
      <c r="H358" s="20">
        <v>96000</v>
      </c>
      <c r="I358" s="86">
        <f t="shared" si="21"/>
        <v>96000</v>
      </c>
      <c r="J358" s="20">
        <f t="shared" ref="J358:J359" si="23">I358*15%</f>
        <v>14400</v>
      </c>
      <c r="K358" s="171">
        <f t="shared" si="20"/>
        <v>81600</v>
      </c>
      <c r="N358" s="17">
        <f t="shared" si="22"/>
        <v>81600</v>
      </c>
      <c r="O358" s="76" t="s">
        <v>43</v>
      </c>
      <c r="Q358" s="10" t="s">
        <v>54</v>
      </c>
    </row>
    <row r="359" spans="1:17" s="20" customFormat="1">
      <c r="A359" s="991">
        <v>44523</v>
      </c>
      <c r="B359" s="76" t="s">
        <v>43</v>
      </c>
      <c r="C359" s="11" t="s">
        <v>7977</v>
      </c>
      <c r="D359" s="29" t="s">
        <v>7980</v>
      </c>
      <c r="E359" s="909" t="s">
        <v>7065</v>
      </c>
      <c r="F359" s="909" t="s">
        <v>7066</v>
      </c>
      <c r="G359" s="16">
        <v>1</v>
      </c>
      <c r="H359" s="20">
        <v>107000</v>
      </c>
      <c r="I359" s="86">
        <f t="shared" si="21"/>
        <v>107000</v>
      </c>
      <c r="J359" s="20">
        <f t="shared" si="23"/>
        <v>16050</v>
      </c>
      <c r="K359" s="171">
        <f t="shared" si="20"/>
        <v>90950</v>
      </c>
      <c r="N359" s="17">
        <f t="shared" si="22"/>
        <v>90950</v>
      </c>
      <c r="O359" s="76" t="s">
        <v>43</v>
      </c>
      <c r="Q359" s="10" t="s">
        <v>54</v>
      </c>
    </row>
    <row r="360" spans="1:17" s="20" customFormat="1" ht="15.6">
      <c r="A360" s="991">
        <v>44523</v>
      </c>
      <c r="B360" s="282" t="s">
        <v>23</v>
      </c>
      <c r="C360" s="283" t="s">
        <v>7981</v>
      </c>
      <c r="D360" s="29" t="s">
        <v>7982</v>
      </c>
      <c r="E360" s="984" t="s">
        <v>1440</v>
      </c>
      <c r="F360" s="984" t="s">
        <v>1441</v>
      </c>
      <c r="G360" s="319">
        <v>2</v>
      </c>
      <c r="H360" s="996">
        <v>64000</v>
      </c>
      <c r="I360" s="86">
        <f t="shared" si="21"/>
        <v>128000</v>
      </c>
      <c r="J360" s="20">
        <f>I360*45%</f>
        <v>57600</v>
      </c>
      <c r="K360" s="171">
        <f t="shared" si="20"/>
        <v>70400</v>
      </c>
      <c r="N360" s="17">
        <f t="shared" si="22"/>
        <v>70400</v>
      </c>
      <c r="O360" s="282" t="s">
        <v>23</v>
      </c>
      <c r="Q360" s="10" t="s">
        <v>54</v>
      </c>
    </row>
    <row r="361" spans="1:17" s="20" customFormat="1" ht="15.6">
      <c r="A361" s="991">
        <v>44523</v>
      </c>
      <c r="B361" s="282" t="s">
        <v>23</v>
      </c>
      <c r="C361" s="283" t="s">
        <v>7981</v>
      </c>
      <c r="D361" s="29" t="s">
        <v>7982</v>
      </c>
      <c r="E361" s="984" t="s">
        <v>1442</v>
      </c>
      <c r="F361" s="984" t="s">
        <v>126</v>
      </c>
      <c r="G361" s="319">
        <v>2</v>
      </c>
      <c r="H361" s="996">
        <v>64000</v>
      </c>
      <c r="I361" s="86">
        <f t="shared" si="21"/>
        <v>128000</v>
      </c>
      <c r="J361" s="20">
        <f t="shared" ref="J361:J424" si="24">I361*45%</f>
        <v>57600</v>
      </c>
      <c r="K361" s="171">
        <f t="shared" si="20"/>
        <v>70400</v>
      </c>
      <c r="N361" s="17">
        <f t="shared" si="22"/>
        <v>70400</v>
      </c>
      <c r="O361" s="282" t="s">
        <v>23</v>
      </c>
      <c r="Q361" s="10" t="s">
        <v>54</v>
      </c>
    </row>
    <row r="362" spans="1:17" s="20" customFormat="1" ht="15.6">
      <c r="A362" s="991">
        <v>44523</v>
      </c>
      <c r="B362" s="282" t="s">
        <v>23</v>
      </c>
      <c r="C362" s="283" t="s">
        <v>7981</v>
      </c>
      <c r="D362" s="29" t="s">
        <v>7982</v>
      </c>
      <c r="E362" s="984" t="s">
        <v>7983</v>
      </c>
      <c r="F362" s="984" t="s">
        <v>1441</v>
      </c>
      <c r="G362" s="319">
        <v>2</v>
      </c>
      <c r="H362" s="996">
        <v>68000</v>
      </c>
      <c r="I362" s="86">
        <f t="shared" si="21"/>
        <v>136000</v>
      </c>
      <c r="J362" s="20">
        <f t="shared" si="24"/>
        <v>61200</v>
      </c>
      <c r="K362" s="171">
        <f t="shared" si="20"/>
        <v>74800</v>
      </c>
      <c r="N362" s="17">
        <f t="shared" si="22"/>
        <v>74800</v>
      </c>
      <c r="O362" s="282" t="s">
        <v>23</v>
      </c>
      <c r="Q362" s="10" t="s">
        <v>54</v>
      </c>
    </row>
    <row r="363" spans="1:17" s="20" customFormat="1" ht="15.6">
      <c r="A363" s="991">
        <v>44523</v>
      </c>
      <c r="B363" s="282" t="s">
        <v>23</v>
      </c>
      <c r="C363" s="283" t="s">
        <v>7981</v>
      </c>
      <c r="D363" s="29" t="s">
        <v>7982</v>
      </c>
      <c r="E363" s="984" t="s">
        <v>7984</v>
      </c>
      <c r="F363" s="987" t="s">
        <v>7985</v>
      </c>
      <c r="G363" s="319">
        <v>2</v>
      </c>
      <c r="H363" s="997">
        <v>74000</v>
      </c>
      <c r="I363" s="86">
        <f t="shared" si="21"/>
        <v>148000</v>
      </c>
      <c r="J363" s="20">
        <f t="shared" si="24"/>
        <v>66600</v>
      </c>
      <c r="K363" s="171">
        <f t="shared" si="20"/>
        <v>81400</v>
      </c>
      <c r="N363" s="17">
        <f t="shared" si="22"/>
        <v>81400</v>
      </c>
      <c r="O363" s="282" t="s">
        <v>23</v>
      </c>
      <c r="Q363" s="10" t="s">
        <v>54</v>
      </c>
    </row>
    <row r="364" spans="1:17" s="20" customFormat="1" ht="15.6">
      <c r="A364" s="991">
        <v>44523</v>
      </c>
      <c r="B364" s="282" t="s">
        <v>23</v>
      </c>
      <c r="C364" s="283" t="s">
        <v>7981</v>
      </c>
      <c r="D364" s="29" t="s">
        <v>7982</v>
      </c>
      <c r="E364" s="984" t="s">
        <v>7986</v>
      </c>
      <c r="F364" s="984" t="s">
        <v>126</v>
      </c>
      <c r="G364" s="319">
        <v>2</v>
      </c>
      <c r="H364" s="996">
        <v>63500</v>
      </c>
      <c r="I364" s="86">
        <f t="shared" si="21"/>
        <v>127000</v>
      </c>
      <c r="J364" s="20">
        <f t="shared" si="24"/>
        <v>57150</v>
      </c>
      <c r="K364" s="171">
        <f t="shared" si="20"/>
        <v>69850</v>
      </c>
      <c r="N364" s="17">
        <f t="shared" si="22"/>
        <v>69850</v>
      </c>
      <c r="O364" s="282" t="s">
        <v>23</v>
      </c>
      <c r="Q364" s="10" t="s">
        <v>54</v>
      </c>
    </row>
    <row r="365" spans="1:17" s="20" customFormat="1" ht="15.6">
      <c r="A365" s="991">
        <v>44523</v>
      </c>
      <c r="B365" s="282" t="s">
        <v>23</v>
      </c>
      <c r="C365" s="283" t="s">
        <v>7981</v>
      </c>
      <c r="D365" s="29" t="s">
        <v>7982</v>
      </c>
      <c r="E365" s="984" t="s">
        <v>7986</v>
      </c>
      <c r="F365" s="984" t="s">
        <v>126</v>
      </c>
      <c r="G365" s="319">
        <v>2</v>
      </c>
      <c r="H365" s="996">
        <v>63500</v>
      </c>
      <c r="I365" s="86">
        <f t="shared" si="21"/>
        <v>127000</v>
      </c>
      <c r="J365" s="20">
        <f t="shared" si="24"/>
        <v>57150</v>
      </c>
      <c r="K365" s="171">
        <f t="shared" si="20"/>
        <v>69850</v>
      </c>
      <c r="N365" s="17">
        <f t="shared" si="22"/>
        <v>69850</v>
      </c>
      <c r="O365" s="282" t="s">
        <v>23</v>
      </c>
      <c r="Q365" s="10" t="s">
        <v>54</v>
      </c>
    </row>
    <row r="366" spans="1:17" s="20" customFormat="1">
      <c r="A366" s="991">
        <v>44523</v>
      </c>
      <c r="B366" s="282" t="s">
        <v>23</v>
      </c>
      <c r="C366" s="283" t="s">
        <v>7981</v>
      </c>
      <c r="D366" s="29" t="s">
        <v>7982</v>
      </c>
      <c r="E366" s="984" t="s">
        <v>1954</v>
      </c>
      <c r="F366" s="987" t="s">
        <v>1955</v>
      </c>
      <c r="G366" s="319">
        <v>2</v>
      </c>
      <c r="H366" s="998">
        <v>100000</v>
      </c>
      <c r="I366" s="86">
        <f t="shared" si="21"/>
        <v>200000</v>
      </c>
      <c r="J366" s="20">
        <f t="shared" si="24"/>
        <v>90000</v>
      </c>
      <c r="K366" s="171">
        <f t="shared" si="20"/>
        <v>110000</v>
      </c>
      <c r="N366" s="17">
        <f t="shared" si="22"/>
        <v>110000</v>
      </c>
      <c r="O366" s="282" t="s">
        <v>23</v>
      </c>
      <c r="Q366" s="10" t="s">
        <v>54</v>
      </c>
    </row>
    <row r="367" spans="1:17" s="20" customFormat="1">
      <c r="A367" s="991">
        <v>44523</v>
      </c>
      <c r="B367" s="282" t="s">
        <v>23</v>
      </c>
      <c r="C367" s="283" t="s">
        <v>7981</v>
      </c>
      <c r="D367" s="29" t="s">
        <v>7982</v>
      </c>
      <c r="E367" s="984" t="s">
        <v>4279</v>
      </c>
      <c r="F367" s="987" t="s">
        <v>4280</v>
      </c>
      <c r="G367" s="319">
        <v>2</v>
      </c>
      <c r="H367" s="998">
        <v>142000</v>
      </c>
      <c r="I367" s="86">
        <f t="shared" si="21"/>
        <v>284000</v>
      </c>
      <c r="J367" s="20">
        <f t="shared" si="24"/>
        <v>127800</v>
      </c>
      <c r="K367" s="171">
        <f t="shared" si="20"/>
        <v>156200</v>
      </c>
      <c r="N367" s="17">
        <f t="shared" si="22"/>
        <v>156200</v>
      </c>
      <c r="O367" s="282" t="s">
        <v>23</v>
      </c>
      <c r="Q367" s="10" t="s">
        <v>54</v>
      </c>
    </row>
    <row r="368" spans="1:17" s="20" customFormat="1">
      <c r="A368" s="991">
        <v>44523</v>
      </c>
      <c r="B368" s="282" t="s">
        <v>23</v>
      </c>
      <c r="C368" s="283" t="s">
        <v>7981</v>
      </c>
      <c r="D368" s="29" t="s">
        <v>7982</v>
      </c>
      <c r="E368" s="984" t="s">
        <v>2667</v>
      </c>
      <c r="F368" s="987" t="s">
        <v>2668</v>
      </c>
      <c r="G368" s="319">
        <v>2</v>
      </c>
      <c r="H368" s="998">
        <v>127000</v>
      </c>
      <c r="I368" s="86">
        <f t="shared" si="21"/>
        <v>254000</v>
      </c>
      <c r="J368" s="20">
        <f t="shared" si="24"/>
        <v>114300</v>
      </c>
      <c r="K368" s="171">
        <f t="shared" si="20"/>
        <v>139700</v>
      </c>
      <c r="N368" s="17">
        <f t="shared" si="22"/>
        <v>139700</v>
      </c>
      <c r="O368" s="282" t="s">
        <v>23</v>
      </c>
      <c r="Q368" s="10" t="s">
        <v>54</v>
      </c>
    </row>
    <row r="369" spans="1:17" s="20" customFormat="1">
      <c r="A369" s="991">
        <v>44523</v>
      </c>
      <c r="B369" s="282" t="s">
        <v>23</v>
      </c>
      <c r="C369" s="283" t="s">
        <v>7981</v>
      </c>
      <c r="D369" s="29" t="s">
        <v>7982</v>
      </c>
      <c r="E369" s="984" t="s">
        <v>7987</v>
      </c>
      <c r="F369" s="987" t="s">
        <v>7988</v>
      </c>
      <c r="G369" s="319">
        <v>2</v>
      </c>
      <c r="H369" s="998">
        <v>97000</v>
      </c>
      <c r="I369" s="86">
        <f t="shared" si="21"/>
        <v>194000</v>
      </c>
      <c r="J369" s="20">
        <f t="shared" si="24"/>
        <v>87300</v>
      </c>
      <c r="K369" s="171">
        <f t="shared" si="20"/>
        <v>106700</v>
      </c>
      <c r="N369" s="17">
        <f t="shared" si="22"/>
        <v>106700</v>
      </c>
      <c r="O369" s="282" t="s">
        <v>23</v>
      </c>
      <c r="Q369" s="10" t="s">
        <v>54</v>
      </c>
    </row>
    <row r="370" spans="1:17" s="20" customFormat="1">
      <c r="A370" s="991">
        <v>44523</v>
      </c>
      <c r="B370" s="282" t="s">
        <v>23</v>
      </c>
      <c r="C370" s="283" t="s">
        <v>7981</v>
      </c>
      <c r="D370" s="29" t="s">
        <v>7982</v>
      </c>
      <c r="E370" s="984" t="s">
        <v>7989</v>
      </c>
      <c r="F370" s="984" t="s">
        <v>7990</v>
      </c>
      <c r="G370" s="319">
        <v>2</v>
      </c>
      <c r="H370" s="998">
        <v>66000</v>
      </c>
      <c r="I370" s="86">
        <f t="shared" si="21"/>
        <v>132000</v>
      </c>
      <c r="J370" s="20">
        <f t="shared" si="24"/>
        <v>59400</v>
      </c>
      <c r="K370" s="171">
        <f t="shared" si="20"/>
        <v>72600</v>
      </c>
      <c r="N370" s="17">
        <f t="shared" si="22"/>
        <v>72600</v>
      </c>
      <c r="O370" s="282" t="s">
        <v>23</v>
      </c>
      <c r="Q370" s="10" t="s">
        <v>54</v>
      </c>
    </row>
    <row r="371" spans="1:17" s="20" customFormat="1">
      <c r="A371" s="991">
        <v>44523</v>
      </c>
      <c r="B371" s="282" t="s">
        <v>23</v>
      </c>
      <c r="C371" s="283" t="s">
        <v>7981</v>
      </c>
      <c r="D371" s="29" t="s">
        <v>7982</v>
      </c>
      <c r="E371" s="984" t="s">
        <v>5481</v>
      </c>
      <c r="F371" s="984" t="s">
        <v>5482</v>
      </c>
      <c r="G371" s="319">
        <v>2</v>
      </c>
      <c r="H371" s="998">
        <v>60000</v>
      </c>
      <c r="I371" s="86">
        <f t="shared" si="21"/>
        <v>120000</v>
      </c>
      <c r="J371" s="20">
        <f t="shared" si="24"/>
        <v>54000</v>
      </c>
      <c r="K371" s="171">
        <f t="shared" si="20"/>
        <v>66000</v>
      </c>
      <c r="N371" s="17">
        <f t="shared" si="22"/>
        <v>66000</v>
      </c>
      <c r="O371" s="282" t="s">
        <v>23</v>
      </c>
      <c r="Q371" s="10" t="s">
        <v>54</v>
      </c>
    </row>
    <row r="372" spans="1:17" s="20" customFormat="1">
      <c r="A372" s="991">
        <v>44523</v>
      </c>
      <c r="B372" s="282" t="s">
        <v>23</v>
      </c>
      <c r="C372" s="283" t="s">
        <v>7981</v>
      </c>
      <c r="D372" s="29" t="s">
        <v>7982</v>
      </c>
      <c r="E372" s="984" t="s">
        <v>7991</v>
      </c>
      <c r="F372" s="987" t="s">
        <v>7992</v>
      </c>
      <c r="G372" s="319">
        <v>2</v>
      </c>
      <c r="H372" s="998">
        <v>90000</v>
      </c>
      <c r="I372" s="86">
        <f t="shared" si="21"/>
        <v>180000</v>
      </c>
      <c r="J372" s="20">
        <f t="shared" si="24"/>
        <v>81000</v>
      </c>
      <c r="K372" s="171">
        <f t="shared" si="20"/>
        <v>99000</v>
      </c>
      <c r="N372" s="17">
        <f t="shared" si="22"/>
        <v>99000</v>
      </c>
      <c r="O372" s="282" t="s">
        <v>23</v>
      </c>
      <c r="Q372" s="10" t="s">
        <v>54</v>
      </c>
    </row>
    <row r="373" spans="1:17" s="20" customFormat="1">
      <c r="A373" s="991">
        <v>44523</v>
      </c>
      <c r="B373" s="282" t="s">
        <v>23</v>
      </c>
      <c r="C373" s="283" t="s">
        <v>7981</v>
      </c>
      <c r="D373" s="29" t="s">
        <v>7982</v>
      </c>
      <c r="E373" s="984" t="s">
        <v>4319</v>
      </c>
      <c r="F373" s="987" t="s">
        <v>4320</v>
      </c>
      <c r="G373" s="319">
        <v>2</v>
      </c>
      <c r="H373" s="998">
        <v>131000</v>
      </c>
      <c r="I373" s="86">
        <f t="shared" si="21"/>
        <v>262000</v>
      </c>
      <c r="J373" s="20">
        <f t="shared" si="24"/>
        <v>117900</v>
      </c>
      <c r="K373" s="171">
        <f t="shared" si="20"/>
        <v>144100</v>
      </c>
      <c r="N373" s="17">
        <f t="shared" si="22"/>
        <v>144100</v>
      </c>
      <c r="O373" s="282" t="s">
        <v>23</v>
      </c>
      <c r="Q373" s="10" t="s">
        <v>54</v>
      </c>
    </row>
    <row r="374" spans="1:17" s="20" customFormat="1">
      <c r="A374" s="991">
        <v>44523</v>
      </c>
      <c r="B374" s="282" t="s">
        <v>23</v>
      </c>
      <c r="C374" s="283" t="s">
        <v>7981</v>
      </c>
      <c r="D374" s="29" t="s">
        <v>7982</v>
      </c>
      <c r="E374" s="984" t="s">
        <v>7993</v>
      </c>
      <c r="F374" s="987" t="s">
        <v>7994</v>
      </c>
      <c r="G374" s="319">
        <v>2</v>
      </c>
      <c r="H374" s="998">
        <v>134000</v>
      </c>
      <c r="I374" s="86">
        <f t="shared" si="21"/>
        <v>268000</v>
      </c>
      <c r="J374" s="20">
        <f t="shared" si="24"/>
        <v>120600</v>
      </c>
      <c r="K374" s="171">
        <f t="shared" si="20"/>
        <v>147400</v>
      </c>
      <c r="N374" s="17">
        <f t="shared" si="22"/>
        <v>147400</v>
      </c>
      <c r="O374" s="282" t="s">
        <v>23</v>
      </c>
      <c r="Q374" s="10" t="s">
        <v>54</v>
      </c>
    </row>
    <row r="375" spans="1:17" s="20" customFormat="1">
      <c r="A375" s="991">
        <v>44523</v>
      </c>
      <c r="B375" s="282" t="s">
        <v>23</v>
      </c>
      <c r="C375" s="283" t="s">
        <v>7981</v>
      </c>
      <c r="D375" s="29" t="s">
        <v>7982</v>
      </c>
      <c r="E375" s="984" t="s">
        <v>7995</v>
      </c>
      <c r="F375" s="984" t="s">
        <v>7996</v>
      </c>
      <c r="G375" s="319">
        <v>2</v>
      </c>
      <c r="H375" s="998">
        <v>163000</v>
      </c>
      <c r="I375" s="86">
        <f t="shared" si="21"/>
        <v>326000</v>
      </c>
      <c r="J375" s="20">
        <f t="shared" si="24"/>
        <v>146700</v>
      </c>
      <c r="K375" s="171">
        <f t="shared" si="20"/>
        <v>179300</v>
      </c>
      <c r="N375" s="17">
        <f t="shared" si="22"/>
        <v>179300</v>
      </c>
      <c r="O375" s="282" t="s">
        <v>23</v>
      </c>
      <c r="Q375" s="10" t="s">
        <v>54</v>
      </c>
    </row>
    <row r="376" spans="1:17" s="20" customFormat="1">
      <c r="A376" s="991">
        <v>44523</v>
      </c>
      <c r="B376" s="282" t="s">
        <v>23</v>
      </c>
      <c r="C376" s="283" t="s">
        <v>7981</v>
      </c>
      <c r="D376" s="29" t="s">
        <v>7982</v>
      </c>
      <c r="E376" s="984" t="s">
        <v>7997</v>
      </c>
      <c r="F376" s="984" t="s">
        <v>2353</v>
      </c>
      <c r="G376" s="319">
        <v>2</v>
      </c>
      <c r="H376" s="998">
        <v>169000</v>
      </c>
      <c r="I376" s="86">
        <f t="shared" si="21"/>
        <v>338000</v>
      </c>
      <c r="J376" s="20">
        <f t="shared" si="24"/>
        <v>152100</v>
      </c>
      <c r="K376" s="171">
        <f t="shared" si="20"/>
        <v>185900</v>
      </c>
      <c r="N376" s="17">
        <f t="shared" si="22"/>
        <v>185900</v>
      </c>
      <c r="O376" s="282" t="s">
        <v>23</v>
      </c>
      <c r="Q376" s="10" t="s">
        <v>54</v>
      </c>
    </row>
    <row r="377" spans="1:17" s="20" customFormat="1">
      <c r="A377" s="991">
        <v>44523</v>
      </c>
      <c r="B377" s="282" t="s">
        <v>23</v>
      </c>
      <c r="C377" s="283" t="s">
        <v>7981</v>
      </c>
      <c r="D377" s="29" t="s">
        <v>7982</v>
      </c>
      <c r="E377" s="984" t="s">
        <v>4370</v>
      </c>
      <c r="F377" s="987" t="s">
        <v>4371</v>
      </c>
      <c r="G377" s="319">
        <v>2</v>
      </c>
      <c r="H377" s="998">
        <v>100000</v>
      </c>
      <c r="I377" s="86">
        <f t="shared" si="21"/>
        <v>200000</v>
      </c>
      <c r="J377" s="20">
        <f t="shared" si="24"/>
        <v>90000</v>
      </c>
      <c r="K377" s="171">
        <f t="shared" si="20"/>
        <v>110000</v>
      </c>
      <c r="N377" s="17">
        <f t="shared" si="22"/>
        <v>110000</v>
      </c>
      <c r="O377" s="282" t="s">
        <v>23</v>
      </c>
      <c r="Q377" s="10" t="s">
        <v>54</v>
      </c>
    </row>
    <row r="378" spans="1:17" s="20" customFormat="1">
      <c r="A378" s="991">
        <v>44523</v>
      </c>
      <c r="B378" s="282" t="s">
        <v>23</v>
      </c>
      <c r="C378" s="283" t="s">
        <v>7981</v>
      </c>
      <c r="D378" s="29" t="s">
        <v>7982</v>
      </c>
      <c r="E378" s="984" t="s">
        <v>7998</v>
      </c>
      <c r="F378" s="984" t="s">
        <v>7999</v>
      </c>
      <c r="G378" s="319">
        <v>2</v>
      </c>
      <c r="H378" s="998">
        <v>92000</v>
      </c>
      <c r="I378" s="86">
        <f t="shared" si="21"/>
        <v>184000</v>
      </c>
      <c r="J378" s="20">
        <f t="shared" si="24"/>
        <v>82800</v>
      </c>
      <c r="K378" s="171">
        <f t="shared" si="20"/>
        <v>101200</v>
      </c>
      <c r="N378" s="17">
        <f t="shared" si="22"/>
        <v>101200</v>
      </c>
      <c r="O378" s="282" t="s">
        <v>23</v>
      </c>
      <c r="Q378" s="10" t="s">
        <v>54</v>
      </c>
    </row>
    <row r="379" spans="1:17" s="20" customFormat="1">
      <c r="A379" s="991">
        <v>44523</v>
      </c>
      <c r="B379" s="282" t="s">
        <v>23</v>
      </c>
      <c r="C379" s="283" t="s">
        <v>7981</v>
      </c>
      <c r="D379" s="29" t="s">
        <v>7982</v>
      </c>
      <c r="E379" s="984" t="s">
        <v>6334</v>
      </c>
      <c r="F379" s="987" t="s">
        <v>6335</v>
      </c>
      <c r="G379" s="319">
        <v>2</v>
      </c>
      <c r="H379" s="998">
        <v>145000</v>
      </c>
      <c r="I379" s="86">
        <f t="shared" si="21"/>
        <v>290000</v>
      </c>
      <c r="J379" s="20">
        <f t="shared" si="24"/>
        <v>130500</v>
      </c>
      <c r="K379" s="171">
        <f t="shared" si="20"/>
        <v>159500</v>
      </c>
      <c r="N379" s="17">
        <f t="shared" si="22"/>
        <v>159500</v>
      </c>
      <c r="O379" s="282" t="s">
        <v>23</v>
      </c>
      <c r="Q379" s="10" t="s">
        <v>54</v>
      </c>
    </row>
    <row r="380" spans="1:17" s="20" customFormat="1">
      <c r="A380" s="991">
        <v>44523</v>
      </c>
      <c r="B380" s="282" t="s">
        <v>23</v>
      </c>
      <c r="C380" s="283" t="s">
        <v>7981</v>
      </c>
      <c r="D380" s="29" t="s">
        <v>7982</v>
      </c>
      <c r="E380" s="984" t="s">
        <v>8000</v>
      </c>
      <c r="F380" s="987" t="s">
        <v>7664</v>
      </c>
      <c r="G380" s="319">
        <v>2</v>
      </c>
      <c r="H380" s="998">
        <v>295000</v>
      </c>
      <c r="I380" s="86">
        <f t="shared" si="21"/>
        <v>590000</v>
      </c>
      <c r="J380" s="20">
        <f t="shared" si="24"/>
        <v>265500</v>
      </c>
      <c r="K380" s="171">
        <f t="shared" si="20"/>
        <v>324500</v>
      </c>
      <c r="N380" s="17">
        <f t="shared" si="22"/>
        <v>324500</v>
      </c>
      <c r="O380" s="282" t="s">
        <v>23</v>
      </c>
      <c r="Q380" s="10" t="s">
        <v>54</v>
      </c>
    </row>
    <row r="381" spans="1:17" s="20" customFormat="1">
      <c r="A381" s="991">
        <v>44523</v>
      </c>
      <c r="B381" s="282" t="s">
        <v>23</v>
      </c>
      <c r="C381" s="283" t="s">
        <v>7981</v>
      </c>
      <c r="D381" s="29" t="s">
        <v>7982</v>
      </c>
      <c r="E381" s="984" t="s">
        <v>5239</v>
      </c>
      <c r="F381" s="984" t="s">
        <v>5240</v>
      </c>
      <c r="G381" s="319">
        <v>2</v>
      </c>
      <c r="H381" s="998">
        <v>158000</v>
      </c>
      <c r="I381" s="86">
        <f t="shared" si="21"/>
        <v>316000</v>
      </c>
      <c r="J381" s="20">
        <f t="shared" si="24"/>
        <v>142200</v>
      </c>
      <c r="K381" s="171">
        <f t="shared" si="20"/>
        <v>173800</v>
      </c>
      <c r="N381" s="17">
        <f t="shared" si="22"/>
        <v>173800</v>
      </c>
      <c r="O381" s="282" t="s">
        <v>23</v>
      </c>
      <c r="Q381" s="10" t="s">
        <v>54</v>
      </c>
    </row>
    <row r="382" spans="1:17" s="20" customFormat="1">
      <c r="A382" s="991">
        <v>44523</v>
      </c>
      <c r="B382" s="282" t="s">
        <v>23</v>
      </c>
      <c r="C382" s="283" t="s">
        <v>7981</v>
      </c>
      <c r="D382" s="29" t="s">
        <v>7982</v>
      </c>
      <c r="E382" s="984" t="s">
        <v>8001</v>
      </c>
      <c r="F382" s="987" t="s">
        <v>8002</v>
      </c>
      <c r="G382" s="319">
        <v>2</v>
      </c>
      <c r="H382" s="998">
        <v>128000</v>
      </c>
      <c r="I382" s="86">
        <f t="shared" si="21"/>
        <v>256000</v>
      </c>
      <c r="J382" s="20">
        <f t="shared" si="24"/>
        <v>115200</v>
      </c>
      <c r="K382" s="171">
        <f t="shared" si="20"/>
        <v>140800</v>
      </c>
      <c r="N382" s="17">
        <f t="shared" si="22"/>
        <v>140800</v>
      </c>
      <c r="O382" s="282" t="s">
        <v>23</v>
      </c>
      <c r="Q382" s="10" t="s">
        <v>54</v>
      </c>
    </row>
    <row r="383" spans="1:17" s="20" customFormat="1">
      <c r="A383" s="991">
        <v>44523</v>
      </c>
      <c r="B383" s="282" t="s">
        <v>23</v>
      </c>
      <c r="C383" s="283" t="s">
        <v>7981</v>
      </c>
      <c r="D383" s="29" t="s">
        <v>7982</v>
      </c>
      <c r="E383" s="984" t="s">
        <v>8003</v>
      </c>
      <c r="F383" s="987" t="s">
        <v>8004</v>
      </c>
      <c r="G383" s="319">
        <v>2</v>
      </c>
      <c r="H383" s="998">
        <v>51000</v>
      </c>
      <c r="I383" s="86">
        <f t="shared" si="21"/>
        <v>102000</v>
      </c>
      <c r="J383" s="20">
        <f t="shared" si="24"/>
        <v>45900</v>
      </c>
      <c r="K383" s="171">
        <f t="shared" si="20"/>
        <v>56100</v>
      </c>
      <c r="N383" s="17">
        <f t="shared" si="22"/>
        <v>56100</v>
      </c>
      <c r="O383" s="282" t="s">
        <v>23</v>
      </c>
      <c r="Q383" s="10" t="s">
        <v>54</v>
      </c>
    </row>
    <row r="384" spans="1:17" s="20" customFormat="1">
      <c r="A384" s="991">
        <v>44523</v>
      </c>
      <c r="B384" s="282" t="s">
        <v>23</v>
      </c>
      <c r="C384" s="283" t="s">
        <v>7981</v>
      </c>
      <c r="D384" s="29" t="s">
        <v>7982</v>
      </c>
      <c r="E384" s="984" t="s">
        <v>8005</v>
      </c>
      <c r="F384" s="984" t="s">
        <v>8006</v>
      </c>
      <c r="G384" s="319">
        <v>2</v>
      </c>
      <c r="H384" s="998">
        <v>121000</v>
      </c>
      <c r="I384" s="86">
        <f t="shared" si="21"/>
        <v>242000</v>
      </c>
      <c r="J384" s="20">
        <f t="shared" si="24"/>
        <v>108900</v>
      </c>
      <c r="K384" s="171">
        <f t="shared" si="20"/>
        <v>133100</v>
      </c>
      <c r="N384" s="17">
        <f t="shared" si="22"/>
        <v>133100</v>
      </c>
      <c r="O384" s="282" t="s">
        <v>23</v>
      </c>
      <c r="Q384" s="10" t="s">
        <v>54</v>
      </c>
    </row>
    <row r="385" spans="1:17" s="20" customFormat="1">
      <c r="A385" s="991">
        <v>44523</v>
      </c>
      <c r="B385" s="282" t="s">
        <v>23</v>
      </c>
      <c r="C385" s="283" t="s">
        <v>7981</v>
      </c>
      <c r="D385" s="29" t="s">
        <v>7982</v>
      </c>
      <c r="E385" s="984" t="s">
        <v>8007</v>
      </c>
      <c r="F385" s="984" t="s">
        <v>2353</v>
      </c>
      <c r="G385" s="319">
        <v>2</v>
      </c>
      <c r="H385" s="998">
        <v>110000</v>
      </c>
      <c r="I385" s="86">
        <f t="shared" si="21"/>
        <v>220000</v>
      </c>
      <c r="J385" s="20">
        <f t="shared" si="24"/>
        <v>99000</v>
      </c>
      <c r="K385" s="171">
        <f t="shared" si="20"/>
        <v>121000</v>
      </c>
      <c r="N385" s="17">
        <f t="shared" si="22"/>
        <v>121000</v>
      </c>
      <c r="O385" s="282" t="s">
        <v>23</v>
      </c>
      <c r="Q385" s="10" t="s">
        <v>54</v>
      </c>
    </row>
    <row r="386" spans="1:17" s="20" customFormat="1">
      <c r="A386" s="991">
        <v>44523</v>
      </c>
      <c r="B386" s="282" t="s">
        <v>23</v>
      </c>
      <c r="C386" s="283" t="s">
        <v>7981</v>
      </c>
      <c r="D386" s="29" t="s">
        <v>7982</v>
      </c>
      <c r="E386" s="984" t="s">
        <v>8008</v>
      </c>
      <c r="F386" s="987" t="s">
        <v>8009</v>
      </c>
      <c r="G386" s="319">
        <v>2</v>
      </c>
      <c r="H386" s="998">
        <v>132000</v>
      </c>
      <c r="I386" s="86">
        <f t="shared" si="21"/>
        <v>264000</v>
      </c>
      <c r="J386" s="20">
        <f t="shared" si="24"/>
        <v>118800</v>
      </c>
      <c r="K386" s="171">
        <f t="shared" si="20"/>
        <v>145200</v>
      </c>
      <c r="N386" s="17">
        <f t="shared" si="22"/>
        <v>145200</v>
      </c>
      <c r="O386" s="282" t="s">
        <v>23</v>
      </c>
      <c r="Q386" s="10" t="s">
        <v>54</v>
      </c>
    </row>
    <row r="387" spans="1:17" s="20" customFormat="1">
      <c r="A387" s="991">
        <v>44523</v>
      </c>
      <c r="B387" s="282" t="s">
        <v>23</v>
      </c>
      <c r="C387" s="283" t="s">
        <v>7981</v>
      </c>
      <c r="D387" s="29" t="s">
        <v>7982</v>
      </c>
      <c r="E387" s="984" t="s">
        <v>5673</v>
      </c>
      <c r="F387" s="984" t="s">
        <v>5674</v>
      </c>
      <c r="G387" s="319">
        <v>2</v>
      </c>
      <c r="H387" s="998">
        <v>93000</v>
      </c>
      <c r="I387" s="86">
        <f t="shared" si="21"/>
        <v>186000</v>
      </c>
      <c r="J387" s="20">
        <f t="shared" si="24"/>
        <v>83700</v>
      </c>
      <c r="K387" s="171">
        <f t="shared" si="20"/>
        <v>102300</v>
      </c>
      <c r="N387" s="17">
        <f t="shared" si="22"/>
        <v>102300</v>
      </c>
      <c r="O387" s="282" t="s">
        <v>23</v>
      </c>
      <c r="Q387" s="10" t="s">
        <v>54</v>
      </c>
    </row>
    <row r="388" spans="1:17" s="20" customFormat="1">
      <c r="A388" s="991">
        <v>44523</v>
      </c>
      <c r="B388" s="282" t="s">
        <v>23</v>
      </c>
      <c r="C388" s="283" t="s">
        <v>7981</v>
      </c>
      <c r="D388" s="29" t="s">
        <v>7982</v>
      </c>
      <c r="E388" s="984" t="s">
        <v>8010</v>
      </c>
      <c r="F388" s="984" t="s">
        <v>8011</v>
      </c>
      <c r="G388" s="319">
        <v>2</v>
      </c>
      <c r="H388" s="998">
        <v>108000</v>
      </c>
      <c r="I388" s="86">
        <f t="shared" si="21"/>
        <v>216000</v>
      </c>
      <c r="J388" s="20">
        <f t="shared" si="24"/>
        <v>97200</v>
      </c>
      <c r="K388" s="171">
        <f t="shared" ref="K388:K451" si="25">I388-J388</f>
        <v>118800</v>
      </c>
      <c r="N388" s="17">
        <f t="shared" si="22"/>
        <v>118800</v>
      </c>
      <c r="O388" s="282" t="s">
        <v>23</v>
      </c>
      <c r="Q388" s="10" t="s">
        <v>54</v>
      </c>
    </row>
    <row r="389" spans="1:17" s="20" customFormat="1">
      <c r="A389" s="991">
        <v>44523</v>
      </c>
      <c r="B389" s="282" t="s">
        <v>23</v>
      </c>
      <c r="C389" s="283" t="s">
        <v>7981</v>
      </c>
      <c r="D389" s="29" t="s">
        <v>7982</v>
      </c>
      <c r="E389" s="984" t="s">
        <v>6053</v>
      </c>
      <c r="F389" s="987" t="s">
        <v>6054</v>
      </c>
      <c r="G389" s="319">
        <v>2</v>
      </c>
      <c r="H389" s="998">
        <v>94000</v>
      </c>
      <c r="I389" s="86">
        <f t="shared" ref="I389:I452" si="26">H389*G389</f>
        <v>188000</v>
      </c>
      <c r="J389" s="20">
        <f t="shared" si="24"/>
        <v>84600</v>
      </c>
      <c r="K389" s="171">
        <f t="shared" si="25"/>
        <v>103400</v>
      </c>
      <c r="N389" s="17">
        <f t="shared" si="22"/>
        <v>103400</v>
      </c>
      <c r="O389" s="282" t="s">
        <v>23</v>
      </c>
      <c r="Q389" s="10" t="s">
        <v>54</v>
      </c>
    </row>
    <row r="390" spans="1:17" s="20" customFormat="1">
      <c r="A390" s="991">
        <v>44523</v>
      </c>
      <c r="B390" s="282" t="s">
        <v>23</v>
      </c>
      <c r="C390" s="283" t="s">
        <v>7981</v>
      </c>
      <c r="D390" s="29" t="s">
        <v>7982</v>
      </c>
      <c r="E390" s="984" t="s">
        <v>1056</v>
      </c>
      <c r="F390" s="984" t="s">
        <v>6572</v>
      </c>
      <c r="G390" s="319">
        <v>2</v>
      </c>
      <c r="H390" s="998">
        <v>127000</v>
      </c>
      <c r="I390" s="86">
        <f t="shared" si="26"/>
        <v>254000</v>
      </c>
      <c r="J390" s="20">
        <f t="shared" si="24"/>
        <v>114300</v>
      </c>
      <c r="K390" s="171">
        <f t="shared" si="25"/>
        <v>139700</v>
      </c>
      <c r="N390" s="17">
        <f t="shared" si="22"/>
        <v>139700</v>
      </c>
      <c r="O390" s="282" t="s">
        <v>23</v>
      </c>
      <c r="Q390" s="10" t="s">
        <v>54</v>
      </c>
    </row>
    <row r="391" spans="1:17" s="20" customFormat="1">
      <c r="A391" s="991">
        <v>44523</v>
      </c>
      <c r="B391" s="282" t="s">
        <v>23</v>
      </c>
      <c r="C391" s="283" t="s">
        <v>7981</v>
      </c>
      <c r="D391" s="29" t="s">
        <v>7982</v>
      </c>
      <c r="E391" s="984" t="s">
        <v>7228</v>
      </c>
      <c r="F391" s="984" t="s">
        <v>7229</v>
      </c>
      <c r="G391" s="319">
        <v>2</v>
      </c>
      <c r="H391" s="998">
        <v>96000</v>
      </c>
      <c r="I391" s="86">
        <f t="shared" si="26"/>
        <v>192000</v>
      </c>
      <c r="J391" s="20">
        <f t="shared" si="24"/>
        <v>86400</v>
      </c>
      <c r="K391" s="171">
        <f t="shared" si="25"/>
        <v>105600</v>
      </c>
      <c r="N391" s="17">
        <f t="shared" si="22"/>
        <v>105600</v>
      </c>
      <c r="O391" s="282" t="s">
        <v>23</v>
      </c>
      <c r="Q391" s="10" t="s">
        <v>54</v>
      </c>
    </row>
    <row r="392" spans="1:17" s="20" customFormat="1">
      <c r="A392" s="991">
        <v>44523</v>
      </c>
      <c r="B392" s="282" t="s">
        <v>23</v>
      </c>
      <c r="C392" s="283" t="s">
        <v>7981</v>
      </c>
      <c r="D392" s="29" t="s">
        <v>7982</v>
      </c>
      <c r="E392" s="984" t="s">
        <v>8012</v>
      </c>
      <c r="F392" s="984" t="s">
        <v>8006</v>
      </c>
      <c r="G392" s="319">
        <v>2</v>
      </c>
      <c r="H392" s="998">
        <v>113000</v>
      </c>
      <c r="I392" s="86">
        <f t="shared" si="26"/>
        <v>226000</v>
      </c>
      <c r="J392" s="20">
        <f t="shared" si="24"/>
        <v>101700</v>
      </c>
      <c r="K392" s="171">
        <f t="shared" si="25"/>
        <v>124300</v>
      </c>
      <c r="N392" s="17">
        <f t="shared" si="22"/>
        <v>124300</v>
      </c>
      <c r="O392" s="282" t="s">
        <v>23</v>
      </c>
      <c r="Q392" s="10" t="s">
        <v>54</v>
      </c>
    </row>
    <row r="393" spans="1:17" s="20" customFormat="1">
      <c r="A393" s="991">
        <v>44523</v>
      </c>
      <c r="B393" s="282" t="s">
        <v>23</v>
      </c>
      <c r="C393" s="283" t="s">
        <v>7981</v>
      </c>
      <c r="D393" s="29" t="s">
        <v>7982</v>
      </c>
      <c r="E393" s="984" t="s">
        <v>6639</v>
      </c>
      <c r="F393" s="987" t="s">
        <v>6640</v>
      </c>
      <c r="G393" s="319">
        <v>2</v>
      </c>
      <c r="H393" s="998">
        <v>173000</v>
      </c>
      <c r="I393" s="86">
        <f t="shared" si="26"/>
        <v>346000</v>
      </c>
      <c r="J393" s="20">
        <f t="shared" si="24"/>
        <v>155700</v>
      </c>
      <c r="K393" s="171">
        <f t="shared" si="25"/>
        <v>190300</v>
      </c>
      <c r="N393" s="17">
        <f t="shared" si="22"/>
        <v>190300</v>
      </c>
      <c r="O393" s="282" t="s">
        <v>23</v>
      </c>
      <c r="Q393" s="10" t="s">
        <v>54</v>
      </c>
    </row>
    <row r="394" spans="1:17" s="20" customFormat="1">
      <c r="A394" s="991">
        <v>44523</v>
      </c>
      <c r="B394" s="282" t="s">
        <v>23</v>
      </c>
      <c r="C394" s="283" t="s">
        <v>7981</v>
      </c>
      <c r="D394" s="29" t="s">
        <v>7982</v>
      </c>
      <c r="E394" s="984" t="s">
        <v>6685</v>
      </c>
      <c r="F394" s="984" t="s">
        <v>6686</v>
      </c>
      <c r="G394" s="319">
        <v>2</v>
      </c>
      <c r="H394" s="998">
        <v>120000</v>
      </c>
      <c r="I394" s="86">
        <f t="shared" si="26"/>
        <v>240000</v>
      </c>
      <c r="J394" s="20">
        <f t="shared" si="24"/>
        <v>108000</v>
      </c>
      <c r="K394" s="171">
        <f t="shared" si="25"/>
        <v>132000</v>
      </c>
      <c r="N394" s="17">
        <f t="shared" si="22"/>
        <v>132000</v>
      </c>
      <c r="O394" s="282" t="s">
        <v>23</v>
      </c>
      <c r="Q394" s="10" t="s">
        <v>54</v>
      </c>
    </row>
    <row r="395" spans="1:17" s="20" customFormat="1">
      <c r="A395" s="991">
        <v>44523</v>
      </c>
      <c r="B395" s="282" t="s">
        <v>23</v>
      </c>
      <c r="C395" s="283" t="s">
        <v>7981</v>
      </c>
      <c r="D395" s="29" t="s">
        <v>7982</v>
      </c>
      <c r="E395" s="984" t="s">
        <v>8013</v>
      </c>
      <c r="F395" s="987" t="s">
        <v>8014</v>
      </c>
      <c r="G395" s="319">
        <v>2</v>
      </c>
      <c r="H395" s="998">
        <v>122000</v>
      </c>
      <c r="I395" s="86">
        <f t="shared" si="26"/>
        <v>244000</v>
      </c>
      <c r="J395" s="20">
        <f t="shared" si="24"/>
        <v>109800</v>
      </c>
      <c r="K395" s="171">
        <f t="shared" si="25"/>
        <v>134200</v>
      </c>
      <c r="N395" s="17">
        <f t="shared" si="22"/>
        <v>134200</v>
      </c>
      <c r="O395" s="282" t="s">
        <v>23</v>
      </c>
      <c r="Q395" s="10" t="s">
        <v>54</v>
      </c>
    </row>
    <row r="396" spans="1:17" s="20" customFormat="1">
      <c r="A396" s="991">
        <v>44523</v>
      </c>
      <c r="B396" s="282" t="s">
        <v>23</v>
      </c>
      <c r="C396" s="283" t="s">
        <v>7981</v>
      </c>
      <c r="D396" s="29" t="s">
        <v>7982</v>
      </c>
      <c r="E396" s="984" t="s">
        <v>8015</v>
      </c>
      <c r="F396" s="984" t="s">
        <v>8016</v>
      </c>
      <c r="G396" s="319">
        <v>2</v>
      </c>
      <c r="H396" s="998">
        <v>97000</v>
      </c>
      <c r="I396" s="86">
        <f t="shared" si="26"/>
        <v>194000</v>
      </c>
      <c r="J396" s="20">
        <f t="shared" si="24"/>
        <v>87300</v>
      </c>
      <c r="K396" s="171">
        <f t="shared" si="25"/>
        <v>106700</v>
      </c>
      <c r="N396" s="17">
        <f t="shared" si="22"/>
        <v>106700</v>
      </c>
      <c r="O396" s="282" t="s">
        <v>23</v>
      </c>
      <c r="Q396" s="10" t="s">
        <v>54</v>
      </c>
    </row>
    <row r="397" spans="1:17" s="20" customFormat="1" ht="15.6">
      <c r="A397" s="991">
        <v>44523</v>
      </c>
      <c r="B397" s="282" t="s">
        <v>23</v>
      </c>
      <c r="C397" s="283" t="s">
        <v>7981</v>
      </c>
      <c r="D397" s="29" t="s">
        <v>7982</v>
      </c>
      <c r="E397" s="984" t="s">
        <v>8017</v>
      </c>
      <c r="F397" s="984" t="s">
        <v>8018</v>
      </c>
      <c r="G397" s="319">
        <v>2</v>
      </c>
      <c r="H397" s="999">
        <v>121000</v>
      </c>
      <c r="I397" s="86">
        <f t="shared" si="26"/>
        <v>242000</v>
      </c>
      <c r="J397" s="20">
        <f t="shared" si="24"/>
        <v>108900</v>
      </c>
      <c r="K397" s="171">
        <f t="shared" si="25"/>
        <v>133100</v>
      </c>
      <c r="N397" s="17">
        <f t="shared" si="22"/>
        <v>133100</v>
      </c>
      <c r="O397" s="282" t="s">
        <v>23</v>
      </c>
      <c r="Q397" s="10" t="s">
        <v>54</v>
      </c>
    </row>
    <row r="398" spans="1:17" s="20" customFormat="1" ht="15.6">
      <c r="A398" s="991">
        <v>44523</v>
      </c>
      <c r="B398" s="282" t="s">
        <v>23</v>
      </c>
      <c r="C398" s="283" t="s">
        <v>7981</v>
      </c>
      <c r="D398" s="29" t="s">
        <v>7982</v>
      </c>
      <c r="E398" s="984" t="s">
        <v>8019</v>
      </c>
      <c r="F398" s="987" t="s">
        <v>8020</v>
      </c>
      <c r="G398" s="319">
        <v>2</v>
      </c>
      <c r="H398" s="999">
        <v>135000</v>
      </c>
      <c r="I398" s="86">
        <f t="shared" si="26"/>
        <v>270000</v>
      </c>
      <c r="J398" s="20">
        <f t="shared" si="24"/>
        <v>121500</v>
      </c>
      <c r="K398" s="171">
        <f t="shared" si="25"/>
        <v>148500</v>
      </c>
      <c r="N398" s="17">
        <f t="shared" si="22"/>
        <v>148500</v>
      </c>
      <c r="O398" s="282" t="s">
        <v>23</v>
      </c>
      <c r="Q398" s="10" t="s">
        <v>54</v>
      </c>
    </row>
    <row r="399" spans="1:17" s="20" customFormat="1" ht="15.6">
      <c r="A399" s="991">
        <v>44523</v>
      </c>
      <c r="B399" s="282" t="s">
        <v>23</v>
      </c>
      <c r="C399" s="283" t="s">
        <v>7981</v>
      </c>
      <c r="D399" s="29" t="s">
        <v>7982</v>
      </c>
      <c r="E399" s="984" t="s">
        <v>8021</v>
      </c>
      <c r="F399" s="987" t="s">
        <v>8022</v>
      </c>
      <c r="G399" s="319">
        <v>2</v>
      </c>
      <c r="H399" s="1000">
        <v>106000</v>
      </c>
      <c r="I399" s="86">
        <f t="shared" si="26"/>
        <v>212000</v>
      </c>
      <c r="J399" s="20">
        <f t="shared" si="24"/>
        <v>95400</v>
      </c>
      <c r="K399" s="171">
        <f t="shared" si="25"/>
        <v>116600</v>
      </c>
      <c r="N399" s="17">
        <f t="shared" si="22"/>
        <v>116600</v>
      </c>
      <c r="O399" s="282" t="s">
        <v>23</v>
      </c>
      <c r="Q399" s="10" t="s">
        <v>54</v>
      </c>
    </row>
    <row r="400" spans="1:17" s="20" customFormat="1" ht="15.6">
      <c r="A400" s="991">
        <v>44523</v>
      </c>
      <c r="B400" s="282" t="s">
        <v>23</v>
      </c>
      <c r="C400" s="283" t="s">
        <v>7981</v>
      </c>
      <c r="D400" s="29" t="s">
        <v>7982</v>
      </c>
      <c r="E400" s="984" t="s">
        <v>3432</v>
      </c>
      <c r="F400" s="987" t="s">
        <v>3433</v>
      </c>
      <c r="G400" s="319">
        <v>2</v>
      </c>
      <c r="H400" s="999">
        <v>188000</v>
      </c>
      <c r="I400" s="86">
        <f t="shared" si="26"/>
        <v>376000</v>
      </c>
      <c r="J400" s="20">
        <f t="shared" si="24"/>
        <v>169200</v>
      </c>
      <c r="K400" s="171">
        <f t="shared" si="25"/>
        <v>206800</v>
      </c>
      <c r="N400" s="17">
        <f t="shared" si="22"/>
        <v>206800</v>
      </c>
      <c r="O400" s="282" t="s">
        <v>23</v>
      </c>
      <c r="Q400" s="10" t="s">
        <v>54</v>
      </c>
    </row>
    <row r="401" spans="1:17" s="20" customFormat="1" ht="15.6">
      <c r="A401" s="991">
        <v>44523</v>
      </c>
      <c r="B401" s="282" t="s">
        <v>23</v>
      </c>
      <c r="C401" s="283" t="s">
        <v>7981</v>
      </c>
      <c r="D401" s="29" t="s">
        <v>7982</v>
      </c>
      <c r="E401" s="984" t="s">
        <v>3436</v>
      </c>
      <c r="F401" s="984" t="s">
        <v>3437</v>
      </c>
      <c r="G401" s="319">
        <v>2</v>
      </c>
      <c r="H401" s="999">
        <v>83000</v>
      </c>
      <c r="I401" s="86">
        <f t="shared" si="26"/>
        <v>166000</v>
      </c>
      <c r="J401" s="20">
        <f t="shared" si="24"/>
        <v>74700</v>
      </c>
      <c r="K401" s="171">
        <f t="shared" si="25"/>
        <v>91300</v>
      </c>
      <c r="N401" s="17">
        <f t="shared" si="22"/>
        <v>91300</v>
      </c>
      <c r="O401" s="282" t="s">
        <v>23</v>
      </c>
      <c r="Q401" s="10" t="s">
        <v>54</v>
      </c>
    </row>
    <row r="402" spans="1:17" s="20" customFormat="1" ht="15.6">
      <c r="A402" s="991">
        <v>44523</v>
      </c>
      <c r="B402" s="282" t="s">
        <v>23</v>
      </c>
      <c r="C402" s="283" t="s">
        <v>7981</v>
      </c>
      <c r="D402" s="29" t="s">
        <v>7982</v>
      </c>
      <c r="E402" s="984" t="s">
        <v>8023</v>
      </c>
      <c r="F402" s="984" t="s">
        <v>8024</v>
      </c>
      <c r="G402" s="319">
        <v>2</v>
      </c>
      <c r="H402" s="999">
        <v>119500</v>
      </c>
      <c r="I402" s="86">
        <f t="shared" si="26"/>
        <v>239000</v>
      </c>
      <c r="J402" s="20">
        <f t="shared" si="24"/>
        <v>107550</v>
      </c>
      <c r="K402" s="171">
        <f t="shared" si="25"/>
        <v>131450</v>
      </c>
      <c r="N402" s="17">
        <f t="shared" si="22"/>
        <v>131450</v>
      </c>
      <c r="O402" s="282" t="s">
        <v>23</v>
      </c>
      <c r="Q402" s="10" t="s">
        <v>54</v>
      </c>
    </row>
    <row r="403" spans="1:17" s="20" customFormat="1" ht="15.6">
      <c r="A403" s="991">
        <v>44523</v>
      </c>
      <c r="B403" s="282" t="s">
        <v>23</v>
      </c>
      <c r="C403" s="283" t="s">
        <v>7981</v>
      </c>
      <c r="D403" s="29" t="s">
        <v>7982</v>
      </c>
      <c r="E403" s="984" t="s">
        <v>8025</v>
      </c>
      <c r="F403" s="987" t="s">
        <v>8026</v>
      </c>
      <c r="G403" s="319">
        <v>2</v>
      </c>
      <c r="H403" s="999">
        <v>108500</v>
      </c>
      <c r="I403" s="86">
        <f t="shared" si="26"/>
        <v>217000</v>
      </c>
      <c r="J403" s="20">
        <f t="shared" si="24"/>
        <v>97650</v>
      </c>
      <c r="K403" s="171">
        <f t="shared" si="25"/>
        <v>119350</v>
      </c>
      <c r="N403" s="17">
        <f t="shared" si="22"/>
        <v>119350</v>
      </c>
      <c r="O403" s="282" t="s">
        <v>23</v>
      </c>
      <c r="Q403" s="10" t="s">
        <v>54</v>
      </c>
    </row>
    <row r="404" spans="1:17" s="20" customFormat="1" ht="15.6">
      <c r="A404" s="991">
        <v>44523</v>
      </c>
      <c r="B404" s="282" t="s">
        <v>23</v>
      </c>
      <c r="C404" s="283" t="s">
        <v>7981</v>
      </c>
      <c r="D404" s="29" t="s">
        <v>7982</v>
      </c>
      <c r="E404" s="984" t="s">
        <v>824</v>
      </c>
      <c r="F404" s="987" t="s">
        <v>825</v>
      </c>
      <c r="G404" s="319">
        <v>2</v>
      </c>
      <c r="H404" s="996">
        <v>160000</v>
      </c>
      <c r="I404" s="86">
        <f t="shared" si="26"/>
        <v>320000</v>
      </c>
      <c r="J404" s="20">
        <f t="shared" si="24"/>
        <v>144000</v>
      </c>
      <c r="K404" s="171">
        <f t="shared" si="25"/>
        <v>176000</v>
      </c>
      <c r="N404" s="17">
        <f t="shared" si="22"/>
        <v>176000</v>
      </c>
      <c r="O404" s="282" t="s">
        <v>23</v>
      </c>
      <c r="Q404" s="10" t="s">
        <v>54</v>
      </c>
    </row>
    <row r="405" spans="1:17" s="20" customFormat="1" ht="15.6">
      <c r="A405" s="991">
        <v>44523</v>
      </c>
      <c r="B405" s="282" t="s">
        <v>23</v>
      </c>
      <c r="C405" s="283" t="s">
        <v>7981</v>
      </c>
      <c r="D405" s="29" t="s">
        <v>7982</v>
      </c>
      <c r="E405" s="984" t="s">
        <v>8027</v>
      </c>
      <c r="F405" s="987" t="s">
        <v>8028</v>
      </c>
      <c r="G405" s="319">
        <v>2</v>
      </c>
      <c r="H405" s="999">
        <v>213000</v>
      </c>
      <c r="I405" s="86">
        <f t="shared" si="26"/>
        <v>426000</v>
      </c>
      <c r="J405" s="20">
        <f t="shared" si="24"/>
        <v>191700</v>
      </c>
      <c r="K405" s="171">
        <f t="shared" si="25"/>
        <v>234300</v>
      </c>
      <c r="N405" s="17">
        <f t="shared" si="22"/>
        <v>234300</v>
      </c>
      <c r="O405" s="282" t="s">
        <v>23</v>
      </c>
      <c r="Q405" s="10" t="s">
        <v>54</v>
      </c>
    </row>
    <row r="406" spans="1:17" s="20" customFormat="1" ht="15.6">
      <c r="A406" s="991">
        <v>44523</v>
      </c>
      <c r="B406" s="282" t="s">
        <v>23</v>
      </c>
      <c r="C406" s="283" t="s">
        <v>7981</v>
      </c>
      <c r="D406" s="29" t="s">
        <v>7982</v>
      </c>
      <c r="E406" s="984" t="s">
        <v>6552</v>
      </c>
      <c r="F406" s="984" t="s">
        <v>6553</v>
      </c>
      <c r="G406" s="319">
        <v>2</v>
      </c>
      <c r="H406" s="1001">
        <v>71500</v>
      </c>
      <c r="I406" s="86">
        <f t="shared" si="26"/>
        <v>143000</v>
      </c>
      <c r="J406" s="20">
        <f t="shared" si="24"/>
        <v>64350</v>
      </c>
      <c r="K406" s="171">
        <f t="shared" si="25"/>
        <v>78650</v>
      </c>
      <c r="N406" s="17">
        <f t="shared" si="22"/>
        <v>78650</v>
      </c>
      <c r="O406" s="282" t="s">
        <v>23</v>
      </c>
      <c r="Q406" s="10" t="s">
        <v>54</v>
      </c>
    </row>
    <row r="407" spans="1:17" s="20" customFormat="1" ht="15.6">
      <c r="A407" s="991">
        <v>44523</v>
      </c>
      <c r="B407" s="282" t="s">
        <v>23</v>
      </c>
      <c r="C407" s="283" t="s">
        <v>7981</v>
      </c>
      <c r="D407" s="29" t="s">
        <v>7982</v>
      </c>
      <c r="E407" s="984" t="s">
        <v>444</v>
      </c>
      <c r="F407" s="987" t="s">
        <v>445</v>
      </c>
      <c r="G407" s="319">
        <v>2</v>
      </c>
      <c r="H407" s="1001">
        <v>77500</v>
      </c>
      <c r="I407" s="86">
        <f t="shared" si="26"/>
        <v>155000</v>
      </c>
      <c r="J407" s="20">
        <f t="shared" si="24"/>
        <v>69750</v>
      </c>
      <c r="K407" s="171">
        <f t="shared" si="25"/>
        <v>85250</v>
      </c>
      <c r="N407" s="17">
        <f t="shared" si="22"/>
        <v>85250</v>
      </c>
      <c r="O407" s="282" t="s">
        <v>23</v>
      </c>
      <c r="Q407" s="10" t="s">
        <v>54</v>
      </c>
    </row>
    <row r="408" spans="1:17" s="20" customFormat="1" ht="15.6">
      <c r="A408" s="991">
        <v>44523</v>
      </c>
      <c r="B408" s="282" t="s">
        <v>23</v>
      </c>
      <c r="C408" s="283" t="s">
        <v>7981</v>
      </c>
      <c r="D408" s="29" t="s">
        <v>7982</v>
      </c>
      <c r="E408" s="984" t="s">
        <v>3468</v>
      </c>
      <c r="F408" s="987" t="s">
        <v>3469</v>
      </c>
      <c r="G408" s="319">
        <v>2</v>
      </c>
      <c r="H408" s="999">
        <v>107000</v>
      </c>
      <c r="I408" s="86">
        <f t="shared" si="26"/>
        <v>214000</v>
      </c>
      <c r="J408" s="20">
        <f t="shared" si="24"/>
        <v>96300</v>
      </c>
      <c r="K408" s="171">
        <f t="shared" si="25"/>
        <v>117700</v>
      </c>
      <c r="N408" s="17">
        <f t="shared" si="22"/>
        <v>117700</v>
      </c>
      <c r="O408" s="282" t="s">
        <v>23</v>
      </c>
      <c r="Q408" s="10" t="s">
        <v>54</v>
      </c>
    </row>
    <row r="409" spans="1:17" s="20" customFormat="1" ht="15.6">
      <c r="A409" s="991">
        <v>44523</v>
      </c>
      <c r="B409" s="282" t="s">
        <v>23</v>
      </c>
      <c r="C409" s="283" t="s">
        <v>7981</v>
      </c>
      <c r="D409" s="29" t="s">
        <v>7982</v>
      </c>
      <c r="E409" s="984" t="s">
        <v>8029</v>
      </c>
      <c r="F409" s="987" t="s">
        <v>8030</v>
      </c>
      <c r="G409" s="319">
        <v>2</v>
      </c>
      <c r="H409" s="999">
        <v>96000</v>
      </c>
      <c r="I409" s="86">
        <f t="shared" si="26"/>
        <v>192000</v>
      </c>
      <c r="J409" s="20">
        <f t="shared" si="24"/>
        <v>86400</v>
      </c>
      <c r="K409" s="171">
        <f t="shared" si="25"/>
        <v>105600</v>
      </c>
      <c r="N409" s="17">
        <f t="shared" si="22"/>
        <v>105600</v>
      </c>
      <c r="O409" s="282" t="s">
        <v>23</v>
      </c>
      <c r="Q409" s="10" t="s">
        <v>54</v>
      </c>
    </row>
    <row r="410" spans="1:17" s="20" customFormat="1" ht="15.6">
      <c r="A410" s="991">
        <v>44523</v>
      </c>
      <c r="B410" s="282" t="s">
        <v>23</v>
      </c>
      <c r="C410" s="283" t="s">
        <v>7981</v>
      </c>
      <c r="D410" s="29" t="s">
        <v>7982</v>
      </c>
      <c r="E410" s="984" t="s">
        <v>8031</v>
      </c>
      <c r="F410" s="987" t="s">
        <v>8032</v>
      </c>
      <c r="G410" s="319">
        <v>2</v>
      </c>
      <c r="H410" s="996">
        <v>107000</v>
      </c>
      <c r="I410" s="86">
        <f t="shared" si="26"/>
        <v>214000</v>
      </c>
      <c r="J410" s="20">
        <f t="shared" si="24"/>
        <v>96300</v>
      </c>
      <c r="K410" s="171">
        <f t="shared" si="25"/>
        <v>117700</v>
      </c>
      <c r="N410" s="17">
        <f t="shared" si="22"/>
        <v>117700</v>
      </c>
      <c r="O410" s="282" t="s">
        <v>23</v>
      </c>
      <c r="Q410" s="10" t="s">
        <v>54</v>
      </c>
    </row>
    <row r="411" spans="1:17" s="20" customFormat="1" ht="15.6">
      <c r="A411" s="991">
        <v>44523</v>
      </c>
      <c r="B411" s="282" t="s">
        <v>23</v>
      </c>
      <c r="C411" s="283" t="s">
        <v>7981</v>
      </c>
      <c r="D411" s="29" t="s">
        <v>7982</v>
      </c>
      <c r="E411" s="984" t="s">
        <v>8033</v>
      </c>
      <c r="F411" s="987" t="s">
        <v>8034</v>
      </c>
      <c r="G411" s="319">
        <v>2</v>
      </c>
      <c r="H411" s="1001">
        <v>80000</v>
      </c>
      <c r="I411" s="86">
        <f t="shared" si="26"/>
        <v>160000</v>
      </c>
      <c r="J411" s="20">
        <f t="shared" si="24"/>
        <v>72000</v>
      </c>
      <c r="K411" s="171">
        <f t="shared" si="25"/>
        <v>88000</v>
      </c>
      <c r="N411" s="17">
        <f t="shared" ref="N411:N474" si="27">K411+L411+M411</f>
        <v>88000</v>
      </c>
      <c r="O411" s="282" t="s">
        <v>23</v>
      </c>
      <c r="Q411" s="10" t="s">
        <v>54</v>
      </c>
    </row>
    <row r="412" spans="1:17" s="20" customFormat="1" ht="15.6">
      <c r="A412" s="991">
        <v>44523</v>
      </c>
      <c r="B412" s="282" t="s">
        <v>23</v>
      </c>
      <c r="C412" s="283" t="s">
        <v>7981</v>
      </c>
      <c r="D412" s="29" t="s">
        <v>7982</v>
      </c>
      <c r="E412" s="984" t="s">
        <v>8035</v>
      </c>
      <c r="F412" s="987" t="s">
        <v>8036</v>
      </c>
      <c r="G412" s="319">
        <v>2</v>
      </c>
      <c r="H412" s="999">
        <v>104000</v>
      </c>
      <c r="I412" s="86">
        <f t="shared" si="26"/>
        <v>208000</v>
      </c>
      <c r="J412" s="20">
        <f t="shared" si="24"/>
        <v>93600</v>
      </c>
      <c r="K412" s="171">
        <f t="shared" si="25"/>
        <v>114400</v>
      </c>
      <c r="N412" s="17">
        <f t="shared" si="27"/>
        <v>114400</v>
      </c>
      <c r="O412" s="282" t="s">
        <v>23</v>
      </c>
      <c r="Q412" s="10" t="s">
        <v>54</v>
      </c>
    </row>
    <row r="413" spans="1:17" s="20" customFormat="1" ht="15.6">
      <c r="A413" s="991">
        <v>44523</v>
      </c>
      <c r="B413" s="282" t="s">
        <v>23</v>
      </c>
      <c r="C413" s="283" t="s">
        <v>7981</v>
      </c>
      <c r="D413" s="29" t="s">
        <v>7982</v>
      </c>
      <c r="E413" s="984" t="s">
        <v>8037</v>
      </c>
      <c r="F413" s="987" t="s">
        <v>8038</v>
      </c>
      <c r="G413" s="319">
        <v>2</v>
      </c>
      <c r="H413" s="999">
        <v>171000</v>
      </c>
      <c r="I413" s="86">
        <f t="shared" si="26"/>
        <v>342000</v>
      </c>
      <c r="J413" s="20">
        <f t="shared" si="24"/>
        <v>153900</v>
      </c>
      <c r="K413" s="171">
        <f t="shared" si="25"/>
        <v>188100</v>
      </c>
      <c r="N413" s="17">
        <f t="shared" si="27"/>
        <v>188100</v>
      </c>
      <c r="O413" s="282" t="s">
        <v>23</v>
      </c>
      <c r="Q413" s="10" t="s">
        <v>54</v>
      </c>
    </row>
    <row r="414" spans="1:17" s="20" customFormat="1" ht="15.6">
      <c r="A414" s="991">
        <v>44523</v>
      </c>
      <c r="B414" s="282" t="s">
        <v>23</v>
      </c>
      <c r="C414" s="283" t="s">
        <v>7981</v>
      </c>
      <c r="D414" s="29" t="s">
        <v>7982</v>
      </c>
      <c r="E414" s="984" t="s">
        <v>7175</v>
      </c>
      <c r="F414" s="987" t="s">
        <v>7176</v>
      </c>
      <c r="G414" s="319">
        <v>2</v>
      </c>
      <c r="H414" s="1002">
        <v>120000</v>
      </c>
      <c r="I414" s="86">
        <f t="shared" si="26"/>
        <v>240000</v>
      </c>
      <c r="J414" s="20">
        <f t="shared" si="24"/>
        <v>108000</v>
      </c>
      <c r="K414" s="171">
        <f t="shared" si="25"/>
        <v>132000</v>
      </c>
      <c r="N414" s="17">
        <f t="shared" si="27"/>
        <v>132000</v>
      </c>
      <c r="O414" s="282" t="s">
        <v>23</v>
      </c>
      <c r="Q414" s="10" t="s">
        <v>54</v>
      </c>
    </row>
    <row r="415" spans="1:17" s="20" customFormat="1" ht="15.6">
      <c r="A415" s="991">
        <v>44523</v>
      </c>
      <c r="B415" s="282" t="s">
        <v>23</v>
      </c>
      <c r="C415" s="283" t="s">
        <v>7981</v>
      </c>
      <c r="D415" s="29" t="s">
        <v>7982</v>
      </c>
      <c r="E415" s="984" t="s">
        <v>8039</v>
      </c>
      <c r="F415" s="987" t="s">
        <v>8040</v>
      </c>
      <c r="G415" s="319">
        <v>2</v>
      </c>
      <c r="H415" s="1003">
        <v>112000</v>
      </c>
      <c r="I415" s="86">
        <f t="shared" si="26"/>
        <v>224000</v>
      </c>
      <c r="J415" s="20">
        <f t="shared" si="24"/>
        <v>100800</v>
      </c>
      <c r="K415" s="171">
        <f t="shared" si="25"/>
        <v>123200</v>
      </c>
      <c r="N415" s="17">
        <f t="shared" si="27"/>
        <v>123200</v>
      </c>
      <c r="O415" s="282" t="s">
        <v>23</v>
      </c>
      <c r="Q415" s="10" t="s">
        <v>54</v>
      </c>
    </row>
    <row r="416" spans="1:17" s="20" customFormat="1" ht="15.6">
      <c r="A416" s="991">
        <v>44523</v>
      </c>
      <c r="B416" s="282" t="s">
        <v>23</v>
      </c>
      <c r="C416" s="283" t="s">
        <v>7981</v>
      </c>
      <c r="D416" s="29" t="s">
        <v>7982</v>
      </c>
      <c r="E416" s="984" t="s">
        <v>8041</v>
      </c>
      <c r="F416" s="987" t="s">
        <v>3693</v>
      </c>
      <c r="G416" s="319">
        <v>2</v>
      </c>
      <c r="H416" s="1004">
        <v>79000</v>
      </c>
      <c r="I416" s="86">
        <f t="shared" si="26"/>
        <v>158000</v>
      </c>
      <c r="J416" s="20">
        <f t="shared" si="24"/>
        <v>71100</v>
      </c>
      <c r="K416" s="171">
        <f t="shared" si="25"/>
        <v>86900</v>
      </c>
      <c r="N416" s="17">
        <f t="shared" si="27"/>
        <v>86900</v>
      </c>
      <c r="O416" s="282" t="s">
        <v>23</v>
      </c>
      <c r="Q416" s="10" t="s">
        <v>54</v>
      </c>
    </row>
    <row r="417" spans="1:17" s="20" customFormat="1" ht="15.6">
      <c r="A417" s="991">
        <v>44523</v>
      </c>
      <c r="B417" s="282" t="s">
        <v>23</v>
      </c>
      <c r="C417" s="283" t="s">
        <v>7981</v>
      </c>
      <c r="D417" s="29" t="s">
        <v>7982</v>
      </c>
      <c r="E417" s="984" t="s">
        <v>8042</v>
      </c>
      <c r="F417" s="987" t="s">
        <v>8043</v>
      </c>
      <c r="G417" s="319">
        <v>2</v>
      </c>
      <c r="H417" s="1002">
        <v>96000</v>
      </c>
      <c r="I417" s="86">
        <f t="shared" si="26"/>
        <v>192000</v>
      </c>
      <c r="J417" s="20">
        <f t="shared" si="24"/>
        <v>86400</v>
      </c>
      <c r="K417" s="171">
        <f t="shared" si="25"/>
        <v>105600</v>
      </c>
      <c r="N417" s="17">
        <f t="shared" si="27"/>
        <v>105600</v>
      </c>
      <c r="O417" s="282" t="s">
        <v>23</v>
      </c>
      <c r="Q417" s="10" t="s">
        <v>54</v>
      </c>
    </row>
    <row r="418" spans="1:17" s="20" customFormat="1" ht="15.6">
      <c r="A418" s="991">
        <v>44523</v>
      </c>
      <c r="B418" s="282" t="s">
        <v>23</v>
      </c>
      <c r="C418" s="283" t="s">
        <v>7981</v>
      </c>
      <c r="D418" s="29" t="s">
        <v>7982</v>
      </c>
      <c r="E418" s="984" t="s">
        <v>8044</v>
      </c>
      <c r="F418" s="987" t="s">
        <v>8045</v>
      </c>
      <c r="G418" s="319">
        <v>2</v>
      </c>
      <c r="H418" s="1005">
        <v>83500</v>
      </c>
      <c r="I418" s="86">
        <f t="shared" si="26"/>
        <v>167000</v>
      </c>
      <c r="J418" s="20">
        <f t="shared" si="24"/>
        <v>75150</v>
      </c>
      <c r="K418" s="171">
        <f t="shared" si="25"/>
        <v>91850</v>
      </c>
      <c r="N418" s="17">
        <f t="shared" si="27"/>
        <v>91850</v>
      </c>
      <c r="O418" s="282" t="s">
        <v>23</v>
      </c>
      <c r="Q418" s="10" t="s">
        <v>54</v>
      </c>
    </row>
    <row r="419" spans="1:17" s="20" customFormat="1" ht="15.6">
      <c r="A419" s="991">
        <v>44523</v>
      </c>
      <c r="B419" s="282" t="s">
        <v>23</v>
      </c>
      <c r="C419" s="283" t="s">
        <v>7981</v>
      </c>
      <c r="D419" s="29" t="s">
        <v>7982</v>
      </c>
      <c r="E419" s="984" t="s">
        <v>8046</v>
      </c>
      <c r="F419" s="984" t="s">
        <v>8047</v>
      </c>
      <c r="G419" s="319">
        <v>2</v>
      </c>
      <c r="H419" s="1002">
        <v>92000</v>
      </c>
      <c r="I419" s="86">
        <f t="shared" si="26"/>
        <v>184000</v>
      </c>
      <c r="J419" s="20">
        <f t="shared" si="24"/>
        <v>82800</v>
      </c>
      <c r="K419" s="171">
        <f t="shared" si="25"/>
        <v>101200</v>
      </c>
      <c r="N419" s="17">
        <f t="shared" si="27"/>
        <v>101200</v>
      </c>
      <c r="O419" s="282" t="s">
        <v>23</v>
      </c>
      <c r="Q419" s="10" t="s">
        <v>54</v>
      </c>
    </row>
    <row r="420" spans="1:17" s="20" customFormat="1" ht="15.6">
      <c r="A420" s="991">
        <v>44523</v>
      </c>
      <c r="B420" s="282" t="s">
        <v>23</v>
      </c>
      <c r="C420" s="283" t="s">
        <v>7981</v>
      </c>
      <c r="D420" s="29" t="s">
        <v>7982</v>
      </c>
      <c r="E420" s="984" t="s">
        <v>3476</v>
      </c>
      <c r="F420" s="984" t="s">
        <v>3477</v>
      </c>
      <c r="G420" s="319">
        <v>2</v>
      </c>
      <c r="H420" s="1002">
        <v>100500</v>
      </c>
      <c r="I420" s="86">
        <f t="shared" si="26"/>
        <v>201000</v>
      </c>
      <c r="J420" s="20">
        <f t="shared" si="24"/>
        <v>90450</v>
      </c>
      <c r="K420" s="171">
        <f t="shared" si="25"/>
        <v>110550</v>
      </c>
      <c r="N420" s="17">
        <f t="shared" si="27"/>
        <v>110550</v>
      </c>
      <c r="O420" s="282" t="s">
        <v>23</v>
      </c>
      <c r="Q420" s="10" t="s">
        <v>54</v>
      </c>
    </row>
    <row r="421" spans="1:17" s="20" customFormat="1" ht="15.6">
      <c r="A421" s="991">
        <v>44523</v>
      </c>
      <c r="B421" s="282" t="s">
        <v>23</v>
      </c>
      <c r="C421" s="283" t="s">
        <v>7981</v>
      </c>
      <c r="D421" s="29" t="s">
        <v>7982</v>
      </c>
      <c r="E421" s="984" t="s">
        <v>7335</v>
      </c>
      <c r="F421" s="987" t="s">
        <v>4508</v>
      </c>
      <c r="G421" s="319">
        <v>2</v>
      </c>
      <c r="H421" s="1005">
        <v>48000</v>
      </c>
      <c r="I421" s="86">
        <f t="shared" si="26"/>
        <v>96000</v>
      </c>
      <c r="J421" s="20">
        <f t="shared" si="24"/>
        <v>43200</v>
      </c>
      <c r="K421" s="171">
        <f t="shared" si="25"/>
        <v>52800</v>
      </c>
      <c r="N421" s="17">
        <f t="shared" si="27"/>
        <v>52800</v>
      </c>
      <c r="O421" s="282" t="s">
        <v>23</v>
      </c>
      <c r="Q421" s="10" t="s">
        <v>54</v>
      </c>
    </row>
    <row r="422" spans="1:17" s="20" customFormat="1" ht="15.6">
      <c r="A422" s="991">
        <v>44523</v>
      </c>
      <c r="B422" s="282" t="s">
        <v>23</v>
      </c>
      <c r="C422" s="283" t="s">
        <v>7981</v>
      </c>
      <c r="D422" s="29" t="s">
        <v>7982</v>
      </c>
      <c r="E422" s="984" t="s">
        <v>8048</v>
      </c>
      <c r="F422" s="987" t="s">
        <v>8049</v>
      </c>
      <c r="G422" s="319">
        <v>2</v>
      </c>
      <c r="H422" s="1005">
        <v>69000</v>
      </c>
      <c r="I422" s="86">
        <f t="shared" si="26"/>
        <v>138000</v>
      </c>
      <c r="J422" s="20">
        <f t="shared" si="24"/>
        <v>62100</v>
      </c>
      <c r="K422" s="171">
        <f t="shared" si="25"/>
        <v>75900</v>
      </c>
      <c r="N422" s="17">
        <f t="shared" si="27"/>
        <v>75900</v>
      </c>
      <c r="O422" s="282" t="s">
        <v>23</v>
      </c>
      <c r="Q422" s="10" t="s">
        <v>54</v>
      </c>
    </row>
    <row r="423" spans="1:17" s="20" customFormat="1" ht="15.6">
      <c r="A423" s="991">
        <v>44523</v>
      </c>
      <c r="B423" s="282" t="s">
        <v>23</v>
      </c>
      <c r="C423" s="283" t="s">
        <v>7981</v>
      </c>
      <c r="D423" s="29" t="s">
        <v>7982</v>
      </c>
      <c r="E423" s="984" t="s">
        <v>8050</v>
      </c>
      <c r="F423" s="987" t="s">
        <v>8051</v>
      </c>
      <c r="G423" s="319">
        <v>2</v>
      </c>
      <c r="H423" s="1002">
        <v>234000</v>
      </c>
      <c r="I423" s="86">
        <f t="shared" si="26"/>
        <v>468000</v>
      </c>
      <c r="J423" s="20">
        <f t="shared" si="24"/>
        <v>210600</v>
      </c>
      <c r="K423" s="171">
        <f t="shared" si="25"/>
        <v>257400</v>
      </c>
      <c r="N423" s="17">
        <f t="shared" si="27"/>
        <v>257400</v>
      </c>
      <c r="O423" s="282" t="s">
        <v>23</v>
      </c>
      <c r="Q423" s="10" t="s">
        <v>54</v>
      </c>
    </row>
    <row r="424" spans="1:17" s="20" customFormat="1" ht="15.6">
      <c r="A424" s="991">
        <v>44523</v>
      </c>
      <c r="B424" s="282" t="s">
        <v>23</v>
      </c>
      <c r="C424" s="283" t="s">
        <v>7981</v>
      </c>
      <c r="D424" s="29" t="s">
        <v>7982</v>
      </c>
      <c r="E424" s="984" t="s">
        <v>8052</v>
      </c>
      <c r="F424" s="987" t="s">
        <v>8053</v>
      </c>
      <c r="G424" s="319">
        <v>2</v>
      </c>
      <c r="H424" s="1002">
        <v>149000</v>
      </c>
      <c r="I424" s="86">
        <f t="shared" si="26"/>
        <v>298000</v>
      </c>
      <c r="J424" s="20">
        <f t="shared" si="24"/>
        <v>134100</v>
      </c>
      <c r="K424" s="171">
        <f t="shared" si="25"/>
        <v>163900</v>
      </c>
      <c r="N424" s="17">
        <f t="shared" si="27"/>
        <v>163900</v>
      </c>
      <c r="O424" s="282" t="s">
        <v>23</v>
      </c>
      <c r="Q424" s="10" t="s">
        <v>54</v>
      </c>
    </row>
    <row r="425" spans="1:17" s="20" customFormat="1" ht="15.6">
      <c r="A425" s="991">
        <v>44523</v>
      </c>
      <c r="B425" s="282" t="s">
        <v>23</v>
      </c>
      <c r="C425" s="283" t="s">
        <v>7981</v>
      </c>
      <c r="D425" s="29" t="s">
        <v>7982</v>
      </c>
      <c r="E425" s="984" t="s">
        <v>7869</v>
      </c>
      <c r="F425" s="987" t="s">
        <v>7870</v>
      </c>
      <c r="G425" s="319">
        <v>2</v>
      </c>
      <c r="H425" s="1002">
        <v>86000</v>
      </c>
      <c r="I425" s="86">
        <f t="shared" si="26"/>
        <v>172000</v>
      </c>
      <c r="J425" s="20">
        <f t="shared" ref="J425:J488" si="28">I425*45%</f>
        <v>77400</v>
      </c>
      <c r="K425" s="171">
        <f t="shared" si="25"/>
        <v>94600</v>
      </c>
      <c r="N425" s="17">
        <f t="shared" si="27"/>
        <v>94600</v>
      </c>
      <c r="O425" s="282" t="s">
        <v>23</v>
      </c>
      <c r="Q425" s="10" t="s">
        <v>54</v>
      </c>
    </row>
    <row r="426" spans="1:17" s="20" customFormat="1" ht="15.6">
      <c r="A426" s="991">
        <v>44523</v>
      </c>
      <c r="B426" s="282" t="s">
        <v>23</v>
      </c>
      <c r="C426" s="283" t="s">
        <v>7981</v>
      </c>
      <c r="D426" s="29" t="s">
        <v>7982</v>
      </c>
      <c r="E426" s="984" t="s">
        <v>8054</v>
      </c>
      <c r="F426" s="987" t="s">
        <v>8055</v>
      </c>
      <c r="G426" s="319">
        <v>2</v>
      </c>
      <c r="H426" s="1004">
        <v>98000</v>
      </c>
      <c r="I426" s="86">
        <f t="shared" si="26"/>
        <v>196000</v>
      </c>
      <c r="J426" s="20">
        <f t="shared" si="28"/>
        <v>88200</v>
      </c>
      <c r="K426" s="171">
        <f t="shared" si="25"/>
        <v>107800</v>
      </c>
      <c r="N426" s="17">
        <f t="shared" si="27"/>
        <v>107800</v>
      </c>
      <c r="O426" s="282" t="s">
        <v>23</v>
      </c>
      <c r="Q426" s="10" t="s">
        <v>54</v>
      </c>
    </row>
    <row r="427" spans="1:17" s="20" customFormat="1" ht="15.6">
      <c r="A427" s="991">
        <v>44523</v>
      </c>
      <c r="B427" s="282" t="s">
        <v>23</v>
      </c>
      <c r="C427" s="283" t="s">
        <v>7981</v>
      </c>
      <c r="D427" s="29" t="s">
        <v>7982</v>
      </c>
      <c r="E427" s="984" t="s">
        <v>8056</v>
      </c>
      <c r="F427" s="987" t="s">
        <v>8057</v>
      </c>
      <c r="G427" s="319">
        <v>2</v>
      </c>
      <c r="H427" s="1002">
        <v>94000</v>
      </c>
      <c r="I427" s="86">
        <f t="shared" si="26"/>
        <v>188000</v>
      </c>
      <c r="J427" s="20">
        <f t="shared" si="28"/>
        <v>84600</v>
      </c>
      <c r="K427" s="171">
        <f t="shared" si="25"/>
        <v>103400</v>
      </c>
      <c r="N427" s="17">
        <f t="shared" si="27"/>
        <v>103400</v>
      </c>
      <c r="O427" s="282" t="s">
        <v>23</v>
      </c>
      <c r="Q427" s="10" t="s">
        <v>54</v>
      </c>
    </row>
    <row r="428" spans="1:17" s="20" customFormat="1" ht="15.6">
      <c r="A428" s="991">
        <v>44523</v>
      </c>
      <c r="B428" s="282" t="s">
        <v>23</v>
      </c>
      <c r="C428" s="283" t="s">
        <v>7981</v>
      </c>
      <c r="D428" s="29" t="s">
        <v>7982</v>
      </c>
      <c r="E428" s="984" t="s">
        <v>180</v>
      </c>
      <c r="F428" s="987" t="s">
        <v>181</v>
      </c>
      <c r="G428" s="319">
        <v>2</v>
      </c>
      <c r="H428" s="1002">
        <v>85000</v>
      </c>
      <c r="I428" s="86">
        <f t="shared" si="26"/>
        <v>170000</v>
      </c>
      <c r="J428" s="20">
        <f t="shared" si="28"/>
        <v>76500</v>
      </c>
      <c r="K428" s="171">
        <f t="shared" si="25"/>
        <v>93500</v>
      </c>
      <c r="N428" s="17">
        <f t="shared" si="27"/>
        <v>93500</v>
      </c>
      <c r="O428" s="282" t="s">
        <v>23</v>
      </c>
      <c r="Q428" s="10" t="s">
        <v>54</v>
      </c>
    </row>
    <row r="429" spans="1:17" s="20" customFormat="1" ht="15.6">
      <c r="A429" s="991">
        <v>44523</v>
      </c>
      <c r="B429" s="282" t="s">
        <v>23</v>
      </c>
      <c r="C429" s="283" t="s">
        <v>7981</v>
      </c>
      <c r="D429" s="29" t="s">
        <v>7982</v>
      </c>
      <c r="E429" s="984" t="s">
        <v>5149</v>
      </c>
      <c r="F429" s="987" t="s">
        <v>658</v>
      </c>
      <c r="G429" s="319">
        <v>2</v>
      </c>
      <c r="H429" s="1005">
        <v>62000</v>
      </c>
      <c r="I429" s="86">
        <f t="shared" si="26"/>
        <v>124000</v>
      </c>
      <c r="J429" s="20">
        <f t="shared" si="28"/>
        <v>55800</v>
      </c>
      <c r="K429" s="171">
        <f t="shared" si="25"/>
        <v>68200</v>
      </c>
      <c r="N429" s="17">
        <f t="shared" si="27"/>
        <v>68200</v>
      </c>
      <c r="O429" s="282" t="s">
        <v>23</v>
      </c>
      <c r="Q429" s="10" t="s">
        <v>54</v>
      </c>
    </row>
    <row r="430" spans="1:17" s="20" customFormat="1" ht="15.6">
      <c r="A430" s="991">
        <v>44523</v>
      </c>
      <c r="B430" s="282" t="s">
        <v>23</v>
      </c>
      <c r="C430" s="283" t="s">
        <v>7981</v>
      </c>
      <c r="D430" s="29" t="s">
        <v>7982</v>
      </c>
      <c r="E430" s="984" t="s">
        <v>8058</v>
      </c>
      <c r="F430" s="987" t="s">
        <v>8059</v>
      </c>
      <c r="G430" s="319">
        <v>2</v>
      </c>
      <c r="H430" s="1006">
        <v>117000</v>
      </c>
      <c r="I430" s="86">
        <f t="shared" si="26"/>
        <v>234000</v>
      </c>
      <c r="J430" s="20">
        <f t="shared" si="28"/>
        <v>105300</v>
      </c>
      <c r="K430" s="171">
        <f t="shared" si="25"/>
        <v>128700</v>
      </c>
      <c r="N430" s="17">
        <f t="shared" si="27"/>
        <v>128700</v>
      </c>
      <c r="O430" s="282" t="s">
        <v>23</v>
      </c>
      <c r="Q430" s="10" t="s">
        <v>54</v>
      </c>
    </row>
    <row r="431" spans="1:17" s="20" customFormat="1" ht="15.6">
      <c r="A431" s="991">
        <v>44523</v>
      </c>
      <c r="B431" s="282" t="s">
        <v>23</v>
      </c>
      <c r="C431" s="283" t="s">
        <v>7981</v>
      </c>
      <c r="D431" s="29" t="s">
        <v>7982</v>
      </c>
      <c r="E431" s="984" t="s">
        <v>4636</v>
      </c>
      <c r="F431" s="984" t="s">
        <v>8060</v>
      </c>
      <c r="G431" s="319">
        <v>2</v>
      </c>
      <c r="H431" s="1005">
        <v>100000</v>
      </c>
      <c r="I431" s="86">
        <f t="shared" si="26"/>
        <v>200000</v>
      </c>
      <c r="J431" s="20">
        <f t="shared" si="28"/>
        <v>90000</v>
      </c>
      <c r="K431" s="171">
        <f t="shared" si="25"/>
        <v>110000</v>
      </c>
      <c r="N431" s="17">
        <f t="shared" si="27"/>
        <v>110000</v>
      </c>
      <c r="O431" s="282" t="s">
        <v>23</v>
      </c>
      <c r="Q431" s="10" t="s">
        <v>54</v>
      </c>
    </row>
    <row r="432" spans="1:17" s="20" customFormat="1" ht="15.6">
      <c r="A432" s="991">
        <v>44523</v>
      </c>
      <c r="B432" s="282" t="s">
        <v>23</v>
      </c>
      <c r="C432" s="283" t="s">
        <v>7981</v>
      </c>
      <c r="D432" s="29" t="s">
        <v>7982</v>
      </c>
      <c r="E432" s="984" t="s">
        <v>6096</v>
      </c>
      <c r="F432" s="987" t="s">
        <v>6097</v>
      </c>
      <c r="G432" s="319">
        <v>2</v>
      </c>
      <c r="H432" s="1002">
        <v>138000</v>
      </c>
      <c r="I432" s="86">
        <f t="shared" si="26"/>
        <v>276000</v>
      </c>
      <c r="J432" s="20">
        <f t="shared" si="28"/>
        <v>124200</v>
      </c>
      <c r="K432" s="171">
        <f t="shared" si="25"/>
        <v>151800</v>
      </c>
      <c r="N432" s="17">
        <f t="shared" si="27"/>
        <v>151800</v>
      </c>
      <c r="O432" s="282" t="s">
        <v>23</v>
      </c>
      <c r="Q432" s="10" t="s">
        <v>54</v>
      </c>
    </row>
    <row r="433" spans="1:17" s="20" customFormat="1" ht="15.6">
      <c r="A433" s="991">
        <v>44523</v>
      </c>
      <c r="B433" s="282" t="s">
        <v>23</v>
      </c>
      <c r="C433" s="283" t="s">
        <v>7981</v>
      </c>
      <c r="D433" s="29" t="s">
        <v>7982</v>
      </c>
      <c r="E433" s="984" t="s">
        <v>8061</v>
      </c>
      <c r="F433" s="984" t="s">
        <v>8062</v>
      </c>
      <c r="G433" s="319">
        <v>2</v>
      </c>
      <c r="H433" s="1002">
        <v>82000</v>
      </c>
      <c r="I433" s="86">
        <f t="shared" si="26"/>
        <v>164000</v>
      </c>
      <c r="J433" s="20">
        <f t="shared" si="28"/>
        <v>73800</v>
      </c>
      <c r="K433" s="171">
        <f t="shared" si="25"/>
        <v>90200</v>
      </c>
      <c r="N433" s="17">
        <f t="shared" si="27"/>
        <v>90200</v>
      </c>
      <c r="O433" s="282" t="s">
        <v>23</v>
      </c>
      <c r="Q433" s="10" t="s">
        <v>54</v>
      </c>
    </row>
    <row r="434" spans="1:17" s="20" customFormat="1" ht="15.6">
      <c r="A434" s="991">
        <v>44523</v>
      </c>
      <c r="B434" s="282" t="s">
        <v>23</v>
      </c>
      <c r="C434" s="283" t="s">
        <v>7981</v>
      </c>
      <c r="D434" s="29" t="s">
        <v>7982</v>
      </c>
      <c r="E434" s="984" t="s">
        <v>8063</v>
      </c>
      <c r="F434" s="987" t="s">
        <v>8064</v>
      </c>
      <c r="G434" s="319">
        <v>2</v>
      </c>
      <c r="H434" s="1002">
        <v>151000</v>
      </c>
      <c r="I434" s="86">
        <f t="shared" si="26"/>
        <v>302000</v>
      </c>
      <c r="J434" s="20">
        <f t="shared" si="28"/>
        <v>135900</v>
      </c>
      <c r="K434" s="171">
        <f t="shared" si="25"/>
        <v>166100</v>
      </c>
      <c r="N434" s="17">
        <f t="shared" si="27"/>
        <v>166100</v>
      </c>
      <c r="O434" s="282" t="s">
        <v>23</v>
      </c>
      <c r="Q434" s="10" t="s">
        <v>54</v>
      </c>
    </row>
    <row r="435" spans="1:17" s="20" customFormat="1" ht="15.6">
      <c r="A435" s="991">
        <v>44523</v>
      </c>
      <c r="B435" s="282" t="s">
        <v>23</v>
      </c>
      <c r="C435" s="283" t="s">
        <v>7981</v>
      </c>
      <c r="D435" s="29" t="s">
        <v>7982</v>
      </c>
      <c r="E435" s="984" t="s">
        <v>8065</v>
      </c>
      <c r="F435" s="984" t="s">
        <v>8066</v>
      </c>
      <c r="G435" s="319">
        <v>2</v>
      </c>
      <c r="H435" s="1002">
        <v>64000</v>
      </c>
      <c r="I435" s="86">
        <f t="shared" si="26"/>
        <v>128000</v>
      </c>
      <c r="J435" s="20">
        <f t="shared" si="28"/>
        <v>57600</v>
      </c>
      <c r="K435" s="171">
        <f t="shared" si="25"/>
        <v>70400</v>
      </c>
      <c r="N435" s="17">
        <f t="shared" si="27"/>
        <v>70400</v>
      </c>
      <c r="O435" s="282" t="s">
        <v>23</v>
      </c>
      <c r="Q435" s="10" t="s">
        <v>54</v>
      </c>
    </row>
    <row r="436" spans="1:17" s="20" customFormat="1" ht="15.6">
      <c r="A436" s="991">
        <v>44523</v>
      </c>
      <c r="B436" s="282" t="s">
        <v>23</v>
      </c>
      <c r="C436" s="283" t="s">
        <v>7981</v>
      </c>
      <c r="D436" s="29" t="s">
        <v>7982</v>
      </c>
      <c r="E436" s="984" t="s">
        <v>8067</v>
      </c>
      <c r="F436" s="984" t="s">
        <v>8068</v>
      </c>
      <c r="G436" s="319">
        <v>2</v>
      </c>
      <c r="H436" s="1006">
        <v>111000</v>
      </c>
      <c r="I436" s="86">
        <f t="shared" si="26"/>
        <v>222000</v>
      </c>
      <c r="J436" s="20">
        <f t="shared" si="28"/>
        <v>99900</v>
      </c>
      <c r="K436" s="171">
        <f t="shared" si="25"/>
        <v>122100</v>
      </c>
      <c r="N436" s="17">
        <f t="shared" si="27"/>
        <v>122100</v>
      </c>
      <c r="O436" s="282" t="s">
        <v>23</v>
      </c>
      <c r="Q436" s="10" t="s">
        <v>54</v>
      </c>
    </row>
    <row r="437" spans="1:17" s="20" customFormat="1" ht="15.6">
      <c r="A437" s="991">
        <v>44523</v>
      </c>
      <c r="B437" s="282" t="s">
        <v>23</v>
      </c>
      <c r="C437" s="283" t="s">
        <v>7981</v>
      </c>
      <c r="D437" s="29" t="s">
        <v>7982</v>
      </c>
      <c r="E437" s="984" t="s">
        <v>8069</v>
      </c>
      <c r="F437" s="987" t="s">
        <v>8070</v>
      </c>
      <c r="G437" s="319">
        <v>2</v>
      </c>
      <c r="H437" s="1005">
        <v>72000</v>
      </c>
      <c r="I437" s="86">
        <f t="shared" si="26"/>
        <v>144000</v>
      </c>
      <c r="J437" s="20">
        <f t="shared" si="28"/>
        <v>64800</v>
      </c>
      <c r="K437" s="171">
        <f t="shared" si="25"/>
        <v>79200</v>
      </c>
      <c r="N437" s="17">
        <f t="shared" si="27"/>
        <v>79200</v>
      </c>
      <c r="O437" s="282" t="s">
        <v>23</v>
      </c>
      <c r="Q437" s="10" t="s">
        <v>54</v>
      </c>
    </row>
    <row r="438" spans="1:17" s="20" customFormat="1" ht="15.6">
      <c r="A438" s="991">
        <v>44523</v>
      </c>
      <c r="B438" s="282" t="s">
        <v>23</v>
      </c>
      <c r="C438" s="283" t="s">
        <v>7981</v>
      </c>
      <c r="D438" s="29" t="s">
        <v>7982</v>
      </c>
      <c r="E438" s="984" t="s">
        <v>8071</v>
      </c>
      <c r="F438" s="987" t="s">
        <v>8072</v>
      </c>
      <c r="G438" s="319">
        <v>2</v>
      </c>
      <c r="H438" s="1005">
        <v>63000</v>
      </c>
      <c r="I438" s="86">
        <f t="shared" si="26"/>
        <v>126000</v>
      </c>
      <c r="J438" s="20">
        <f t="shared" si="28"/>
        <v>56700</v>
      </c>
      <c r="K438" s="171">
        <f t="shared" si="25"/>
        <v>69300</v>
      </c>
      <c r="N438" s="17">
        <f t="shared" si="27"/>
        <v>69300</v>
      </c>
      <c r="O438" s="282" t="s">
        <v>23</v>
      </c>
      <c r="Q438" s="10" t="s">
        <v>54</v>
      </c>
    </row>
    <row r="439" spans="1:17" s="20" customFormat="1" ht="15.6">
      <c r="A439" s="991">
        <v>44523</v>
      </c>
      <c r="B439" s="282" t="s">
        <v>23</v>
      </c>
      <c r="C439" s="283" t="s">
        <v>7981</v>
      </c>
      <c r="D439" s="29" t="s">
        <v>7982</v>
      </c>
      <c r="E439" s="984" t="s">
        <v>8073</v>
      </c>
      <c r="F439" s="984" t="s">
        <v>8074</v>
      </c>
      <c r="G439" s="319">
        <v>2</v>
      </c>
      <c r="H439" s="1002">
        <v>92500</v>
      </c>
      <c r="I439" s="86">
        <f t="shared" si="26"/>
        <v>185000</v>
      </c>
      <c r="J439" s="20">
        <f t="shared" si="28"/>
        <v>83250</v>
      </c>
      <c r="K439" s="171">
        <f t="shared" si="25"/>
        <v>101750</v>
      </c>
      <c r="N439" s="17">
        <f t="shared" si="27"/>
        <v>101750</v>
      </c>
      <c r="O439" s="282" t="s">
        <v>23</v>
      </c>
      <c r="Q439" s="10" t="s">
        <v>54</v>
      </c>
    </row>
    <row r="440" spans="1:17" s="20" customFormat="1" ht="15.6">
      <c r="A440" s="991">
        <v>44523</v>
      </c>
      <c r="B440" s="282" t="s">
        <v>23</v>
      </c>
      <c r="C440" s="283" t="s">
        <v>7981</v>
      </c>
      <c r="D440" s="29" t="s">
        <v>7982</v>
      </c>
      <c r="E440" s="984" t="s">
        <v>8075</v>
      </c>
      <c r="F440" s="987" t="s">
        <v>8076</v>
      </c>
      <c r="G440" s="319">
        <v>2</v>
      </c>
      <c r="H440" s="1002">
        <v>66000</v>
      </c>
      <c r="I440" s="86">
        <f t="shared" si="26"/>
        <v>132000</v>
      </c>
      <c r="J440" s="20">
        <f t="shared" si="28"/>
        <v>59400</v>
      </c>
      <c r="K440" s="171">
        <f t="shared" si="25"/>
        <v>72600</v>
      </c>
      <c r="N440" s="17">
        <f t="shared" si="27"/>
        <v>72600</v>
      </c>
      <c r="O440" s="282" t="s">
        <v>23</v>
      </c>
      <c r="Q440" s="10" t="s">
        <v>54</v>
      </c>
    </row>
    <row r="441" spans="1:17" s="20" customFormat="1" ht="15.6">
      <c r="A441" s="991">
        <v>44523</v>
      </c>
      <c r="B441" s="282" t="s">
        <v>23</v>
      </c>
      <c r="C441" s="283" t="s">
        <v>7981</v>
      </c>
      <c r="D441" s="29" t="s">
        <v>7982</v>
      </c>
      <c r="E441" s="984" t="s">
        <v>8077</v>
      </c>
      <c r="F441" s="987" t="s">
        <v>8078</v>
      </c>
      <c r="G441" s="319">
        <v>2</v>
      </c>
      <c r="H441" s="1002">
        <v>94000</v>
      </c>
      <c r="I441" s="86">
        <f t="shared" si="26"/>
        <v>188000</v>
      </c>
      <c r="J441" s="20">
        <f t="shared" si="28"/>
        <v>84600</v>
      </c>
      <c r="K441" s="171">
        <f t="shared" si="25"/>
        <v>103400</v>
      </c>
      <c r="N441" s="17">
        <f t="shared" si="27"/>
        <v>103400</v>
      </c>
      <c r="O441" s="282" t="s">
        <v>23</v>
      </c>
      <c r="Q441" s="10" t="s">
        <v>54</v>
      </c>
    </row>
    <row r="442" spans="1:17" s="20" customFormat="1" ht="15.6">
      <c r="A442" s="991">
        <v>44523</v>
      </c>
      <c r="B442" s="282" t="s">
        <v>23</v>
      </c>
      <c r="C442" s="283" t="s">
        <v>7981</v>
      </c>
      <c r="D442" s="29" t="s">
        <v>7982</v>
      </c>
      <c r="E442" s="984" t="s">
        <v>641</v>
      </c>
      <c r="F442" s="987" t="s">
        <v>642</v>
      </c>
      <c r="G442" s="319">
        <v>2</v>
      </c>
      <c r="H442" s="1002">
        <v>117500</v>
      </c>
      <c r="I442" s="86">
        <f t="shared" si="26"/>
        <v>235000</v>
      </c>
      <c r="J442" s="20">
        <f t="shared" si="28"/>
        <v>105750</v>
      </c>
      <c r="K442" s="171">
        <f t="shared" si="25"/>
        <v>129250</v>
      </c>
      <c r="N442" s="17">
        <f t="shared" si="27"/>
        <v>129250</v>
      </c>
      <c r="O442" s="282" t="s">
        <v>23</v>
      </c>
      <c r="Q442" s="10" t="s">
        <v>54</v>
      </c>
    </row>
    <row r="443" spans="1:17" s="20" customFormat="1" ht="15.6">
      <c r="A443" s="991">
        <v>44523</v>
      </c>
      <c r="B443" s="282" t="s">
        <v>23</v>
      </c>
      <c r="C443" s="283" t="s">
        <v>7981</v>
      </c>
      <c r="D443" s="29" t="s">
        <v>7982</v>
      </c>
      <c r="E443" s="984" t="s">
        <v>3220</v>
      </c>
      <c r="F443" s="987" t="s">
        <v>3221</v>
      </c>
      <c r="G443" s="319">
        <v>2</v>
      </c>
      <c r="H443" s="1002">
        <v>98000</v>
      </c>
      <c r="I443" s="86">
        <f t="shared" si="26"/>
        <v>196000</v>
      </c>
      <c r="J443" s="20">
        <f t="shared" si="28"/>
        <v>88200</v>
      </c>
      <c r="K443" s="171">
        <f t="shared" si="25"/>
        <v>107800</v>
      </c>
      <c r="N443" s="17">
        <f t="shared" si="27"/>
        <v>107800</v>
      </c>
      <c r="O443" s="282" t="s">
        <v>23</v>
      </c>
      <c r="Q443" s="10" t="s">
        <v>54</v>
      </c>
    </row>
    <row r="444" spans="1:17" s="20" customFormat="1" ht="15.6">
      <c r="A444" s="991">
        <v>44523</v>
      </c>
      <c r="B444" s="282" t="s">
        <v>23</v>
      </c>
      <c r="C444" s="283" t="s">
        <v>7981</v>
      </c>
      <c r="D444" s="29" t="s">
        <v>7982</v>
      </c>
      <c r="E444" s="984" t="s">
        <v>3137</v>
      </c>
      <c r="F444" s="987" t="s">
        <v>3138</v>
      </c>
      <c r="G444" s="319">
        <v>2</v>
      </c>
      <c r="H444" s="1004">
        <v>64500</v>
      </c>
      <c r="I444" s="86">
        <f t="shared" si="26"/>
        <v>129000</v>
      </c>
      <c r="J444" s="20">
        <f t="shared" si="28"/>
        <v>58050</v>
      </c>
      <c r="K444" s="171">
        <f t="shared" si="25"/>
        <v>70950</v>
      </c>
      <c r="N444" s="17">
        <f t="shared" si="27"/>
        <v>70950</v>
      </c>
      <c r="O444" s="282" t="s">
        <v>23</v>
      </c>
      <c r="Q444" s="10" t="s">
        <v>54</v>
      </c>
    </row>
    <row r="445" spans="1:17" s="20" customFormat="1" ht="15.6">
      <c r="A445" s="991">
        <v>44523</v>
      </c>
      <c r="B445" s="282" t="s">
        <v>23</v>
      </c>
      <c r="C445" s="283" t="s">
        <v>7981</v>
      </c>
      <c r="D445" s="29" t="s">
        <v>7982</v>
      </c>
      <c r="E445" s="984" t="s">
        <v>8079</v>
      </c>
      <c r="F445" s="984" t="s">
        <v>8080</v>
      </c>
      <c r="G445" s="319">
        <v>2</v>
      </c>
      <c r="H445" s="1002">
        <v>143000</v>
      </c>
      <c r="I445" s="86">
        <f t="shared" si="26"/>
        <v>286000</v>
      </c>
      <c r="J445" s="20">
        <f t="shared" si="28"/>
        <v>128700</v>
      </c>
      <c r="K445" s="171">
        <f t="shared" si="25"/>
        <v>157300</v>
      </c>
      <c r="N445" s="17">
        <f t="shared" si="27"/>
        <v>157300</v>
      </c>
      <c r="O445" s="282" t="s">
        <v>23</v>
      </c>
      <c r="Q445" s="10" t="s">
        <v>54</v>
      </c>
    </row>
    <row r="446" spans="1:17" s="20" customFormat="1" ht="15.6">
      <c r="A446" s="991">
        <v>44523</v>
      </c>
      <c r="B446" s="282" t="s">
        <v>23</v>
      </c>
      <c r="C446" s="283" t="s">
        <v>7981</v>
      </c>
      <c r="D446" s="29" t="s">
        <v>7982</v>
      </c>
      <c r="E446" s="984" t="s">
        <v>4507</v>
      </c>
      <c r="F446" s="987" t="s">
        <v>4508</v>
      </c>
      <c r="G446" s="319">
        <v>2</v>
      </c>
      <c r="H446" s="1004">
        <v>77000</v>
      </c>
      <c r="I446" s="86">
        <f t="shared" si="26"/>
        <v>154000</v>
      </c>
      <c r="J446" s="20">
        <f t="shared" si="28"/>
        <v>69300</v>
      </c>
      <c r="K446" s="171">
        <f t="shared" si="25"/>
        <v>84700</v>
      </c>
      <c r="N446" s="17">
        <f t="shared" si="27"/>
        <v>84700</v>
      </c>
      <c r="O446" s="282" t="s">
        <v>23</v>
      </c>
      <c r="Q446" s="10" t="s">
        <v>54</v>
      </c>
    </row>
    <row r="447" spans="1:17" s="20" customFormat="1" ht="15.6">
      <c r="A447" s="991">
        <v>44523</v>
      </c>
      <c r="B447" s="282" t="s">
        <v>23</v>
      </c>
      <c r="C447" s="283" t="s">
        <v>7981</v>
      </c>
      <c r="D447" s="29" t="s">
        <v>7982</v>
      </c>
      <c r="E447" s="984" t="s">
        <v>8081</v>
      </c>
      <c r="F447" s="987" t="s">
        <v>8082</v>
      </c>
      <c r="G447" s="319">
        <v>2</v>
      </c>
      <c r="H447" s="1002">
        <v>88000</v>
      </c>
      <c r="I447" s="86">
        <f t="shared" si="26"/>
        <v>176000</v>
      </c>
      <c r="J447" s="20">
        <f t="shared" si="28"/>
        <v>79200</v>
      </c>
      <c r="K447" s="171">
        <f t="shared" si="25"/>
        <v>96800</v>
      </c>
      <c r="N447" s="17">
        <f t="shared" si="27"/>
        <v>96800</v>
      </c>
      <c r="O447" s="282" t="s">
        <v>23</v>
      </c>
      <c r="Q447" s="10" t="s">
        <v>54</v>
      </c>
    </row>
    <row r="448" spans="1:17" s="20" customFormat="1" ht="15.6">
      <c r="A448" s="991">
        <v>44523</v>
      </c>
      <c r="B448" s="282" t="s">
        <v>23</v>
      </c>
      <c r="C448" s="283" t="s">
        <v>7981</v>
      </c>
      <c r="D448" s="29" t="s">
        <v>7982</v>
      </c>
      <c r="E448" s="984" t="s">
        <v>8083</v>
      </c>
      <c r="F448" s="987" t="s">
        <v>8084</v>
      </c>
      <c r="G448" s="319">
        <v>2</v>
      </c>
      <c r="H448" s="1007">
        <v>204000</v>
      </c>
      <c r="I448" s="86">
        <f t="shared" si="26"/>
        <v>408000</v>
      </c>
      <c r="J448" s="20">
        <f t="shared" si="28"/>
        <v>183600</v>
      </c>
      <c r="K448" s="171">
        <f t="shared" si="25"/>
        <v>224400</v>
      </c>
      <c r="N448" s="17">
        <f t="shared" si="27"/>
        <v>224400</v>
      </c>
      <c r="O448" s="282" t="s">
        <v>23</v>
      </c>
      <c r="Q448" s="10" t="s">
        <v>54</v>
      </c>
    </row>
    <row r="449" spans="1:17" s="20" customFormat="1" ht="15.6">
      <c r="A449" s="991">
        <v>44523</v>
      </c>
      <c r="B449" s="282" t="s">
        <v>23</v>
      </c>
      <c r="C449" s="283" t="s">
        <v>7981</v>
      </c>
      <c r="D449" s="29" t="s">
        <v>7982</v>
      </c>
      <c r="E449" s="984" t="s">
        <v>8085</v>
      </c>
      <c r="F449" s="987" t="s">
        <v>8086</v>
      </c>
      <c r="G449" s="319">
        <v>2</v>
      </c>
      <c r="H449" s="1008">
        <v>138000</v>
      </c>
      <c r="I449" s="86">
        <f t="shared" si="26"/>
        <v>276000</v>
      </c>
      <c r="J449" s="20">
        <f t="shared" si="28"/>
        <v>124200</v>
      </c>
      <c r="K449" s="171">
        <f t="shared" si="25"/>
        <v>151800</v>
      </c>
      <c r="N449" s="17">
        <f t="shared" si="27"/>
        <v>151800</v>
      </c>
      <c r="O449" s="282" t="s">
        <v>23</v>
      </c>
      <c r="Q449" s="10" t="s">
        <v>54</v>
      </c>
    </row>
    <row r="450" spans="1:17" s="20" customFormat="1" ht="15.6">
      <c r="A450" s="991">
        <v>44523</v>
      </c>
      <c r="B450" s="282" t="s">
        <v>23</v>
      </c>
      <c r="C450" s="283" t="s">
        <v>7981</v>
      </c>
      <c r="D450" s="29" t="s">
        <v>7982</v>
      </c>
      <c r="E450" s="984" t="s">
        <v>8087</v>
      </c>
      <c r="F450" s="987" t="s">
        <v>8088</v>
      </c>
      <c r="G450" s="319">
        <v>2</v>
      </c>
      <c r="H450" s="1002">
        <v>115000</v>
      </c>
      <c r="I450" s="86">
        <f t="shared" si="26"/>
        <v>230000</v>
      </c>
      <c r="J450" s="20">
        <f t="shared" si="28"/>
        <v>103500</v>
      </c>
      <c r="K450" s="171">
        <f t="shared" si="25"/>
        <v>126500</v>
      </c>
      <c r="N450" s="17">
        <f t="shared" si="27"/>
        <v>126500</v>
      </c>
      <c r="O450" s="282" t="s">
        <v>23</v>
      </c>
      <c r="Q450" s="10" t="s">
        <v>54</v>
      </c>
    </row>
    <row r="451" spans="1:17" s="20" customFormat="1" ht="15.6">
      <c r="A451" s="991">
        <v>44523</v>
      </c>
      <c r="B451" s="282" t="s">
        <v>23</v>
      </c>
      <c r="C451" s="283" t="s">
        <v>7981</v>
      </c>
      <c r="D451" s="29" t="s">
        <v>7982</v>
      </c>
      <c r="E451" s="984" t="s">
        <v>8089</v>
      </c>
      <c r="F451" s="987" t="s">
        <v>8090</v>
      </c>
      <c r="G451" s="319">
        <v>2</v>
      </c>
      <c r="H451" s="1002">
        <v>85500</v>
      </c>
      <c r="I451" s="86">
        <f t="shared" si="26"/>
        <v>171000</v>
      </c>
      <c r="J451" s="20">
        <f t="shared" si="28"/>
        <v>76950</v>
      </c>
      <c r="K451" s="171">
        <f t="shared" si="25"/>
        <v>94050</v>
      </c>
      <c r="N451" s="17">
        <f t="shared" si="27"/>
        <v>94050</v>
      </c>
      <c r="O451" s="282" t="s">
        <v>23</v>
      </c>
      <c r="Q451" s="10" t="s">
        <v>54</v>
      </c>
    </row>
    <row r="452" spans="1:17" s="20" customFormat="1" ht="15.6">
      <c r="A452" s="991">
        <v>44523</v>
      </c>
      <c r="B452" s="282" t="s">
        <v>23</v>
      </c>
      <c r="C452" s="283" t="s">
        <v>7981</v>
      </c>
      <c r="D452" s="29" t="s">
        <v>7982</v>
      </c>
      <c r="E452" s="984" t="s">
        <v>8091</v>
      </c>
      <c r="F452" s="987" t="s">
        <v>8092</v>
      </c>
      <c r="G452" s="319">
        <v>2</v>
      </c>
      <c r="H452" s="1002">
        <v>79000</v>
      </c>
      <c r="I452" s="86">
        <f t="shared" si="26"/>
        <v>158000</v>
      </c>
      <c r="J452" s="20">
        <f t="shared" si="28"/>
        <v>71100</v>
      </c>
      <c r="K452" s="171">
        <f t="shared" ref="K452:K515" si="29">I452-J452</f>
        <v>86900</v>
      </c>
      <c r="N452" s="17">
        <f t="shared" si="27"/>
        <v>86900</v>
      </c>
      <c r="O452" s="282" t="s">
        <v>23</v>
      </c>
      <c r="Q452" s="10" t="s">
        <v>54</v>
      </c>
    </row>
    <row r="453" spans="1:17" s="20" customFormat="1" ht="15.6">
      <c r="A453" s="991">
        <v>44523</v>
      </c>
      <c r="B453" s="282" t="s">
        <v>23</v>
      </c>
      <c r="C453" s="283" t="s">
        <v>7981</v>
      </c>
      <c r="D453" s="29" t="s">
        <v>7982</v>
      </c>
      <c r="E453" s="984" t="s">
        <v>5564</v>
      </c>
      <c r="F453" s="984" t="s">
        <v>5565</v>
      </c>
      <c r="G453" s="319">
        <v>2</v>
      </c>
      <c r="H453" s="1002">
        <v>85000</v>
      </c>
      <c r="I453" s="86">
        <f t="shared" ref="I453:I516" si="30">H453*G453</f>
        <v>170000</v>
      </c>
      <c r="J453" s="20">
        <f t="shared" si="28"/>
        <v>76500</v>
      </c>
      <c r="K453" s="171">
        <f t="shared" si="29"/>
        <v>93500</v>
      </c>
      <c r="N453" s="17">
        <f t="shared" si="27"/>
        <v>93500</v>
      </c>
      <c r="O453" s="282" t="s">
        <v>23</v>
      </c>
      <c r="Q453" s="10" t="s">
        <v>54</v>
      </c>
    </row>
    <row r="454" spans="1:17" s="20" customFormat="1" ht="15.6">
      <c r="A454" s="991">
        <v>44523</v>
      </c>
      <c r="B454" s="282" t="s">
        <v>23</v>
      </c>
      <c r="C454" s="283" t="s">
        <v>7981</v>
      </c>
      <c r="D454" s="29" t="s">
        <v>7982</v>
      </c>
      <c r="E454" s="984" t="s">
        <v>8093</v>
      </c>
      <c r="F454" s="987" t="s">
        <v>8094</v>
      </c>
      <c r="G454" s="319">
        <v>2</v>
      </c>
      <c r="H454" s="1006">
        <v>174000</v>
      </c>
      <c r="I454" s="86">
        <f t="shared" si="30"/>
        <v>348000</v>
      </c>
      <c r="J454" s="20">
        <f t="shared" si="28"/>
        <v>156600</v>
      </c>
      <c r="K454" s="171">
        <f t="shared" si="29"/>
        <v>191400</v>
      </c>
      <c r="N454" s="17">
        <f t="shared" si="27"/>
        <v>191400</v>
      </c>
      <c r="O454" s="282" t="s">
        <v>23</v>
      </c>
      <c r="Q454" s="10" t="s">
        <v>54</v>
      </c>
    </row>
    <row r="455" spans="1:17" s="20" customFormat="1" ht="15.6">
      <c r="A455" s="991">
        <v>44523</v>
      </c>
      <c r="B455" s="282" t="s">
        <v>23</v>
      </c>
      <c r="C455" s="283" t="s">
        <v>7981</v>
      </c>
      <c r="D455" s="29" t="s">
        <v>7982</v>
      </c>
      <c r="E455" s="984" t="s">
        <v>8095</v>
      </c>
      <c r="F455" s="987" t="s">
        <v>8096</v>
      </c>
      <c r="G455" s="319">
        <v>2</v>
      </c>
      <c r="H455" s="1005">
        <v>75500</v>
      </c>
      <c r="I455" s="86">
        <f t="shared" si="30"/>
        <v>151000</v>
      </c>
      <c r="J455" s="20">
        <f t="shared" si="28"/>
        <v>67950</v>
      </c>
      <c r="K455" s="171">
        <f t="shared" si="29"/>
        <v>83050</v>
      </c>
      <c r="N455" s="17">
        <f t="shared" si="27"/>
        <v>83050</v>
      </c>
      <c r="O455" s="282" t="s">
        <v>23</v>
      </c>
      <c r="Q455" s="10" t="s">
        <v>54</v>
      </c>
    </row>
    <row r="456" spans="1:17" s="20" customFormat="1" ht="15.6">
      <c r="A456" s="991">
        <v>44523</v>
      </c>
      <c r="B456" s="282" t="s">
        <v>23</v>
      </c>
      <c r="C456" s="283" t="s">
        <v>7981</v>
      </c>
      <c r="D456" s="29" t="s">
        <v>7982</v>
      </c>
      <c r="E456" s="984" t="s">
        <v>657</v>
      </c>
      <c r="F456" s="987" t="s">
        <v>658</v>
      </c>
      <c r="G456" s="319">
        <v>2</v>
      </c>
      <c r="H456" s="1005">
        <v>67000</v>
      </c>
      <c r="I456" s="86">
        <f t="shared" si="30"/>
        <v>134000</v>
      </c>
      <c r="J456" s="20">
        <f t="shared" si="28"/>
        <v>60300</v>
      </c>
      <c r="K456" s="171">
        <f t="shared" si="29"/>
        <v>73700</v>
      </c>
      <c r="N456" s="17">
        <f t="shared" si="27"/>
        <v>73700</v>
      </c>
      <c r="O456" s="282" t="s">
        <v>23</v>
      </c>
      <c r="Q456" s="10" t="s">
        <v>54</v>
      </c>
    </row>
    <row r="457" spans="1:17" s="20" customFormat="1" ht="15.6">
      <c r="A457" s="991">
        <v>44523</v>
      </c>
      <c r="B457" s="282" t="s">
        <v>23</v>
      </c>
      <c r="C457" s="283" t="s">
        <v>7981</v>
      </c>
      <c r="D457" s="29" t="s">
        <v>7982</v>
      </c>
      <c r="E457" s="984" t="s">
        <v>8097</v>
      </c>
      <c r="F457" s="987" t="s">
        <v>8098</v>
      </c>
      <c r="G457" s="319">
        <v>2</v>
      </c>
      <c r="H457" s="1008">
        <v>76000</v>
      </c>
      <c r="I457" s="86">
        <f t="shared" si="30"/>
        <v>152000</v>
      </c>
      <c r="J457" s="20">
        <f t="shared" si="28"/>
        <v>68400</v>
      </c>
      <c r="K457" s="171">
        <f t="shared" si="29"/>
        <v>83600</v>
      </c>
      <c r="N457" s="17">
        <f t="shared" si="27"/>
        <v>83600</v>
      </c>
      <c r="O457" s="282" t="s">
        <v>23</v>
      </c>
      <c r="Q457" s="10" t="s">
        <v>54</v>
      </c>
    </row>
    <row r="458" spans="1:17" s="20" customFormat="1" ht="15.6">
      <c r="A458" s="991">
        <v>44523</v>
      </c>
      <c r="B458" s="282" t="s">
        <v>23</v>
      </c>
      <c r="C458" s="283" t="s">
        <v>7981</v>
      </c>
      <c r="D458" s="29" t="s">
        <v>7982</v>
      </c>
      <c r="E458" s="984" t="s">
        <v>830</v>
      </c>
      <c r="F458" s="987" t="s">
        <v>831</v>
      </c>
      <c r="G458" s="319">
        <v>2</v>
      </c>
      <c r="H458" s="1002">
        <v>89000</v>
      </c>
      <c r="I458" s="86">
        <f t="shared" si="30"/>
        <v>178000</v>
      </c>
      <c r="J458" s="20">
        <f t="shared" si="28"/>
        <v>80100</v>
      </c>
      <c r="K458" s="171">
        <f t="shared" si="29"/>
        <v>97900</v>
      </c>
      <c r="N458" s="17">
        <f t="shared" si="27"/>
        <v>97900</v>
      </c>
      <c r="O458" s="282" t="s">
        <v>23</v>
      </c>
      <c r="Q458" s="10" t="s">
        <v>54</v>
      </c>
    </row>
    <row r="459" spans="1:17" s="20" customFormat="1" ht="15.6">
      <c r="A459" s="991">
        <v>44523</v>
      </c>
      <c r="B459" s="282" t="s">
        <v>23</v>
      </c>
      <c r="C459" s="283" t="s">
        <v>7981</v>
      </c>
      <c r="D459" s="29" t="s">
        <v>7982</v>
      </c>
      <c r="E459" s="984" t="s">
        <v>8099</v>
      </c>
      <c r="F459" s="987" t="s">
        <v>8100</v>
      </c>
      <c r="G459" s="319">
        <v>2</v>
      </c>
      <c r="H459" s="1002">
        <v>85000</v>
      </c>
      <c r="I459" s="86">
        <f t="shared" si="30"/>
        <v>170000</v>
      </c>
      <c r="J459" s="20">
        <f t="shared" si="28"/>
        <v>76500</v>
      </c>
      <c r="K459" s="171">
        <f t="shared" si="29"/>
        <v>93500</v>
      </c>
      <c r="N459" s="17">
        <f t="shared" si="27"/>
        <v>93500</v>
      </c>
      <c r="O459" s="282" t="s">
        <v>23</v>
      </c>
      <c r="Q459" s="10" t="s">
        <v>54</v>
      </c>
    </row>
    <row r="460" spans="1:17" s="20" customFormat="1" ht="15.6">
      <c r="A460" s="991">
        <v>44523</v>
      </c>
      <c r="B460" s="282" t="s">
        <v>23</v>
      </c>
      <c r="C460" s="283" t="s">
        <v>7981</v>
      </c>
      <c r="D460" s="29" t="s">
        <v>7982</v>
      </c>
      <c r="E460" s="984" t="s">
        <v>8101</v>
      </c>
      <c r="F460" s="984" t="s">
        <v>8102</v>
      </c>
      <c r="G460" s="319">
        <v>2</v>
      </c>
      <c r="H460" s="1002">
        <v>95000</v>
      </c>
      <c r="I460" s="86">
        <f t="shared" si="30"/>
        <v>190000</v>
      </c>
      <c r="J460" s="20">
        <f t="shared" si="28"/>
        <v>85500</v>
      </c>
      <c r="K460" s="171">
        <f t="shared" si="29"/>
        <v>104500</v>
      </c>
      <c r="N460" s="17">
        <f t="shared" si="27"/>
        <v>104500</v>
      </c>
      <c r="O460" s="282" t="s">
        <v>23</v>
      </c>
      <c r="Q460" s="10" t="s">
        <v>54</v>
      </c>
    </row>
    <row r="461" spans="1:17" s="20" customFormat="1" ht="15.6">
      <c r="A461" s="991">
        <v>44523</v>
      </c>
      <c r="B461" s="282" t="s">
        <v>23</v>
      </c>
      <c r="C461" s="283" t="s">
        <v>7981</v>
      </c>
      <c r="D461" s="29" t="s">
        <v>7982</v>
      </c>
      <c r="E461" s="984" t="s">
        <v>2735</v>
      </c>
      <c r="F461" s="987" t="s">
        <v>583</v>
      </c>
      <c r="G461" s="319">
        <v>2</v>
      </c>
      <c r="H461" s="1004">
        <v>80500</v>
      </c>
      <c r="I461" s="86">
        <f t="shared" si="30"/>
        <v>161000</v>
      </c>
      <c r="J461" s="20">
        <f t="shared" si="28"/>
        <v>72450</v>
      </c>
      <c r="K461" s="171">
        <f t="shared" si="29"/>
        <v>88550</v>
      </c>
      <c r="N461" s="17">
        <f t="shared" si="27"/>
        <v>88550</v>
      </c>
      <c r="O461" s="282" t="s">
        <v>23</v>
      </c>
      <c r="Q461" s="10" t="s">
        <v>54</v>
      </c>
    </row>
    <row r="462" spans="1:17" s="20" customFormat="1" ht="15.6">
      <c r="A462" s="991">
        <v>44523</v>
      </c>
      <c r="B462" s="282" t="s">
        <v>23</v>
      </c>
      <c r="C462" s="283" t="s">
        <v>7981</v>
      </c>
      <c r="D462" s="29" t="s">
        <v>7982</v>
      </c>
      <c r="E462" s="984" t="s">
        <v>2747</v>
      </c>
      <c r="F462" s="987" t="s">
        <v>2748</v>
      </c>
      <c r="G462" s="319">
        <v>2</v>
      </c>
      <c r="H462" s="1002">
        <v>85500</v>
      </c>
      <c r="I462" s="86">
        <f t="shared" si="30"/>
        <v>171000</v>
      </c>
      <c r="J462" s="20">
        <f t="shared" si="28"/>
        <v>76950</v>
      </c>
      <c r="K462" s="171">
        <f t="shared" si="29"/>
        <v>94050</v>
      </c>
      <c r="N462" s="17">
        <f t="shared" si="27"/>
        <v>94050</v>
      </c>
      <c r="O462" s="282" t="s">
        <v>23</v>
      </c>
      <c r="Q462" s="10" t="s">
        <v>54</v>
      </c>
    </row>
    <row r="463" spans="1:17" s="20" customFormat="1" ht="15.6">
      <c r="A463" s="991">
        <v>44523</v>
      </c>
      <c r="B463" s="282" t="s">
        <v>23</v>
      </c>
      <c r="C463" s="283" t="s">
        <v>7981</v>
      </c>
      <c r="D463" s="29" t="s">
        <v>7982</v>
      </c>
      <c r="E463" s="984" t="s">
        <v>8103</v>
      </c>
      <c r="F463" s="987" t="s">
        <v>8104</v>
      </c>
      <c r="G463" s="319">
        <v>2</v>
      </c>
      <c r="H463" s="1002">
        <v>84000</v>
      </c>
      <c r="I463" s="86">
        <f t="shared" si="30"/>
        <v>168000</v>
      </c>
      <c r="J463" s="20">
        <f t="shared" si="28"/>
        <v>75600</v>
      </c>
      <c r="K463" s="171">
        <f t="shared" si="29"/>
        <v>92400</v>
      </c>
      <c r="N463" s="17">
        <f t="shared" si="27"/>
        <v>92400</v>
      </c>
      <c r="O463" s="282" t="s">
        <v>23</v>
      </c>
      <c r="Q463" s="10" t="s">
        <v>54</v>
      </c>
    </row>
    <row r="464" spans="1:17" s="20" customFormat="1" ht="15.6">
      <c r="A464" s="991">
        <v>44523</v>
      </c>
      <c r="B464" s="282" t="s">
        <v>23</v>
      </c>
      <c r="C464" s="283" t="s">
        <v>7981</v>
      </c>
      <c r="D464" s="29" t="s">
        <v>7982</v>
      </c>
      <c r="E464" s="984" t="s">
        <v>8105</v>
      </c>
      <c r="F464" s="987" t="s">
        <v>8106</v>
      </c>
      <c r="G464" s="319">
        <v>2</v>
      </c>
      <c r="H464" s="1002">
        <v>72000</v>
      </c>
      <c r="I464" s="86">
        <f t="shared" si="30"/>
        <v>144000</v>
      </c>
      <c r="J464" s="20">
        <f t="shared" si="28"/>
        <v>64800</v>
      </c>
      <c r="K464" s="171">
        <f t="shared" si="29"/>
        <v>79200</v>
      </c>
      <c r="N464" s="17">
        <f t="shared" si="27"/>
        <v>79200</v>
      </c>
      <c r="O464" s="282" t="s">
        <v>23</v>
      </c>
      <c r="Q464" s="10" t="s">
        <v>54</v>
      </c>
    </row>
    <row r="465" spans="1:17" s="20" customFormat="1" ht="15.6">
      <c r="A465" s="991">
        <v>44523</v>
      </c>
      <c r="B465" s="282" t="s">
        <v>23</v>
      </c>
      <c r="C465" s="283" t="s">
        <v>7981</v>
      </c>
      <c r="D465" s="29" t="s">
        <v>7982</v>
      </c>
      <c r="E465" s="984" t="s">
        <v>8107</v>
      </c>
      <c r="F465" s="987" t="s">
        <v>8108</v>
      </c>
      <c r="G465" s="319">
        <v>2</v>
      </c>
      <c r="H465" s="1002">
        <v>79000</v>
      </c>
      <c r="I465" s="86">
        <f t="shared" si="30"/>
        <v>158000</v>
      </c>
      <c r="J465" s="20">
        <f t="shared" si="28"/>
        <v>71100</v>
      </c>
      <c r="K465" s="171">
        <f t="shared" si="29"/>
        <v>86900</v>
      </c>
      <c r="N465" s="17">
        <f t="shared" si="27"/>
        <v>86900</v>
      </c>
      <c r="O465" s="282" t="s">
        <v>23</v>
      </c>
      <c r="Q465" s="10" t="s">
        <v>54</v>
      </c>
    </row>
    <row r="466" spans="1:17" s="20" customFormat="1" ht="15.6">
      <c r="A466" s="991">
        <v>44523</v>
      </c>
      <c r="B466" s="282" t="s">
        <v>23</v>
      </c>
      <c r="C466" s="283" t="s">
        <v>7981</v>
      </c>
      <c r="D466" s="29" t="s">
        <v>7982</v>
      </c>
      <c r="E466" s="984" t="s">
        <v>8109</v>
      </c>
      <c r="F466" s="987" t="s">
        <v>8110</v>
      </c>
      <c r="G466" s="319">
        <v>2</v>
      </c>
      <c r="H466" s="1002">
        <v>83000</v>
      </c>
      <c r="I466" s="86">
        <f t="shared" si="30"/>
        <v>166000</v>
      </c>
      <c r="J466" s="20">
        <f t="shared" si="28"/>
        <v>74700</v>
      </c>
      <c r="K466" s="171">
        <f t="shared" si="29"/>
        <v>91300</v>
      </c>
      <c r="N466" s="17">
        <f t="shared" si="27"/>
        <v>91300</v>
      </c>
      <c r="O466" s="282" t="s">
        <v>23</v>
      </c>
      <c r="Q466" s="10" t="s">
        <v>54</v>
      </c>
    </row>
    <row r="467" spans="1:17" s="20" customFormat="1" ht="15.6">
      <c r="A467" s="991">
        <v>44523</v>
      </c>
      <c r="B467" s="282" t="s">
        <v>23</v>
      </c>
      <c r="C467" s="283" t="s">
        <v>7981</v>
      </c>
      <c r="D467" s="29" t="s">
        <v>7982</v>
      </c>
      <c r="E467" s="984" t="s">
        <v>8111</v>
      </c>
      <c r="F467" s="984" t="s">
        <v>8112</v>
      </c>
      <c r="G467" s="319">
        <v>2</v>
      </c>
      <c r="H467" s="1004">
        <v>83500</v>
      </c>
      <c r="I467" s="86">
        <f t="shared" si="30"/>
        <v>167000</v>
      </c>
      <c r="J467" s="20">
        <f t="shared" si="28"/>
        <v>75150</v>
      </c>
      <c r="K467" s="171">
        <f t="shared" si="29"/>
        <v>91850</v>
      </c>
      <c r="N467" s="17">
        <f t="shared" si="27"/>
        <v>91850</v>
      </c>
      <c r="O467" s="282" t="s">
        <v>23</v>
      </c>
      <c r="Q467" s="10" t="s">
        <v>54</v>
      </c>
    </row>
    <row r="468" spans="1:17" s="20" customFormat="1" ht="15.6">
      <c r="A468" s="991">
        <v>44523</v>
      </c>
      <c r="B468" s="282" t="s">
        <v>23</v>
      </c>
      <c r="C468" s="283" t="s">
        <v>7981</v>
      </c>
      <c r="D468" s="29" t="s">
        <v>7982</v>
      </c>
      <c r="E468" s="984" t="s">
        <v>8113</v>
      </c>
      <c r="F468" s="987" t="s">
        <v>8114</v>
      </c>
      <c r="G468" s="319">
        <v>2</v>
      </c>
      <c r="H468" s="1005">
        <v>90000</v>
      </c>
      <c r="I468" s="86">
        <f t="shared" si="30"/>
        <v>180000</v>
      </c>
      <c r="J468" s="20">
        <f t="shared" si="28"/>
        <v>81000</v>
      </c>
      <c r="K468" s="171">
        <f t="shared" si="29"/>
        <v>99000</v>
      </c>
      <c r="N468" s="17">
        <f t="shared" si="27"/>
        <v>99000</v>
      </c>
      <c r="O468" s="282" t="s">
        <v>23</v>
      </c>
      <c r="Q468" s="10" t="s">
        <v>54</v>
      </c>
    </row>
    <row r="469" spans="1:17" s="20" customFormat="1" ht="15.6">
      <c r="A469" s="991">
        <v>44523</v>
      </c>
      <c r="B469" s="282" t="s">
        <v>23</v>
      </c>
      <c r="C469" s="283" t="s">
        <v>7981</v>
      </c>
      <c r="D469" s="29" t="s">
        <v>7982</v>
      </c>
      <c r="E469" s="984" t="s">
        <v>8115</v>
      </c>
      <c r="F469" s="987" t="s">
        <v>583</v>
      </c>
      <c r="G469" s="319">
        <v>2</v>
      </c>
      <c r="H469" s="1004">
        <v>155000</v>
      </c>
      <c r="I469" s="86">
        <f t="shared" si="30"/>
        <v>310000</v>
      </c>
      <c r="J469" s="20">
        <f t="shared" si="28"/>
        <v>139500</v>
      </c>
      <c r="K469" s="171">
        <f t="shared" si="29"/>
        <v>170500</v>
      </c>
      <c r="N469" s="17">
        <f t="shared" si="27"/>
        <v>170500</v>
      </c>
      <c r="O469" s="282" t="s">
        <v>23</v>
      </c>
      <c r="Q469" s="10" t="s">
        <v>54</v>
      </c>
    </row>
    <row r="470" spans="1:17" s="20" customFormat="1" ht="15.6">
      <c r="A470" s="991">
        <v>44523</v>
      </c>
      <c r="B470" s="282" t="s">
        <v>23</v>
      </c>
      <c r="C470" s="283" t="s">
        <v>7981</v>
      </c>
      <c r="D470" s="29" t="s">
        <v>7982</v>
      </c>
      <c r="E470" s="984" t="s">
        <v>8116</v>
      </c>
      <c r="F470" s="987" t="s">
        <v>8117</v>
      </c>
      <c r="G470" s="319">
        <v>2</v>
      </c>
      <c r="H470" s="1002">
        <v>83000</v>
      </c>
      <c r="I470" s="86">
        <f t="shared" si="30"/>
        <v>166000</v>
      </c>
      <c r="J470" s="20">
        <f t="shared" si="28"/>
        <v>74700</v>
      </c>
      <c r="K470" s="171">
        <f t="shared" si="29"/>
        <v>91300</v>
      </c>
      <c r="N470" s="17">
        <f t="shared" si="27"/>
        <v>91300</v>
      </c>
      <c r="O470" s="282" t="s">
        <v>23</v>
      </c>
      <c r="Q470" s="10" t="s">
        <v>54</v>
      </c>
    </row>
    <row r="471" spans="1:17" s="20" customFormat="1" ht="15.6">
      <c r="A471" s="991">
        <v>44523</v>
      </c>
      <c r="B471" s="282" t="s">
        <v>23</v>
      </c>
      <c r="C471" s="283" t="s">
        <v>7981</v>
      </c>
      <c r="D471" s="29" t="s">
        <v>7982</v>
      </c>
      <c r="E471" s="984" t="s">
        <v>8118</v>
      </c>
      <c r="F471" s="984" t="s">
        <v>8119</v>
      </c>
      <c r="G471" s="319">
        <v>2</v>
      </c>
      <c r="H471" s="1002">
        <v>81000</v>
      </c>
      <c r="I471" s="86">
        <f t="shared" si="30"/>
        <v>162000</v>
      </c>
      <c r="J471" s="20">
        <f t="shared" si="28"/>
        <v>72900</v>
      </c>
      <c r="K471" s="171">
        <f t="shared" si="29"/>
        <v>89100</v>
      </c>
      <c r="N471" s="17">
        <f t="shared" si="27"/>
        <v>89100</v>
      </c>
      <c r="O471" s="282" t="s">
        <v>23</v>
      </c>
      <c r="Q471" s="10" t="s">
        <v>54</v>
      </c>
    </row>
    <row r="472" spans="1:17" s="20" customFormat="1" ht="15.6">
      <c r="A472" s="991">
        <v>44523</v>
      </c>
      <c r="B472" s="282" t="s">
        <v>23</v>
      </c>
      <c r="C472" s="283" t="s">
        <v>7981</v>
      </c>
      <c r="D472" s="29" t="s">
        <v>7982</v>
      </c>
      <c r="E472" s="984" t="s">
        <v>8120</v>
      </c>
      <c r="F472" s="984" t="s">
        <v>8121</v>
      </c>
      <c r="G472" s="319">
        <v>2</v>
      </c>
      <c r="H472" s="1002">
        <v>58000</v>
      </c>
      <c r="I472" s="86">
        <f t="shared" si="30"/>
        <v>116000</v>
      </c>
      <c r="J472" s="20">
        <f t="shared" si="28"/>
        <v>52200</v>
      </c>
      <c r="K472" s="171">
        <f t="shared" si="29"/>
        <v>63800</v>
      </c>
      <c r="N472" s="17">
        <f t="shared" si="27"/>
        <v>63800</v>
      </c>
      <c r="O472" s="282" t="s">
        <v>23</v>
      </c>
      <c r="Q472" s="10" t="s">
        <v>54</v>
      </c>
    </row>
    <row r="473" spans="1:17" s="20" customFormat="1" ht="15.6">
      <c r="A473" s="991">
        <v>44523</v>
      </c>
      <c r="B473" s="282" t="s">
        <v>23</v>
      </c>
      <c r="C473" s="283" t="s">
        <v>7981</v>
      </c>
      <c r="D473" s="29" t="s">
        <v>7982</v>
      </c>
      <c r="E473" s="984" t="s">
        <v>8122</v>
      </c>
      <c r="F473" s="987" t="s">
        <v>8123</v>
      </c>
      <c r="G473" s="319">
        <v>2</v>
      </c>
      <c r="H473" s="1002">
        <v>111000</v>
      </c>
      <c r="I473" s="86">
        <f t="shared" si="30"/>
        <v>222000</v>
      </c>
      <c r="J473" s="20">
        <f t="shared" si="28"/>
        <v>99900</v>
      </c>
      <c r="K473" s="171">
        <f t="shared" si="29"/>
        <v>122100</v>
      </c>
      <c r="N473" s="17">
        <f t="shared" si="27"/>
        <v>122100</v>
      </c>
      <c r="O473" s="282" t="s">
        <v>23</v>
      </c>
      <c r="Q473" s="10" t="s">
        <v>54</v>
      </c>
    </row>
    <row r="474" spans="1:17" s="20" customFormat="1" ht="15.6">
      <c r="A474" s="991">
        <v>44523</v>
      </c>
      <c r="B474" s="282" t="s">
        <v>23</v>
      </c>
      <c r="C474" s="283" t="s">
        <v>7981</v>
      </c>
      <c r="D474" s="29" t="s">
        <v>7982</v>
      </c>
      <c r="E474" s="984" t="s">
        <v>8124</v>
      </c>
      <c r="F474" s="984" t="s">
        <v>8125</v>
      </c>
      <c r="G474" s="319">
        <v>2</v>
      </c>
      <c r="H474" s="1002">
        <v>89000</v>
      </c>
      <c r="I474" s="86">
        <f t="shared" si="30"/>
        <v>178000</v>
      </c>
      <c r="J474" s="20">
        <f t="shared" si="28"/>
        <v>80100</v>
      </c>
      <c r="K474" s="171">
        <f t="shared" si="29"/>
        <v>97900</v>
      </c>
      <c r="N474" s="17">
        <f t="shared" si="27"/>
        <v>97900</v>
      </c>
      <c r="O474" s="282" t="s">
        <v>23</v>
      </c>
      <c r="Q474" s="10" t="s">
        <v>54</v>
      </c>
    </row>
    <row r="475" spans="1:17" s="20" customFormat="1" ht="15.6">
      <c r="A475" s="991">
        <v>44523</v>
      </c>
      <c r="B475" s="282" t="s">
        <v>23</v>
      </c>
      <c r="C475" s="283" t="s">
        <v>7981</v>
      </c>
      <c r="D475" s="29" t="s">
        <v>7982</v>
      </c>
      <c r="E475" s="984" t="s">
        <v>3544</v>
      </c>
      <c r="F475" s="987" t="s">
        <v>3545</v>
      </c>
      <c r="G475" s="319">
        <v>2</v>
      </c>
      <c r="H475" s="1002">
        <v>213000</v>
      </c>
      <c r="I475" s="86">
        <f t="shared" si="30"/>
        <v>426000</v>
      </c>
      <c r="J475" s="20">
        <f t="shared" si="28"/>
        <v>191700</v>
      </c>
      <c r="K475" s="171">
        <f t="shared" si="29"/>
        <v>234300</v>
      </c>
      <c r="N475" s="17">
        <f t="shared" ref="N475:N538" si="31">K475+L475+M475</f>
        <v>234300</v>
      </c>
      <c r="O475" s="282" t="s">
        <v>23</v>
      </c>
      <c r="Q475" s="10" t="s">
        <v>54</v>
      </c>
    </row>
    <row r="476" spans="1:17" s="20" customFormat="1" ht="15.6">
      <c r="A476" s="991">
        <v>44523</v>
      </c>
      <c r="B476" s="282" t="s">
        <v>23</v>
      </c>
      <c r="C476" s="283" t="s">
        <v>7981</v>
      </c>
      <c r="D476" s="29" t="s">
        <v>7982</v>
      </c>
      <c r="E476" s="984" t="s">
        <v>8126</v>
      </c>
      <c r="F476" s="987" t="s">
        <v>8127</v>
      </c>
      <c r="G476" s="319">
        <v>2</v>
      </c>
      <c r="H476" s="1006">
        <v>78000</v>
      </c>
      <c r="I476" s="86">
        <f t="shared" si="30"/>
        <v>156000</v>
      </c>
      <c r="J476" s="20">
        <f t="shared" si="28"/>
        <v>70200</v>
      </c>
      <c r="K476" s="171">
        <f t="shared" si="29"/>
        <v>85800</v>
      </c>
      <c r="N476" s="17">
        <f t="shared" si="31"/>
        <v>85800</v>
      </c>
      <c r="O476" s="282" t="s">
        <v>23</v>
      </c>
      <c r="Q476" s="10" t="s">
        <v>54</v>
      </c>
    </row>
    <row r="477" spans="1:17" s="20" customFormat="1" ht="15.6">
      <c r="A477" s="991">
        <v>44523</v>
      </c>
      <c r="B477" s="282" t="s">
        <v>23</v>
      </c>
      <c r="C477" s="283" t="s">
        <v>7981</v>
      </c>
      <c r="D477" s="29" t="s">
        <v>7982</v>
      </c>
      <c r="E477" s="984" t="s">
        <v>8128</v>
      </c>
      <c r="F477" s="987" t="s">
        <v>8129</v>
      </c>
      <c r="G477" s="319">
        <v>2</v>
      </c>
      <c r="H477" s="1005">
        <v>72500</v>
      </c>
      <c r="I477" s="86">
        <f t="shared" si="30"/>
        <v>145000</v>
      </c>
      <c r="J477" s="20">
        <f t="shared" si="28"/>
        <v>65250</v>
      </c>
      <c r="K477" s="171">
        <f t="shared" si="29"/>
        <v>79750</v>
      </c>
      <c r="N477" s="17">
        <f t="shared" si="31"/>
        <v>79750</v>
      </c>
      <c r="O477" s="282" t="s">
        <v>23</v>
      </c>
      <c r="Q477" s="10" t="s">
        <v>54</v>
      </c>
    </row>
    <row r="478" spans="1:17" s="20" customFormat="1" ht="15.6">
      <c r="A478" s="991">
        <v>44523</v>
      </c>
      <c r="B478" s="282" t="s">
        <v>23</v>
      </c>
      <c r="C478" s="283" t="s">
        <v>7981</v>
      </c>
      <c r="D478" s="29" t="s">
        <v>7982</v>
      </c>
      <c r="E478" s="984" t="s">
        <v>8130</v>
      </c>
      <c r="F478" s="987" t="s">
        <v>8131</v>
      </c>
      <c r="G478" s="319">
        <v>2</v>
      </c>
      <c r="H478" s="1005">
        <v>68500</v>
      </c>
      <c r="I478" s="86">
        <f t="shared" si="30"/>
        <v>137000</v>
      </c>
      <c r="J478" s="20">
        <f t="shared" si="28"/>
        <v>61650</v>
      </c>
      <c r="K478" s="171">
        <f t="shared" si="29"/>
        <v>75350</v>
      </c>
      <c r="N478" s="17">
        <f t="shared" si="31"/>
        <v>75350</v>
      </c>
      <c r="O478" s="282" t="s">
        <v>23</v>
      </c>
      <c r="Q478" s="10" t="s">
        <v>54</v>
      </c>
    </row>
    <row r="479" spans="1:17" s="20" customFormat="1" ht="15.6">
      <c r="A479" s="991">
        <v>44523</v>
      </c>
      <c r="B479" s="282" t="s">
        <v>23</v>
      </c>
      <c r="C479" s="283" t="s">
        <v>7981</v>
      </c>
      <c r="D479" s="29" t="s">
        <v>7982</v>
      </c>
      <c r="E479" s="984" t="s">
        <v>8132</v>
      </c>
      <c r="F479" s="987" t="s">
        <v>8133</v>
      </c>
      <c r="G479" s="319">
        <v>2</v>
      </c>
      <c r="H479" s="1005">
        <v>57500</v>
      </c>
      <c r="I479" s="86">
        <f t="shared" si="30"/>
        <v>115000</v>
      </c>
      <c r="J479" s="20">
        <f t="shared" si="28"/>
        <v>51750</v>
      </c>
      <c r="K479" s="171">
        <f t="shared" si="29"/>
        <v>63250</v>
      </c>
      <c r="N479" s="17">
        <f t="shared" si="31"/>
        <v>63250</v>
      </c>
      <c r="O479" s="282" t="s">
        <v>23</v>
      </c>
      <c r="Q479" s="10" t="s">
        <v>54</v>
      </c>
    </row>
    <row r="480" spans="1:17" s="20" customFormat="1" ht="15.6">
      <c r="A480" s="991">
        <v>44523</v>
      </c>
      <c r="B480" s="282" t="s">
        <v>23</v>
      </c>
      <c r="C480" s="283" t="s">
        <v>7981</v>
      </c>
      <c r="D480" s="29" t="s">
        <v>7982</v>
      </c>
      <c r="E480" s="984" t="s">
        <v>8134</v>
      </c>
      <c r="F480" s="987" t="s">
        <v>8135</v>
      </c>
      <c r="G480" s="319">
        <v>2</v>
      </c>
      <c r="H480" s="1002">
        <v>81000</v>
      </c>
      <c r="I480" s="86">
        <f t="shared" si="30"/>
        <v>162000</v>
      </c>
      <c r="J480" s="20">
        <f t="shared" si="28"/>
        <v>72900</v>
      </c>
      <c r="K480" s="171">
        <f t="shared" si="29"/>
        <v>89100</v>
      </c>
      <c r="N480" s="17">
        <f t="shared" si="31"/>
        <v>89100</v>
      </c>
      <c r="O480" s="282" t="s">
        <v>23</v>
      </c>
      <c r="Q480" s="10" t="s">
        <v>54</v>
      </c>
    </row>
    <row r="481" spans="1:17" s="20" customFormat="1" ht="15.6">
      <c r="A481" s="991">
        <v>44523</v>
      </c>
      <c r="B481" s="282" t="s">
        <v>23</v>
      </c>
      <c r="C481" s="283" t="s">
        <v>7981</v>
      </c>
      <c r="D481" s="29" t="s">
        <v>7982</v>
      </c>
      <c r="E481" s="984" t="s">
        <v>8136</v>
      </c>
      <c r="F481" s="987" t="s">
        <v>8135</v>
      </c>
      <c r="G481" s="319">
        <v>2</v>
      </c>
      <c r="H481" s="1002">
        <v>84000</v>
      </c>
      <c r="I481" s="86">
        <f t="shared" si="30"/>
        <v>168000</v>
      </c>
      <c r="J481" s="20">
        <f t="shared" si="28"/>
        <v>75600</v>
      </c>
      <c r="K481" s="171">
        <f t="shared" si="29"/>
        <v>92400</v>
      </c>
      <c r="N481" s="17">
        <f t="shared" si="31"/>
        <v>92400</v>
      </c>
      <c r="O481" s="282" t="s">
        <v>23</v>
      </c>
      <c r="Q481" s="10" t="s">
        <v>54</v>
      </c>
    </row>
    <row r="482" spans="1:17" s="20" customFormat="1" ht="15.6">
      <c r="A482" s="991">
        <v>44523</v>
      </c>
      <c r="B482" s="282" t="s">
        <v>23</v>
      </c>
      <c r="C482" s="283" t="s">
        <v>7981</v>
      </c>
      <c r="D482" s="29" t="s">
        <v>7982</v>
      </c>
      <c r="E482" s="984" t="s">
        <v>8137</v>
      </c>
      <c r="F482" s="987" t="s">
        <v>8138</v>
      </c>
      <c r="G482" s="319">
        <v>2</v>
      </c>
      <c r="H482" s="1002">
        <v>96000</v>
      </c>
      <c r="I482" s="86">
        <f t="shared" si="30"/>
        <v>192000</v>
      </c>
      <c r="J482" s="20">
        <f t="shared" si="28"/>
        <v>86400</v>
      </c>
      <c r="K482" s="171">
        <f t="shared" si="29"/>
        <v>105600</v>
      </c>
      <c r="N482" s="17">
        <f t="shared" si="31"/>
        <v>105600</v>
      </c>
      <c r="O482" s="282" t="s">
        <v>23</v>
      </c>
      <c r="Q482" s="10" t="s">
        <v>54</v>
      </c>
    </row>
    <row r="483" spans="1:17" s="20" customFormat="1" ht="15.6">
      <c r="A483" s="991">
        <v>44523</v>
      </c>
      <c r="B483" s="282" t="s">
        <v>23</v>
      </c>
      <c r="C483" s="283" t="s">
        <v>7981</v>
      </c>
      <c r="D483" s="29" t="s">
        <v>7982</v>
      </c>
      <c r="E483" s="984" t="s">
        <v>360</v>
      </c>
      <c r="F483" s="987" t="s">
        <v>361</v>
      </c>
      <c r="G483" s="319">
        <v>2</v>
      </c>
      <c r="H483" s="1002">
        <v>191000</v>
      </c>
      <c r="I483" s="86">
        <f t="shared" si="30"/>
        <v>382000</v>
      </c>
      <c r="J483" s="20">
        <f t="shared" si="28"/>
        <v>171900</v>
      </c>
      <c r="K483" s="171">
        <f t="shared" si="29"/>
        <v>210100</v>
      </c>
      <c r="N483" s="17">
        <f t="shared" si="31"/>
        <v>210100</v>
      </c>
      <c r="O483" s="282" t="s">
        <v>23</v>
      </c>
      <c r="Q483" s="10" t="s">
        <v>54</v>
      </c>
    </row>
    <row r="484" spans="1:17" s="20" customFormat="1" ht="15.6">
      <c r="A484" s="991">
        <v>44523</v>
      </c>
      <c r="B484" s="282" t="s">
        <v>23</v>
      </c>
      <c r="C484" s="283" t="s">
        <v>7981</v>
      </c>
      <c r="D484" s="29" t="s">
        <v>7982</v>
      </c>
      <c r="E484" s="984" t="s">
        <v>8139</v>
      </c>
      <c r="F484" s="987" t="s">
        <v>8140</v>
      </c>
      <c r="G484" s="319">
        <v>2</v>
      </c>
      <c r="H484" s="1002">
        <v>94000</v>
      </c>
      <c r="I484" s="86">
        <f t="shared" si="30"/>
        <v>188000</v>
      </c>
      <c r="J484" s="20">
        <f t="shared" si="28"/>
        <v>84600</v>
      </c>
      <c r="K484" s="171">
        <f t="shared" si="29"/>
        <v>103400</v>
      </c>
      <c r="N484" s="17">
        <f t="shared" si="31"/>
        <v>103400</v>
      </c>
      <c r="O484" s="282" t="s">
        <v>23</v>
      </c>
      <c r="Q484" s="10" t="s">
        <v>54</v>
      </c>
    </row>
    <row r="485" spans="1:17" s="20" customFormat="1" ht="15.6">
      <c r="A485" s="991">
        <v>44523</v>
      </c>
      <c r="B485" s="282" t="s">
        <v>23</v>
      </c>
      <c r="C485" s="283" t="s">
        <v>7981</v>
      </c>
      <c r="D485" s="29" t="s">
        <v>7982</v>
      </c>
      <c r="E485" s="984" t="s">
        <v>8141</v>
      </c>
      <c r="F485" s="987" t="s">
        <v>8142</v>
      </c>
      <c r="G485" s="319">
        <v>2</v>
      </c>
      <c r="H485" s="1004">
        <v>62000</v>
      </c>
      <c r="I485" s="86">
        <f t="shared" si="30"/>
        <v>124000</v>
      </c>
      <c r="J485" s="20">
        <f t="shared" si="28"/>
        <v>55800</v>
      </c>
      <c r="K485" s="171">
        <f t="shared" si="29"/>
        <v>68200</v>
      </c>
      <c r="N485" s="17">
        <f t="shared" si="31"/>
        <v>68200</v>
      </c>
      <c r="O485" s="282" t="s">
        <v>23</v>
      </c>
      <c r="Q485" s="10" t="s">
        <v>54</v>
      </c>
    </row>
    <row r="486" spans="1:17" s="20" customFormat="1" ht="15.6">
      <c r="A486" s="991">
        <v>44523</v>
      </c>
      <c r="B486" s="282" t="s">
        <v>23</v>
      </c>
      <c r="C486" s="283" t="s">
        <v>7981</v>
      </c>
      <c r="D486" s="29" t="s">
        <v>7982</v>
      </c>
      <c r="E486" s="984" t="s">
        <v>365</v>
      </c>
      <c r="F486" s="987" t="s">
        <v>366</v>
      </c>
      <c r="G486" s="319">
        <v>2</v>
      </c>
      <c r="H486" s="1002">
        <v>85000</v>
      </c>
      <c r="I486" s="86">
        <f t="shared" si="30"/>
        <v>170000</v>
      </c>
      <c r="J486" s="20">
        <f t="shared" si="28"/>
        <v>76500</v>
      </c>
      <c r="K486" s="171">
        <f t="shared" si="29"/>
        <v>93500</v>
      </c>
      <c r="N486" s="17">
        <f t="shared" si="31"/>
        <v>93500</v>
      </c>
      <c r="O486" s="282" t="s">
        <v>23</v>
      </c>
      <c r="Q486" s="10" t="s">
        <v>54</v>
      </c>
    </row>
    <row r="487" spans="1:17" s="20" customFormat="1" ht="15.6">
      <c r="A487" s="991">
        <v>44523</v>
      </c>
      <c r="B487" s="282" t="s">
        <v>23</v>
      </c>
      <c r="C487" s="283" t="s">
        <v>7981</v>
      </c>
      <c r="D487" s="29" t="s">
        <v>7982</v>
      </c>
      <c r="E487" s="984" t="s">
        <v>8003</v>
      </c>
      <c r="F487" s="987" t="s">
        <v>8143</v>
      </c>
      <c r="G487" s="319">
        <v>2</v>
      </c>
      <c r="H487" s="1002">
        <v>104500</v>
      </c>
      <c r="I487" s="86">
        <f t="shared" si="30"/>
        <v>209000</v>
      </c>
      <c r="J487" s="20">
        <f t="shared" si="28"/>
        <v>94050</v>
      </c>
      <c r="K487" s="171">
        <f t="shared" si="29"/>
        <v>114950</v>
      </c>
      <c r="N487" s="17">
        <f t="shared" si="31"/>
        <v>114950</v>
      </c>
      <c r="O487" s="282" t="s">
        <v>23</v>
      </c>
      <c r="Q487" s="10" t="s">
        <v>54</v>
      </c>
    </row>
    <row r="488" spans="1:17" s="20" customFormat="1" ht="15.6">
      <c r="A488" s="991">
        <v>44523</v>
      </c>
      <c r="B488" s="282" t="s">
        <v>23</v>
      </c>
      <c r="C488" s="283" t="s">
        <v>7981</v>
      </c>
      <c r="D488" s="29" t="s">
        <v>7982</v>
      </c>
      <c r="E488" s="984" t="s">
        <v>1056</v>
      </c>
      <c r="F488" s="987" t="s">
        <v>8144</v>
      </c>
      <c r="G488" s="319">
        <v>2</v>
      </c>
      <c r="H488" s="1002">
        <v>100000</v>
      </c>
      <c r="I488" s="86">
        <f t="shared" si="30"/>
        <v>200000</v>
      </c>
      <c r="J488" s="20">
        <f t="shared" si="28"/>
        <v>90000</v>
      </c>
      <c r="K488" s="171">
        <f t="shared" si="29"/>
        <v>110000</v>
      </c>
      <c r="N488" s="17">
        <f t="shared" si="31"/>
        <v>110000</v>
      </c>
      <c r="O488" s="282" t="s">
        <v>23</v>
      </c>
      <c r="Q488" s="10" t="s">
        <v>54</v>
      </c>
    </row>
    <row r="489" spans="1:17" s="20" customFormat="1" ht="15.6">
      <c r="A489" s="991">
        <v>44523</v>
      </c>
      <c r="B489" s="282" t="s">
        <v>23</v>
      </c>
      <c r="C489" s="283" t="s">
        <v>7981</v>
      </c>
      <c r="D489" s="29" t="s">
        <v>7982</v>
      </c>
      <c r="E489" s="984" t="s">
        <v>1056</v>
      </c>
      <c r="F489" s="987" t="s">
        <v>5181</v>
      </c>
      <c r="G489" s="319">
        <v>2</v>
      </c>
      <c r="H489" s="1002">
        <v>112000</v>
      </c>
      <c r="I489" s="86">
        <f t="shared" si="30"/>
        <v>224000</v>
      </c>
      <c r="J489" s="20">
        <f t="shared" ref="J489:J552" si="32">I489*45%</f>
        <v>100800</v>
      </c>
      <c r="K489" s="171">
        <f t="shared" si="29"/>
        <v>123200</v>
      </c>
      <c r="N489" s="17">
        <f t="shared" si="31"/>
        <v>123200</v>
      </c>
      <c r="O489" s="282" t="s">
        <v>23</v>
      </c>
      <c r="Q489" s="10" t="s">
        <v>54</v>
      </c>
    </row>
    <row r="490" spans="1:17" s="364" customFormat="1" ht="15.6">
      <c r="A490" s="991">
        <v>44523</v>
      </c>
      <c r="B490" s="282" t="s">
        <v>23</v>
      </c>
      <c r="C490" s="283" t="s">
        <v>7981</v>
      </c>
      <c r="D490" s="29" t="s">
        <v>7982</v>
      </c>
      <c r="E490" s="984" t="s">
        <v>1056</v>
      </c>
      <c r="F490" s="987" t="s">
        <v>1057</v>
      </c>
      <c r="G490" s="319">
        <v>2</v>
      </c>
      <c r="H490" s="1005">
        <v>193000</v>
      </c>
      <c r="I490" s="86">
        <f t="shared" si="30"/>
        <v>386000</v>
      </c>
      <c r="J490" s="20">
        <f t="shared" si="32"/>
        <v>173700</v>
      </c>
      <c r="K490" s="171">
        <f t="shared" si="29"/>
        <v>212300</v>
      </c>
      <c r="N490" s="17">
        <f t="shared" si="31"/>
        <v>212300</v>
      </c>
      <c r="O490" s="282" t="s">
        <v>23</v>
      </c>
      <c r="P490" s="20"/>
      <c r="Q490" s="10" t="s">
        <v>54</v>
      </c>
    </row>
    <row r="491" spans="1:17" s="364" customFormat="1" ht="15.6">
      <c r="A491" s="991">
        <v>44523</v>
      </c>
      <c r="B491" s="282" t="s">
        <v>23</v>
      </c>
      <c r="C491" s="283" t="s">
        <v>7981</v>
      </c>
      <c r="D491" s="29" t="s">
        <v>7982</v>
      </c>
      <c r="E491" s="984" t="s">
        <v>3196</v>
      </c>
      <c r="F491" s="987" t="s">
        <v>3197</v>
      </c>
      <c r="G491" s="319">
        <v>2</v>
      </c>
      <c r="H491" s="1003">
        <v>70000</v>
      </c>
      <c r="I491" s="86">
        <f t="shared" si="30"/>
        <v>140000</v>
      </c>
      <c r="J491" s="20">
        <f t="shared" si="32"/>
        <v>63000</v>
      </c>
      <c r="K491" s="171">
        <f t="shared" si="29"/>
        <v>77000</v>
      </c>
      <c r="N491" s="17">
        <f t="shared" si="31"/>
        <v>77000</v>
      </c>
      <c r="O491" s="282" t="s">
        <v>23</v>
      </c>
      <c r="P491" s="20"/>
      <c r="Q491" s="10" t="s">
        <v>54</v>
      </c>
    </row>
    <row r="492" spans="1:17" s="364" customFormat="1" ht="15.6">
      <c r="A492" s="991">
        <v>44523</v>
      </c>
      <c r="B492" s="282" t="s">
        <v>23</v>
      </c>
      <c r="C492" s="283" t="s">
        <v>7981</v>
      </c>
      <c r="D492" s="29" t="s">
        <v>7982</v>
      </c>
      <c r="E492" s="984" t="s">
        <v>8145</v>
      </c>
      <c r="F492" s="984" t="s">
        <v>8146</v>
      </c>
      <c r="G492" s="319">
        <v>2</v>
      </c>
      <c r="H492" s="1009">
        <v>170000</v>
      </c>
      <c r="I492" s="86">
        <f t="shared" si="30"/>
        <v>340000</v>
      </c>
      <c r="J492" s="20">
        <f t="shared" si="32"/>
        <v>153000</v>
      </c>
      <c r="K492" s="171">
        <f t="shared" si="29"/>
        <v>187000</v>
      </c>
      <c r="N492" s="17">
        <f t="shared" si="31"/>
        <v>187000</v>
      </c>
      <c r="O492" s="282" t="s">
        <v>23</v>
      </c>
      <c r="P492" s="20"/>
      <c r="Q492" s="10" t="s">
        <v>54</v>
      </c>
    </row>
    <row r="493" spans="1:17" s="364" customFormat="1" ht="15.6">
      <c r="A493" s="991">
        <v>44523</v>
      </c>
      <c r="B493" s="282" t="s">
        <v>23</v>
      </c>
      <c r="C493" s="283" t="s">
        <v>7981</v>
      </c>
      <c r="D493" s="29" t="s">
        <v>7982</v>
      </c>
      <c r="E493" s="984" t="s">
        <v>8147</v>
      </c>
      <c r="F493" s="987" t="s">
        <v>6935</v>
      </c>
      <c r="G493" s="319">
        <v>2</v>
      </c>
      <c r="H493" s="1008">
        <v>131000</v>
      </c>
      <c r="I493" s="86">
        <f t="shared" si="30"/>
        <v>262000</v>
      </c>
      <c r="J493" s="20">
        <f t="shared" si="32"/>
        <v>117900</v>
      </c>
      <c r="K493" s="171">
        <f t="shared" si="29"/>
        <v>144100</v>
      </c>
      <c r="N493" s="17">
        <f t="shared" si="31"/>
        <v>144100</v>
      </c>
      <c r="O493" s="282" t="s">
        <v>23</v>
      </c>
      <c r="P493" s="20"/>
      <c r="Q493" s="10" t="s">
        <v>54</v>
      </c>
    </row>
    <row r="494" spans="1:17" s="364" customFormat="1" ht="15.6">
      <c r="A494" s="991">
        <v>44523</v>
      </c>
      <c r="B494" s="282" t="s">
        <v>23</v>
      </c>
      <c r="C494" s="283" t="s">
        <v>7981</v>
      </c>
      <c r="D494" s="29" t="s">
        <v>7982</v>
      </c>
      <c r="E494" s="984" t="s">
        <v>8148</v>
      </c>
      <c r="F494" s="987" t="s">
        <v>8149</v>
      </c>
      <c r="G494" s="319">
        <v>2</v>
      </c>
      <c r="H494" s="1002">
        <v>87500</v>
      </c>
      <c r="I494" s="86">
        <f t="shared" si="30"/>
        <v>175000</v>
      </c>
      <c r="J494" s="20">
        <f t="shared" si="32"/>
        <v>78750</v>
      </c>
      <c r="K494" s="171">
        <f t="shared" si="29"/>
        <v>96250</v>
      </c>
      <c r="N494" s="17">
        <f t="shared" si="31"/>
        <v>96250</v>
      </c>
      <c r="O494" s="282" t="s">
        <v>23</v>
      </c>
      <c r="P494" s="20"/>
      <c r="Q494" s="10" t="s">
        <v>54</v>
      </c>
    </row>
    <row r="495" spans="1:17" s="364" customFormat="1" ht="15.6">
      <c r="A495" s="991">
        <v>44523</v>
      </c>
      <c r="B495" s="282" t="s">
        <v>23</v>
      </c>
      <c r="C495" s="283" t="s">
        <v>7981</v>
      </c>
      <c r="D495" s="29" t="s">
        <v>7982</v>
      </c>
      <c r="E495" s="984" t="s">
        <v>8150</v>
      </c>
      <c r="F495" s="987" t="s">
        <v>8151</v>
      </c>
      <c r="G495" s="319">
        <v>2</v>
      </c>
      <c r="H495" s="1002">
        <v>59000</v>
      </c>
      <c r="I495" s="86">
        <f t="shared" si="30"/>
        <v>118000</v>
      </c>
      <c r="J495" s="20">
        <f t="shared" si="32"/>
        <v>53100</v>
      </c>
      <c r="K495" s="171">
        <f t="shared" si="29"/>
        <v>64900</v>
      </c>
      <c r="N495" s="17">
        <f t="shared" si="31"/>
        <v>64900</v>
      </c>
      <c r="O495" s="282" t="s">
        <v>23</v>
      </c>
      <c r="P495" s="20"/>
      <c r="Q495" s="10" t="s">
        <v>54</v>
      </c>
    </row>
    <row r="496" spans="1:17" s="364" customFormat="1" ht="15.6">
      <c r="A496" s="991">
        <v>44523</v>
      </c>
      <c r="B496" s="282" t="s">
        <v>23</v>
      </c>
      <c r="C496" s="283" t="s">
        <v>7981</v>
      </c>
      <c r="D496" s="29" t="s">
        <v>7982</v>
      </c>
      <c r="E496" s="984" t="s">
        <v>3131</v>
      </c>
      <c r="F496" s="987" t="s">
        <v>3132</v>
      </c>
      <c r="G496" s="319">
        <v>2</v>
      </c>
      <c r="H496" s="1002">
        <v>92000</v>
      </c>
      <c r="I496" s="86">
        <f t="shared" si="30"/>
        <v>184000</v>
      </c>
      <c r="J496" s="20">
        <f t="shared" si="32"/>
        <v>82800</v>
      </c>
      <c r="K496" s="171">
        <f t="shared" si="29"/>
        <v>101200</v>
      </c>
      <c r="N496" s="17">
        <f t="shared" si="31"/>
        <v>101200</v>
      </c>
      <c r="O496" s="282" t="s">
        <v>23</v>
      </c>
      <c r="P496" s="20"/>
      <c r="Q496" s="10" t="s">
        <v>54</v>
      </c>
    </row>
    <row r="497" spans="1:17" s="364" customFormat="1" ht="15.6">
      <c r="A497" s="991">
        <v>44523</v>
      </c>
      <c r="B497" s="282" t="s">
        <v>23</v>
      </c>
      <c r="C497" s="283" t="s">
        <v>7981</v>
      </c>
      <c r="D497" s="29" t="s">
        <v>7982</v>
      </c>
      <c r="E497" s="984" t="s">
        <v>2876</v>
      </c>
      <c r="F497" s="984" t="s">
        <v>128</v>
      </c>
      <c r="G497" s="319">
        <v>2</v>
      </c>
      <c r="H497" s="1002">
        <v>70000</v>
      </c>
      <c r="I497" s="86">
        <f t="shared" si="30"/>
        <v>140000</v>
      </c>
      <c r="J497" s="20">
        <f t="shared" si="32"/>
        <v>63000</v>
      </c>
      <c r="K497" s="171">
        <f t="shared" si="29"/>
        <v>77000</v>
      </c>
      <c r="N497" s="17">
        <f t="shared" si="31"/>
        <v>77000</v>
      </c>
      <c r="O497" s="282" t="s">
        <v>23</v>
      </c>
      <c r="P497" s="20"/>
      <c r="Q497" s="10" t="s">
        <v>54</v>
      </c>
    </row>
    <row r="498" spans="1:17" s="364" customFormat="1" ht="15.6">
      <c r="A498" s="991">
        <v>44523</v>
      </c>
      <c r="B498" s="282" t="s">
        <v>23</v>
      </c>
      <c r="C498" s="283" t="s">
        <v>7981</v>
      </c>
      <c r="D498" s="29" t="s">
        <v>7982</v>
      </c>
      <c r="E498" s="984" t="s">
        <v>8152</v>
      </c>
      <c r="F498" s="984" t="s">
        <v>8153</v>
      </c>
      <c r="G498" s="319">
        <v>2</v>
      </c>
      <c r="H498" s="1005">
        <v>139000</v>
      </c>
      <c r="I498" s="86">
        <f t="shared" si="30"/>
        <v>278000</v>
      </c>
      <c r="J498" s="20">
        <f t="shared" si="32"/>
        <v>125100</v>
      </c>
      <c r="K498" s="171">
        <f t="shared" si="29"/>
        <v>152900</v>
      </c>
      <c r="N498" s="17">
        <f t="shared" si="31"/>
        <v>152900</v>
      </c>
      <c r="O498" s="282" t="s">
        <v>23</v>
      </c>
      <c r="P498" s="20"/>
      <c r="Q498" s="10" t="s">
        <v>54</v>
      </c>
    </row>
    <row r="499" spans="1:17" s="364" customFormat="1" ht="15.6">
      <c r="A499" s="991">
        <v>44523</v>
      </c>
      <c r="B499" s="282" t="s">
        <v>23</v>
      </c>
      <c r="C499" s="283" t="s">
        <v>7981</v>
      </c>
      <c r="D499" s="29" t="s">
        <v>7982</v>
      </c>
      <c r="E499" s="984" t="s">
        <v>8154</v>
      </c>
      <c r="F499" s="987" t="s">
        <v>8155</v>
      </c>
      <c r="G499" s="319">
        <v>2</v>
      </c>
      <c r="H499" s="1002">
        <v>71000</v>
      </c>
      <c r="I499" s="86">
        <f t="shared" si="30"/>
        <v>142000</v>
      </c>
      <c r="J499" s="20">
        <f t="shared" si="32"/>
        <v>63900</v>
      </c>
      <c r="K499" s="171">
        <f t="shared" si="29"/>
        <v>78100</v>
      </c>
      <c r="N499" s="17">
        <f t="shared" si="31"/>
        <v>78100</v>
      </c>
      <c r="O499" s="282" t="s">
        <v>23</v>
      </c>
      <c r="P499" s="20"/>
      <c r="Q499" s="10" t="s">
        <v>54</v>
      </c>
    </row>
    <row r="500" spans="1:17" s="364" customFormat="1" ht="15.6">
      <c r="A500" s="991">
        <v>44523</v>
      </c>
      <c r="B500" s="282" t="s">
        <v>23</v>
      </c>
      <c r="C500" s="283" t="s">
        <v>7981</v>
      </c>
      <c r="D500" s="29" t="s">
        <v>7982</v>
      </c>
      <c r="E500" s="984" t="s">
        <v>8156</v>
      </c>
      <c r="F500" s="987" t="s">
        <v>8157</v>
      </c>
      <c r="G500" s="319">
        <v>2</v>
      </c>
      <c r="H500" s="1005">
        <v>70000</v>
      </c>
      <c r="I500" s="86">
        <f t="shared" si="30"/>
        <v>140000</v>
      </c>
      <c r="J500" s="20">
        <f t="shared" si="32"/>
        <v>63000</v>
      </c>
      <c r="K500" s="171">
        <f t="shared" si="29"/>
        <v>77000</v>
      </c>
      <c r="N500" s="17">
        <f t="shared" si="31"/>
        <v>77000</v>
      </c>
      <c r="O500" s="282" t="s">
        <v>23</v>
      </c>
      <c r="P500" s="20"/>
      <c r="Q500" s="10" t="s">
        <v>54</v>
      </c>
    </row>
    <row r="501" spans="1:17" s="364" customFormat="1" ht="15.6">
      <c r="A501" s="991">
        <v>44523</v>
      </c>
      <c r="B501" s="282" t="s">
        <v>23</v>
      </c>
      <c r="C501" s="283" t="s">
        <v>7981</v>
      </c>
      <c r="D501" s="29" t="s">
        <v>7982</v>
      </c>
      <c r="E501" s="984" t="s">
        <v>8158</v>
      </c>
      <c r="F501" s="987" t="s">
        <v>8159</v>
      </c>
      <c r="G501" s="319">
        <v>2</v>
      </c>
      <c r="H501" s="1002">
        <v>116000</v>
      </c>
      <c r="I501" s="86">
        <f t="shared" si="30"/>
        <v>232000</v>
      </c>
      <c r="J501" s="20">
        <f t="shared" si="32"/>
        <v>104400</v>
      </c>
      <c r="K501" s="171">
        <f t="shared" si="29"/>
        <v>127600</v>
      </c>
      <c r="N501" s="17">
        <f t="shared" si="31"/>
        <v>127600</v>
      </c>
      <c r="O501" s="282" t="s">
        <v>23</v>
      </c>
      <c r="P501" s="20"/>
      <c r="Q501" s="10" t="s">
        <v>54</v>
      </c>
    </row>
    <row r="502" spans="1:17" s="364" customFormat="1" ht="15.6">
      <c r="A502" s="991">
        <v>44523</v>
      </c>
      <c r="B502" s="282" t="s">
        <v>23</v>
      </c>
      <c r="C502" s="283" t="s">
        <v>7981</v>
      </c>
      <c r="D502" s="29" t="s">
        <v>7982</v>
      </c>
      <c r="E502" s="984" t="s">
        <v>4899</v>
      </c>
      <c r="F502" s="984" t="s">
        <v>4900</v>
      </c>
      <c r="G502" s="319">
        <v>2</v>
      </c>
      <c r="H502" s="1002">
        <v>70000</v>
      </c>
      <c r="I502" s="86">
        <f t="shared" si="30"/>
        <v>140000</v>
      </c>
      <c r="J502" s="20">
        <f t="shared" si="32"/>
        <v>63000</v>
      </c>
      <c r="K502" s="171">
        <f t="shared" si="29"/>
        <v>77000</v>
      </c>
      <c r="N502" s="17">
        <f t="shared" si="31"/>
        <v>77000</v>
      </c>
      <c r="O502" s="282" t="s">
        <v>23</v>
      </c>
      <c r="P502" s="20"/>
      <c r="Q502" s="10" t="s">
        <v>54</v>
      </c>
    </row>
    <row r="503" spans="1:17" s="364" customFormat="1" ht="15.6">
      <c r="A503" s="991">
        <v>44523</v>
      </c>
      <c r="B503" s="282" t="s">
        <v>23</v>
      </c>
      <c r="C503" s="283" t="s">
        <v>7981</v>
      </c>
      <c r="D503" s="29" t="s">
        <v>7982</v>
      </c>
      <c r="E503" s="984" t="s">
        <v>2084</v>
      </c>
      <c r="F503" s="987" t="s">
        <v>2085</v>
      </c>
      <c r="G503" s="319">
        <v>2</v>
      </c>
      <c r="H503" s="1005">
        <v>105000</v>
      </c>
      <c r="I503" s="86">
        <f t="shared" si="30"/>
        <v>210000</v>
      </c>
      <c r="J503" s="20">
        <f t="shared" si="32"/>
        <v>94500</v>
      </c>
      <c r="K503" s="171">
        <f t="shared" si="29"/>
        <v>115500</v>
      </c>
      <c r="N503" s="17">
        <f t="shared" si="31"/>
        <v>115500</v>
      </c>
      <c r="O503" s="282" t="s">
        <v>23</v>
      </c>
      <c r="P503" s="20"/>
      <c r="Q503" s="10" t="s">
        <v>54</v>
      </c>
    </row>
    <row r="504" spans="1:17" s="364" customFormat="1" ht="15.6">
      <c r="A504" s="991">
        <v>44523</v>
      </c>
      <c r="B504" s="282" t="s">
        <v>23</v>
      </c>
      <c r="C504" s="283" t="s">
        <v>7981</v>
      </c>
      <c r="D504" s="29" t="s">
        <v>7982</v>
      </c>
      <c r="E504" s="984" t="s">
        <v>8160</v>
      </c>
      <c r="F504" s="987" t="s">
        <v>8161</v>
      </c>
      <c r="G504" s="319">
        <v>2</v>
      </c>
      <c r="H504" s="1002">
        <v>81000</v>
      </c>
      <c r="I504" s="86">
        <f t="shared" si="30"/>
        <v>162000</v>
      </c>
      <c r="J504" s="20">
        <f t="shared" si="32"/>
        <v>72900</v>
      </c>
      <c r="K504" s="171">
        <f t="shared" si="29"/>
        <v>89100</v>
      </c>
      <c r="N504" s="17">
        <f t="shared" si="31"/>
        <v>89100</v>
      </c>
      <c r="O504" s="282" t="s">
        <v>23</v>
      </c>
      <c r="P504" s="20"/>
      <c r="Q504" s="10" t="s">
        <v>54</v>
      </c>
    </row>
    <row r="505" spans="1:17" s="364" customFormat="1" ht="15.6">
      <c r="A505" s="991">
        <v>44523</v>
      </c>
      <c r="B505" s="282" t="s">
        <v>23</v>
      </c>
      <c r="C505" s="283" t="s">
        <v>7981</v>
      </c>
      <c r="D505" s="29" t="s">
        <v>7982</v>
      </c>
      <c r="E505" s="984" t="s">
        <v>8162</v>
      </c>
      <c r="F505" s="984" t="s">
        <v>8163</v>
      </c>
      <c r="G505" s="319">
        <v>2</v>
      </c>
      <c r="H505" s="1002">
        <v>119000</v>
      </c>
      <c r="I505" s="86">
        <f t="shared" si="30"/>
        <v>238000</v>
      </c>
      <c r="J505" s="20">
        <f t="shared" si="32"/>
        <v>107100</v>
      </c>
      <c r="K505" s="171">
        <f t="shared" si="29"/>
        <v>130900</v>
      </c>
      <c r="N505" s="17">
        <f t="shared" si="31"/>
        <v>130900</v>
      </c>
      <c r="O505" s="282" t="s">
        <v>23</v>
      </c>
      <c r="P505" s="20"/>
      <c r="Q505" s="10" t="s">
        <v>54</v>
      </c>
    </row>
    <row r="506" spans="1:17" s="364" customFormat="1" ht="15.6">
      <c r="A506" s="991">
        <v>44523</v>
      </c>
      <c r="B506" s="282" t="s">
        <v>23</v>
      </c>
      <c r="C506" s="283" t="s">
        <v>7981</v>
      </c>
      <c r="D506" s="29" t="s">
        <v>7982</v>
      </c>
      <c r="E506" s="984" t="s">
        <v>8164</v>
      </c>
      <c r="F506" s="984" t="s">
        <v>8165</v>
      </c>
      <c r="G506" s="319">
        <v>2</v>
      </c>
      <c r="H506" s="1002">
        <v>106000</v>
      </c>
      <c r="I506" s="86">
        <f t="shared" si="30"/>
        <v>212000</v>
      </c>
      <c r="J506" s="20">
        <f t="shared" si="32"/>
        <v>95400</v>
      </c>
      <c r="K506" s="171">
        <f t="shared" si="29"/>
        <v>116600</v>
      </c>
      <c r="N506" s="17">
        <f t="shared" si="31"/>
        <v>116600</v>
      </c>
      <c r="O506" s="282" t="s">
        <v>23</v>
      </c>
      <c r="P506" s="20"/>
      <c r="Q506" s="10" t="s">
        <v>54</v>
      </c>
    </row>
    <row r="507" spans="1:17" s="364" customFormat="1" ht="15.6">
      <c r="A507" s="991">
        <v>44523</v>
      </c>
      <c r="B507" s="282" t="s">
        <v>23</v>
      </c>
      <c r="C507" s="283" t="s">
        <v>7981</v>
      </c>
      <c r="D507" s="29" t="s">
        <v>7982</v>
      </c>
      <c r="E507" s="984" t="s">
        <v>8166</v>
      </c>
      <c r="F507" s="987" t="s">
        <v>8167</v>
      </c>
      <c r="G507" s="319">
        <v>2</v>
      </c>
      <c r="H507" s="1002">
        <v>58000</v>
      </c>
      <c r="I507" s="86">
        <f t="shared" si="30"/>
        <v>116000</v>
      </c>
      <c r="J507" s="20">
        <f t="shared" si="32"/>
        <v>52200</v>
      </c>
      <c r="K507" s="171">
        <f t="shared" si="29"/>
        <v>63800</v>
      </c>
      <c r="N507" s="17">
        <f t="shared" si="31"/>
        <v>63800</v>
      </c>
      <c r="O507" s="282" t="s">
        <v>23</v>
      </c>
      <c r="P507" s="20"/>
      <c r="Q507" s="10" t="s">
        <v>54</v>
      </c>
    </row>
    <row r="508" spans="1:17" s="364" customFormat="1" ht="15.6">
      <c r="A508" s="991">
        <v>44523</v>
      </c>
      <c r="B508" s="282" t="s">
        <v>23</v>
      </c>
      <c r="C508" s="283" t="s">
        <v>7981</v>
      </c>
      <c r="D508" s="29" t="s">
        <v>7982</v>
      </c>
      <c r="E508" s="984" t="s">
        <v>8168</v>
      </c>
      <c r="F508" s="984" t="s">
        <v>8169</v>
      </c>
      <c r="G508" s="319">
        <v>2</v>
      </c>
      <c r="H508" s="1002">
        <v>72000</v>
      </c>
      <c r="I508" s="86">
        <f t="shared" si="30"/>
        <v>144000</v>
      </c>
      <c r="J508" s="20">
        <f t="shared" si="32"/>
        <v>64800</v>
      </c>
      <c r="K508" s="171">
        <f t="shared" si="29"/>
        <v>79200</v>
      </c>
      <c r="N508" s="17">
        <f t="shared" si="31"/>
        <v>79200</v>
      </c>
      <c r="O508" s="282" t="s">
        <v>23</v>
      </c>
      <c r="P508" s="20"/>
      <c r="Q508" s="10" t="s">
        <v>54</v>
      </c>
    </row>
    <row r="509" spans="1:17" s="364" customFormat="1" ht="15.6">
      <c r="A509" s="991">
        <v>44523</v>
      </c>
      <c r="B509" s="282" t="s">
        <v>23</v>
      </c>
      <c r="C509" s="283" t="s">
        <v>7981</v>
      </c>
      <c r="D509" s="29" t="s">
        <v>7982</v>
      </c>
      <c r="E509" s="984" t="s">
        <v>8170</v>
      </c>
      <c r="F509" s="987" t="s">
        <v>8171</v>
      </c>
      <c r="G509" s="319">
        <v>2</v>
      </c>
      <c r="H509" s="1005">
        <v>102000</v>
      </c>
      <c r="I509" s="86">
        <f t="shared" si="30"/>
        <v>204000</v>
      </c>
      <c r="J509" s="20">
        <f t="shared" si="32"/>
        <v>91800</v>
      </c>
      <c r="K509" s="171">
        <f t="shared" si="29"/>
        <v>112200</v>
      </c>
      <c r="N509" s="17">
        <f t="shared" si="31"/>
        <v>112200</v>
      </c>
      <c r="O509" s="282" t="s">
        <v>23</v>
      </c>
      <c r="P509" s="20"/>
      <c r="Q509" s="10" t="s">
        <v>54</v>
      </c>
    </row>
    <row r="510" spans="1:17" s="364" customFormat="1" ht="15.6">
      <c r="A510" s="991">
        <v>44523</v>
      </c>
      <c r="B510" s="282" t="s">
        <v>23</v>
      </c>
      <c r="C510" s="283" t="s">
        <v>7981</v>
      </c>
      <c r="D510" s="29" t="s">
        <v>7982</v>
      </c>
      <c r="E510" s="984" t="s">
        <v>8172</v>
      </c>
      <c r="F510" s="987" t="s">
        <v>8173</v>
      </c>
      <c r="G510" s="319">
        <v>2</v>
      </c>
      <c r="H510" s="1002">
        <v>86000</v>
      </c>
      <c r="I510" s="86">
        <f t="shared" si="30"/>
        <v>172000</v>
      </c>
      <c r="J510" s="20">
        <f t="shared" si="32"/>
        <v>77400</v>
      </c>
      <c r="K510" s="171">
        <f t="shared" si="29"/>
        <v>94600</v>
      </c>
      <c r="N510" s="17">
        <f t="shared" si="31"/>
        <v>94600</v>
      </c>
      <c r="O510" s="282" t="s">
        <v>23</v>
      </c>
      <c r="P510" s="20"/>
      <c r="Q510" s="10" t="s">
        <v>54</v>
      </c>
    </row>
    <row r="511" spans="1:17" s="364" customFormat="1" ht="15.6">
      <c r="A511" s="991">
        <v>44523</v>
      </c>
      <c r="B511" s="282" t="s">
        <v>23</v>
      </c>
      <c r="C511" s="283" t="s">
        <v>7981</v>
      </c>
      <c r="D511" s="29" t="s">
        <v>7982</v>
      </c>
      <c r="E511" s="984" t="s">
        <v>8174</v>
      </c>
      <c r="F511" s="987" t="s">
        <v>8175</v>
      </c>
      <c r="G511" s="319">
        <v>2</v>
      </c>
      <c r="H511" s="1002">
        <v>78000</v>
      </c>
      <c r="I511" s="86">
        <f t="shared" si="30"/>
        <v>156000</v>
      </c>
      <c r="J511" s="20">
        <f t="shared" si="32"/>
        <v>70200</v>
      </c>
      <c r="K511" s="171">
        <f t="shared" si="29"/>
        <v>85800</v>
      </c>
      <c r="N511" s="17">
        <f t="shared" si="31"/>
        <v>85800</v>
      </c>
      <c r="O511" s="282" t="s">
        <v>23</v>
      </c>
      <c r="P511" s="20"/>
      <c r="Q511" s="10" t="s">
        <v>54</v>
      </c>
    </row>
    <row r="512" spans="1:17" s="364" customFormat="1" ht="15.6">
      <c r="A512" s="991">
        <v>44523</v>
      </c>
      <c r="B512" s="282" t="s">
        <v>23</v>
      </c>
      <c r="C512" s="283" t="s">
        <v>7981</v>
      </c>
      <c r="D512" s="29" t="s">
        <v>7982</v>
      </c>
      <c r="E512" s="984" t="s">
        <v>8176</v>
      </c>
      <c r="F512" s="984" t="s">
        <v>8177</v>
      </c>
      <c r="G512" s="319">
        <v>2</v>
      </c>
      <c r="H512" s="1002">
        <v>143000</v>
      </c>
      <c r="I512" s="86">
        <f t="shared" si="30"/>
        <v>286000</v>
      </c>
      <c r="J512" s="20">
        <f t="shared" si="32"/>
        <v>128700</v>
      </c>
      <c r="K512" s="171">
        <f t="shared" si="29"/>
        <v>157300</v>
      </c>
      <c r="N512" s="17">
        <f t="shared" si="31"/>
        <v>157300</v>
      </c>
      <c r="O512" s="282" t="s">
        <v>23</v>
      </c>
      <c r="P512" s="20"/>
      <c r="Q512" s="10" t="s">
        <v>54</v>
      </c>
    </row>
    <row r="513" spans="1:17" s="364" customFormat="1" ht="15.6">
      <c r="A513" s="991">
        <v>44523</v>
      </c>
      <c r="B513" s="282" t="s">
        <v>23</v>
      </c>
      <c r="C513" s="283" t="s">
        <v>7981</v>
      </c>
      <c r="D513" s="29" t="s">
        <v>7982</v>
      </c>
      <c r="E513" s="984" t="s">
        <v>7337</v>
      </c>
      <c r="F513" s="984" t="s">
        <v>4675</v>
      </c>
      <c r="G513" s="319">
        <v>2</v>
      </c>
      <c r="H513" s="1002">
        <v>93000</v>
      </c>
      <c r="I513" s="86">
        <f t="shared" si="30"/>
        <v>186000</v>
      </c>
      <c r="J513" s="20">
        <f t="shared" si="32"/>
        <v>83700</v>
      </c>
      <c r="K513" s="171">
        <f t="shared" si="29"/>
        <v>102300</v>
      </c>
      <c r="N513" s="17">
        <f t="shared" si="31"/>
        <v>102300</v>
      </c>
      <c r="O513" s="282" t="s">
        <v>23</v>
      </c>
      <c r="P513" s="20"/>
      <c r="Q513" s="10" t="s">
        <v>54</v>
      </c>
    </row>
    <row r="514" spans="1:17" s="364" customFormat="1" ht="15.6">
      <c r="A514" s="991">
        <v>44523</v>
      </c>
      <c r="B514" s="282" t="s">
        <v>23</v>
      </c>
      <c r="C514" s="283" t="s">
        <v>7981</v>
      </c>
      <c r="D514" s="29" t="s">
        <v>7982</v>
      </c>
      <c r="E514" s="984" t="s">
        <v>4078</v>
      </c>
      <c r="F514" s="987" t="s">
        <v>4079</v>
      </c>
      <c r="G514" s="319">
        <v>2</v>
      </c>
      <c r="H514" s="1004">
        <v>81000</v>
      </c>
      <c r="I514" s="86">
        <f t="shared" si="30"/>
        <v>162000</v>
      </c>
      <c r="J514" s="20">
        <f t="shared" si="32"/>
        <v>72900</v>
      </c>
      <c r="K514" s="171">
        <f t="shared" si="29"/>
        <v>89100</v>
      </c>
      <c r="N514" s="17">
        <f t="shared" si="31"/>
        <v>89100</v>
      </c>
      <c r="O514" s="282" t="s">
        <v>23</v>
      </c>
      <c r="P514" s="20"/>
      <c r="Q514" s="10" t="s">
        <v>54</v>
      </c>
    </row>
    <row r="515" spans="1:17" s="364" customFormat="1" ht="15.6">
      <c r="A515" s="991">
        <v>44523</v>
      </c>
      <c r="B515" s="282" t="s">
        <v>23</v>
      </c>
      <c r="C515" s="283" t="s">
        <v>7981</v>
      </c>
      <c r="D515" s="29" t="s">
        <v>7982</v>
      </c>
      <c r="E515" s="984" t="s">
        <v>4674</v>
      </c>
      <c r="F515" s="984" t="s">
        <v>4675</v>
      </c>
      <c r="G515" s="319">
        <v>2</v>
      </c>
      <c r="H515" s="1002">
        <v>82500</v>
      </c>
      <c r="I515" s="86">
        <f t="shared" si="30"/>
        <v>165000</v>
      </c>
      <c r="J515" s="20">
        <f t="shared" si="32"/>
        <v>74250</v>
      </c>
      <c r="K515" s="171">
        <f t="shared" si="29"/>
        <v>90750</v>
      </c>
      <c r="N515" s="17">
        <f t="shared" si="31"/>
        <v>90750</v>
      </c>
      <c r="O515" s="282" t="s">
        <v>23</v>
      </c>
      <c r="P515" s="20"/>
      <c r="Q515" s="10" t="s">
        <v>54</v>
      </c>
    </row>
    <row r="516" spans="1:17" s="364" customFormat="1" ht="15.6">
      <c r="A516" s="991">
        <v>44523</v>
      </c>
      <c r="B516" s="282" t="s">
        <v>23</v>
      </c>
      <c r="C516" s="283" t="s">
        <v>7981</v>
      </c>
      <c r="D516" s="29" t="s">
        <v>7982</v>
      </c>
      <c r="E516" s="984" t="s">
        <v>8178</v>
      </c>
      <c r="F516" s="987" t="s">
        <v>8179</v>
      </c>
      <c r="G516" s="319">
        <v>2</v>
      </c>
      <c r="H516" s="1005">
        <v>96000</v>
      </c>
      <c r="I516" s="86">
        <f t="shared" si="30"/>
        <v>192000</v>
      </c>
      <c r="J516" s="20">
        <f t="shared" si="32"/>
        <v>86400</v>
      </c>
      <c r="K516" s="171">
        <f t="shared" ref="K516:K579" si="33">I516-J516</f>
        <v>105600</v>
      </c>
      <c r="N516" s="17">
        <f t="shared" si="31"/>
        <v>105600</v>
      </c>
      <c r="O516" s="282" t="s">
        <v>23</v>
      </c>
      <c r="P516" s="20"/>
      <c r="Q516" s="10" t="s">
        <v>54</v>
      </c>
    </row>
    <row r="517" spans="1:17" s="364" customFormat="1" ht="15.6">
      <c r="A517" s="991">
        <v>44523</v>
      </c>
      <c r="B517" s="282" t="s">
        <v>23</v>
      </c>
      <c r="C517" s="283" t="s">
        <v>7981</v>
      </c>
      <c r="D517" s="29" t="s">
        <v>7982</v>
      </c>
      <c r="E517" s="984" t="s">
        <v>8180</v>
      </c>
      <c r="F517" s="984" t="s">
        <v>8181</v>
      </c>
      <c r="G517" s="319">
        <v>2</v>
      </c>
      <c r="H517" s="1002">
        <v>210000</v>
      </c>
      <c r="I517" s="86">
        <f t="shared" ref="I517:I580" si="34">H517*G517</f>
        <v>420000</v>
      </c>
      <c r="J517" s="20">
        <f t="shared" si="32"/>
        <v>189000</v>
      </c>
      <c r="K517" s="171">
        <f t="shared" si="33"/>
        <v>231000</v>
      </c>
      <c r="N517" s="17">
        <f t="shared" si="31"/>
        <v>231000</v>
      </c>
      <c r="O517" s="282" t="s">
        <v>23</v>
      </c>
      <c r="P517" s="20"/>
      <c r="Q517" s="10" t="s">
        <v>54</v>
      </c>
    </row>
    <row r="518" spans="1:17" s="364" customFormat="1" ht="15.6">
      <c r="A518" s="991">
        <v>44523</v>
      </c>
      <c r="B518" s="282" t="s">
        <v>23</v>
      </c>
      <c r="C518" s="283" t="s">
        <v>7981</v>
      </c>
      <c r="D518" s="29" t="s">
        <v>7982</v>
      </c>
      <c r="E518" s="984" t="s">
        <v>8182</v>
      </c>
      <c r="F518" s="987" t="s">
        <v>8183</v>
      </c>
      <c r="G518" s="319">
        <v>2</v>
      </c>
      <c r="H518" s="1002">
        <v>92000</v>
      </c>
      <c r="I518" s="86">
        <f t="shared" si="34"/>
        <v>184000</v>
      </c>
      <c r="J518" s="20">
        <f t="shared" si="32"/>
        <v>82800</v>
      </c>
      <c r="K518" s="171">
        <f t="shared" si="33"/>
        <v>101200</v>
      </c>
      <c r="N518" s="17">
        <f t="shared" si="31"/>
        <v>101200</v>
      </c>
      <c r="O518" s="282" t="s">
        <v>23</v>
      </c>
      <c r="P518" s="20"/>
      <c r="Q518" s="10" t="s">
        <v>54</v>
      </c>
    </row>
    <row r="519" spans="1:17" s="364" customFormat="1" ht="15.6">
      <c r="A519" s="991">
        <v>44523</v>
      </c>
      <c r="B519" s="282" t="s">
        <v>23</v>
      </c>
      <c r="C519" s="283" t="s">
        <v>7981</v>
      </c>
      <c r="D519" s="29" t="s">
        <v>7982</v>
      </c>
      <c r="E519" s="984" t="s">
        <v>8184</v>
      </c>
      <c r="F519" s="987" t="s">
        <v>8030</v>
      </c>
      <c r="G519" s="319">
        <v>2</v>
      </c>
      <c r="H519" s="1002">
        <v>95000</v>
      </c>
      <c r="I519" s="86">
        <f t="shared" si="34"/>
        <v>190000</v>
      </c>
      <c r="J519" s="20">
        <f t="shared" si="32"/>
        <v>85500</v>
      </c>
      <c r="K519" s="171">
        <f t="shared" si="33"/>
        <v>104500</v>
      </c>
      <c r="N519" s="17">
        <f t="shared" si="31"/>
        <v>104500</v>
      </c>
      <c r="O519" s="282" t="s">
        <v>23</v>
      </c>
      <c r="P519" s="20"/>
      <c r="Q519" s="10" t="s">
        <v>54</v>
      </c>
    </row>
    <row r="520" spans="1:17" s="364" customFormat="1" ht="15.6">
      <c r="A520" s="991">
        <v>44523</v>
      </c>
      <c r="B520" s="282" t="s">
        <v>23</v>
      </c>
      <c r="C520" s="283" t="s">
        <v>7981</v>
      </c>
      <c r="D520" s="29" t="s">
        <v>7982</v>
      </c>
      <c r="E520" s="984" t="s">
        <v>5953</v>
      </c>
      <c r="F520" s="987" t="s">
        <v>5954</v>
      </c>
      <c r="G520" s="319">
        <v>2</v>
      </c>
      <c r="H520" s="1002">
        <v>61000</v>
      </c>
      <c r="I520" s="86">
        <f t="shared" si="34"/>
        <v>122000</v>
      </c>
      <c r="J520" s="20">
        <f t="shared" si="32"/>
        <v>54900</v>
      </c>
      <c r="K520" s="171">
        <f t="shared" si="33"/>
        <v>67100</v>
      </c>
      <c r="N520" s="17">
        <f t="shared" si="31"/>
        <v>67100</v>
      </c>
      <c r="O520" s="282" t="s">
        <v>23</v>
      </c>
      <c r="P520" s="20"/>
      <c r="Q520" s="10" t="s">
        <v>54</v>
      </c>
    </row>
    <row r="521" spans="1:17" s="364" customFormat="1" ht="15.6">
      <c r="A521" s="991">
        <v>44523</v>
      </c>
      <c r="B521" s="282" t="s">
        <v>23</v>
      </c>
      <c r="C521" s="283" t="s">
        <v>7981</v>
      </c>
      <c r="D521" s="29" t="s">
        <v>7982</v>
      </c>
      <c r="E521" s="984" t="s">
        <v>8185</v>
      </c>
      <c r="F521" s="987" t="s">
        <v>8186</v>
      </c>
      <c r="G521" s="319">
        <v>2</v>
      </c>
      <c r="H521" s="1002">
        <v>128000</v>
      </c>
      <c r="I521" s="86">
        <f t="shared" si="34"/>
        <v>256000</v>
      </c>
      <c r="J521" s="20">
        <f t="shared" si="32"/>
        <v>115200</v>
      </c>
      <c r="K521" s="171">
        <f t="shared" si="33"/>
        <v>140800</v>
      </c>
      <c r="N521" s="17">
        <f t="shared" si="31"/>
        <v>140800</v>
      </c>
      <c r="O521" s="282" t="s">
        <v>23</v>
      </c>
      <c r="P521" s="20"/>
      <c r="Q521" s="10" t="s">
        <v>54</v>
      </c>
    </row>
    <row r="522" spans="1:17" s="364" customFormat="1" ht="15.6">
      <c r="A522" s="991">
        <v>44523</v>
      </c>
      <c r="B522" s="282" t="s">
        <v>23</v>
      </c>
      <c r="C522" s="283" t="s">
        <v>7981</v>
      </c>
      <c r="D522" s="29" t="s">
        <v>7982</v>
      </c>
      <c r="E522" s="984" t="s">
        <v>6749</v>
      </c>
      <c r="F522" s="984" t="s">
        <v>2986</v>
      </c>
      <c r="G522" s="319">
        <v>2</v>
      </c>
      <c r="H522" s="1002">
        <v>90000</v>
      </c>
      <c r="I522" s="86">
        <f t="shared" si="34"/>
        <v>180000</v>
      </c>
      <c r="J522" s="20">
        <f t="shared" si="32"/>
        <v>81000</v>
      </c>
      <c r="K522" s="171">
        <f t="shared" si="33"/>
        <v>99000</v>
      </c>
      <c r="N522" s="17">
        <f t="shared" si="31"/>
        <v>99000</v>
      </c>
      <c r="O522" s="282" t="s">
        <v>23</v>
      </c>
      <c r="P522" s="20"/>
      <c r="Q522" s="10" t="s">
        <v>54</v>
      </c>
    </row>
    <row r="523" spans="1:17" s="364" customFormat="1" ht="15.6">
      <c r="A523" s="991">
        <v>44523</v>
      </c>
      <c r="B523" s="282" t="s">
        <v>23</v>
      </c>
      <c r="C523" s="283" t="s">
        <v>7981</v>
      </c>
      <c r="D523" s="29" t="s">
        <v>7982</v>
      </c>
      <c r="E523" s="984" t="s">
        <v>8187</v>
      </c>
      <c r="F523" s="987" t="s">
        <v>8188</v>
      </c>
      <c r="G523" s="319">
        <v>2</v>
      </c>
      <c r="H523" s="1002">
        <v>100000</v>
      </c>
      <c r="I523" s="86">
        <f t="shared" si="34"/>
        <v>200000</v>
      </c>
      <c r="J523" s="20">
        <f t="shared" si="32"/>
        <v>90000</v>
      </c>
      <c r="K523" s="171">
        <f t="shared" si="33"/>
        <v>110000</v>
      </c>
      <c r="N523" s="17">
        <f t="shared" si="31"/>
        <v>110000</v>
      </c>
      <c r="O523" s="282" t="s">
        <v>23</v>
      </c>
      <c r="P523" s="20"/>
      <c r="Q523" s="10" t="s">
        <v>54</v>
      </c>
    </row>
    <row r="524" spans="1:17" s="364" customFormat="1" ht="15.6">
      <c r="A524" s="991">
        <v>44523</v>
      </c>
      <c r="B524" s="282" t="s">
        <v>23</v>
      </c>
      <c r="C524" s="283" t="s">
        <v>7981</v>
      </c>
      <c r="D524" s="29" t="s">
        <v>7982</v>
      </c>
      <c r="E524" s="984" t="s">
        <v>8189</v>
      </c>
      <c r="F524" s="987" t="s">
        <v>8190</v>
      </c>
      <c r="G524" s="319">
        <v>2</v>
      </c>
      <c r="H524" s="1002">
        <v>116000</v>
      </c>
      <c r="I524" s="86">
        <f t="shared" si="34"/>
        <v>232000</v>
      </c>
      <c r="J524" s="20">
        <f t="shared" si="32"/>
        <v>104400</v>
      </c>
      <c r="K524" s="171">
        <f t="shared" si="33"/>
        <v>127600</v>
      </c>
      <c r="N524" s="17">
        <f t="shared" si="31"/>
        <v>127600</v>
      </c>
      <c r="O524" s="282" t="s">
        <v>23</v>
      </c>
      <c r="P524" s="20"/>
      <c r="Q524" s="10" t="s">
        <v>54</v>
      </c>
    </row>
    <row r="525" spans="1:17" s="364" customFormat="1" ht="15.6">
      <c r="A525" s="991">
        <v>44523</v>
      </c>
      <c r="B525" s="282" t="s">
        <v>23</v>
      </c>
      <c r="C525" s="283" t="s">
        <v>7981</v>
      </c>
      <c r="D525" s="29" t="s">
        <v>7982</v>
      </c>
      <c r="E525" s="984" t="s">
        <v>8191</v>
      </c>
      <c r="F525" s="987" t="s">
        <v>8192</v>
      </c>
      <c r="G525" s="319">
        <v>2</v>
      </c>
      <c r="H525" s="1002">
        <v>72500</v>
      </c>
      <c r="I525" s="86">
        <f t="shared" si="34"/>
        <v>145000</v>
      </c>
      <c r="J525" s="20">
        <f t="shared" si="32"/>
        <v>65250</v>
      </c>
      <c r="K525" s="171">
        <f t="shared" si="33"/>
        <v>79750</v>
      </c>
      <c r="N525" s="17">
        <f t="shared" si="31"/>
        <v>79750</v>
      </c>
      <c r="O525" s="282" t="s">
        <v>23</v>
      </c>
      <c r="P525" s="20"/>
      <c r="Q525" s="10" t="s">
        <v>54</v>
      </c>
    </row>
    <row r="526" spans="1:17" s="364" customFormat="1" ht="15.6">
      <c r="A526" s="991">
        <v>44523</v>
      </c>
      <c r="B526" s="282" t="s">
        <v>23</v>
      </c>
      <c r="C526" s="283" t="s">
        <v>7981</v>
      </c>
      <c r="D526" s="29" t="s">
        <v>7982</v>
      </c>
      <c r="E526" s="984" t="s">
        <v>8193</v>
      </c>
      <c r="F526" s="987" t="s">
        <v>3124</v>
      </c>
      <c r="G526" s="319">
        <v>2</v>
      </c>
      <c r="H526" s="1002">
        <v>94000</v>
      </c>
      <c r="I526" s="86">
        <f t="shared" si="34"/>
        <v>188000</v>
      </c>
      <c r="J526" s="20">
        <f t="shared" si="32"/>
        <v>84600</v>
      </c>
      <c r="K526" s="171">
        <f t="shared" si="33"/>
        <v>103400</v>
      </c>
      <c r="N526" s="17">
        <f t="shared" si="31"/>
        <v>103400</v>
      </c>
      <c r="O526" s="282" t="s">
        <v>23</v>
      </c>
      <c r="P526" s="20"/>
      <c r="Q526" s="10" t="s">
        <v>54</v>
      </c>
    </row>
    <row r="527" spans="1:17" s="364" customFormat="1" ht="15.6">
      <c r="A527" s="991">
        <v>44523</v>
      </c>
      <c r="B527" s="282" t="s">
        <v>23</v>
      </c>
      <c r="C527" s="283" t="s">
        <v>7981</v>
      </c>
      <c r="D527" s="29" t="s">
        <v>7982</v>
      </c>
      <c r="E527" s="984" t="s">
        <v>4677</v>
      </c>
      <c r="F527" s="987" t="s">
        <v>4678</v>
      </c>
      <c r="G527" s="319">
        <v>2</v>
      </c>
      <c r="H527" s="1003">
        <v>93000</v>
      </c>
      <c r="I527" s="86">
        <f t="shared" si="34"/>
        <v>186000</v>
      </c>
      <c r="J527" s="20">
        <f t="shared" si="32"/>
        <v>83700</v>
      </c>
      <c r="K527" s="171">
        <f t="shared" si="33"/>
        <v>102300</v>
      </c>
      <c r="N527" s="17">
        <f t="shared" si="31"/>
        <v>102300</v>
      </c>
      <c r="O527" s="282" t="s">
        <v>23</v>
      </c>
      <c r="P527" s="20"/>
      <c r="Q527" s="10" t="s">
        <v>54</v>
      </c>
    </row>
    <row r="528" spans="1:17" s="364" customFormat="1" ht="15.6">
      <c r="A528" s="991">
        <v>44523</v>
      </c>
      <c r="B528" s="282" t="s">
        <v>23</v>
      </c>
      <c r="C528" s="283" t="s">
        <v>7981</v>
      </c>
      <c r="D528" s="29" t="s">
        <v>7982</v>
      </c>
      <c r="E528" s="984" t="s">
        <v>4671</v>
      </c>
      <c r="F528" s="987" t="s">
        <v>4672</v>
      </c>
      <c r="G528" s="319">
        <v>2</v>
      </c>
      <c r="H528" s="1005">
        <v>107000</v>
      </c>
      <c r="I528" s="86">
        <f t="shared" si="34"/>
        <v>214000</v>
      </c>
      <c r="J528" s="20">
        <f t="shared" si="32"/>
        <v>96300</v>
      </c>
      <c r="K528" s="171">
        <f t="shared" si="33"/>
        <v>117700</v>
      </c>
      <c r="N528" s="17">
        <f t="shared" si="31"/>
        <v>117700</v>
      </c>
      <c r="O528" s="282" t="s">
        <v>23</v>
      </c>
      <c r="P528" s="20"/>
      <c r="Q528" s="10" t="s">
        <v>54</v>
      </c>
    </row>
    <row r="529" spans="1:17" s="364" customFormat="1" ht="15.6">
      <c r="A529" s="991">
        <v>44523</v>
      </c>
      <c r="B529" s="282" t="s">
        <v>23</v>
      </c>
      <c r="C529" s="283" t="s">
        <v>7981</v>
      </c>
      <c r="D529" s="29" t="s">
        <v>7982</v>
      </c>
      <c r="E529" s="984" t="s">
        <v>3123</v>
      </c>
      <c r="F529" s="987" t="s">
        <v>3124</v>
      </c>
      <c r="G529" s="319">
        <v>2</v>
      </c>
      <c r="H529" s="1002">
        <v>105000</v>
      </c>
      <c r="I529" s="86">
        <f t="shared" si="34"/>
        <v>210000</v>
      </c>
      <c r="J529" s="20">
        <f t="shared" si="32"/>
        <v>94500</v>
      </c>
      <c r="K529" s="171">
        <f t="shared" si="33"/>
        <v>115500</v>
      </c>
      <c r="N529" s="17">
        <f t="shared" si="31"/>
        <v>115500</v>
      </c>
      <c r="O529" s="282" t="s">
        <v>23</v>
      </c>
      <c r="P529" s="20"/>
      <c r="Q529" s="10" t="s">
        <v>54</v>
      </c>
    </row>
    <row r="530" spans="1:17" s="364" customFormat="1" ht="15.6">
      <c r="A530" s="991">
        <v>44523</v>
      </c>
      <c r="B530" s="282" t="s">
        <v>23</v>
      </c>
      <c r="C530" s="283" t="s">
        <v>7981</v>
      </c>
      <c r="D530" s="29" t="s">
        <v>7982</v>
      </c>
      <c r="E530" s="984" t="s">
        <v>8194</v>
      </c>
      <c r="F530" s="987" t="s">
        <v>8195</v>
      </c>
      <c r="G530" s="319">
        <v>2</v>
      </c>
      <c r="H530" s="1006">
        <v>85000</v>
      </c>
      <c r="I530" s="86">
        <f t="shared" si="34"/>
        <v>170000</v>
      </c>
      <c r="J530" s="20">
        <f t="shared" si="32"/>
        <v>76500</v>
      </c>
      <c r="K530" s="171">
        <f t="shared" si="33"/>
        <v>93500</v>
      </c>
      <c r="N530" s="17">
        <f t="shared" si="31"/>
        <v>93500</v>
      </c>
      <c r="O530" s="282" t="s">
        <v>23</v>
      </c>
      <c r="P530" s="20"/>
      <c r="Q530" s="10" t="s">
        <v>54</v>
      </c>
    </row>
    <row r="531" spans="1:17" s="364" customFormat="1" ht="15.6">
      <c r="A531" s="991">
        <v>44523</v>
      </c>
      <c r="B531" s="282" t="s">
        <v>23</v>
      </c>
      <c r="C531" s="283" t="s">
        <v>7981</v>
      </c>
      <c r="D531" s="29" t="s">
        <v>7982</v>
      </c>
      <c r="E531" s="984" t="s">
        <v>8196</v>
      </c>
      <c r="F531" s="984" t="s">
        <v>8197</v>
      </c>
      <c r="G531" s="319">
        <v>2</v>
      </c>
      <c r="H531" s="1002">
        <v>97000</v>
      </c>
      <c r="I531" s="86">
        <f t="shared" si="34"/>
        <v>194000</v>
      </c>
      <c r="J531" s="20">
        <f t="shared" si="32"/>
        <v>87300</v>
      </c>
      <c r="K531" s="171">
        <f t="shared" si="33"/>
        <v>106700</v>
      </c>
      <c r="N531" s="17">
        <f t="shared" si="31"/>
        <v>106700</v>
      </c>
      <c r="O531" s="282" t="s">
        <v>23</v>
      </c>
      <c r="P531" s="20"/>
      <c r="Q531" s="10" t="s">
        <v>54</v>
      </c>
    </row>
    <row r="532" spans="1:17" s="364" customFormat="1" ht="15.6">
      <c r="A532" s="991">
        <v>44523</v>
      </c>
      <c r="B532" s="282" t="s">
        <v>23</v>
      </c>
      <c r="C532" s="283" t="s">
        <v>7981</v>
      </c>
      <c r="D532" s="29" t="s">
        <v>7982</v>
      </c>
      <c r="E532" s="984" t="s">
        <v>8198</v>
      </c>
      <c r="F532" s="987" t="s">
        <v>8199</v>
      </c>
      <c r="G532" s="319">
        <v>2</v>
      </c>
      <c r="H532" s="1005">
        <v>121000</v>
      </c>
      <c r="I532" s="86">
        <f t="shared" si="34"/>
        <v>242000</v>
      </c>
      <c r="J532" s="20">
        <f t="shared" si="32"/>
        <v>108900</v>
      </c>
      <c r="K532" s="171">
        <f t="shared" si="33"/>
        <v>133100</v>
      </c>
      <c r="N532" s="17">
        <f t="shared" si="31"/>
        <v>133100</v>
      </c>
      <c r="O532" s="282" t="s">
        <v>23</v>
      </c>
      <c r="P532" s="20"/>
      <c r="Q532" s="10" t="s">
        <v>54</v>
      </c>
    </row>
    <row r="533" spans="1:17" s="364" customFormat="1" ht="15.6">
      <c r="A533" s="991">
        <v>44523</v>
      </c>
      <c r="B533" s="282" t="s">
        <v>23</v>
      </c>
      <c r="C533" s="283" t="s">
        <v>7981</v>
      </c>
      <c r="D533" s="29" t="s">
        <v>7982</v>
      </c>
      <c r="E533" s="984" t="s">
        <v>8200</v>
      </c>
      <c r="F533" s="987" t="s">
        <v>8201</v>
      </c>
      <c r="G533" s="319">
        <v>2</v>
      </c>
      <c r="H533" s="1002">
        <v>263000</v>
      </c>
      <c r="I533" s="86">
        <f t="shared" si="34"/>
        <v>526000</v>
      </c>
      <c r="J533" s="20">
        <f t="shared" si="32"/>
        <v>236700</v>
      </c>
      <c r="K533" s="171">
        <f t="shared" si="33"/>
        <v>289300</v>
      </c>
      <c r="N533" s="17">
        <f t="shared" si="31"/>
        <v>289300</v>
      </c>
      <c r="O533" s="282" t="s">
        <v>23</v>
      </c>
      <c r="P533" s="20"/>
      <c r="Q533" s="10" t="s">
        <v>54</v>
      </c>
    </row>
    <row r="534" spans="1:17" s="364" customFormat="1" ht="15.6">
      <c r="A534" s="991">
        <v>44523</v>
      </c>
      <c r="B534" s="282" t="s">
        <v>23</v>
      </c>
      <c r="C534" s="283" t="s">
        <v>7981</v>
      </c>
      <c r="D534" s="29" t="s">
        <v>7982</v>
      </c>
      <c r="E534" s="984" t="s">
        <v>8202</v>
      </c>
      <c r="F534" s="987" t="s">
        <v>8203</v>
      </c>
      <c r="G534" s="319">
        <v>2</v>
      </c>
      <c r="H534" s="1002">
        <v>126000</v>
      </c>
      <c r="I534" s="86">
        <f t="shared" si="34"/>
        <v>252000</v>
      </c>
      <c r="J534" s="20">
        <f t="shared" si="32"/>
        <v>113400</v>
      </c>
      <c r="K534" s="171">
        <f t="shared" si="33"/>
        <v>138600</v>
      </c>
      <c r="N534" s="17">
        <f t="shared" si="31"/>
        <v>138600</v>
      </c>
      <c r="O534" s="282" t="s">
        <v>23</v>
      </c>
      <c r="P534" s="20"/>
      <c r="Q534" s="10" t="s">
        <v>54</v>
      </c>
    </row>
    <row r="535" spans="1:17" s="364" customFormat="1" ht="15.6">
      <c r="A535" s="991">
        <v>44523</v>
      </c>
      <c r="B535" s="282" t="s">
        <v>23</v>
      </c>
      <c r="C535" s="283" t="s">
        <v>7981</v>
      </c>
      <c r="D535" s="29" t="s">
        <v>7982</v>
      </c>
      <c r="E535" s="984" t="s">
        <v>5557</v>
      </c>
      <c r="F535" s="984" t="s">
        <v>5558</v>
      </c>
      <c r="G535" s="319">
        <v>2</v>
      </c>
      <c r="H535" s="1008">
        <v>131000</v>
      </c>
      <c r="I535" s="86">
        <f t="shared" si="34"/>
        <v>262000</v>
      </c>
      <c r="J535" s="20">
        <f t="shared" si="32"/>
        <v>117900</v>
      </c>
      <c r="K535" s="171">
        <f t="shared" si="33"/>
        <v>144100</v>
      </c>
      <c r="N535" s="17">
        <f t="shared" si="31"/>
        <v>144100</v>
      </c>
      <c r="O535" s="282" t="s">
        <v>23</v>
      </c>
      <c r="P535" s="20"/>
      <c r="Q535" s="10" t="s">
        <v>54</v>
      </c>
    </row>
    <row r="536" spans="1:17" s="364" customFormat="1" ht="15.6">
      <c r="A536" s="991">
        <v>44523</v>
      </c>
      <c r="B536" s="282" t="s">
        <v>23</v>
      </c>
      <c r="C536" s="283" t="s">
        <v>7981</v>
      </c>
      <c r="D536" s="29" t="s">
        <v>7982</v>
      </c>
      <c r="E536" s="984" t="s">
        <v>8204</v>
      </c>
      <c r="F536" s="987" t="s">
        <v>8205</v>
      </c>
      <c r="G536" s="319">
        <v>2</v>
      </c>
      <c r="H536" s="1002">
        <v>94000</v>
      </c>
      <c r="I536" s="86">
        <f t="shared" si="34"/>
        <v>188000</v>
      </c>
      <c r="J536" s="20">
        <f t="shared" si="32"/>
        <v>84600</v>
      </c>
      <c r="K536" s="171">
        <f t="shared" si="33"/>
        <v>103400</v>
      </c>
      <c r="N536" s="17">
        <f t="shared" si="31"/>
        <v>103400</v>
      </c>
      <c r="O536" s="282" t="s">
        <v>23</v>
      </c>
      <c r="P536" s="20"/>
      <c r="Q536" s="10" t="s">
        <v>54</v>
      </c>
    </row>
    <row r="537" spans="1:17" s="364" customFormat="1" ht="15.6">
      <c r="A537" s="991">
        <v>44523</v>
      </c>
      <c r="B537" s="282" t="s">
        <v>23</v>
      </c>
      <c r="C537" s="283" t="s">
        <v>7981</v>
      </c>
      <c r="D537" s="29" t="s">
        <v>7982</v>
      </c>
      <c r="E537" s="984" t="s">
        <v>8206</v>
      </c>
      <c r="F537" s="987" t="s">
        <v>8207</v>
      </c>
      <c r="G537" s="319">
        <v>2</v>
      </c>
      <c r="H537" s="1002">
        <v>78500</v>
      </c>
      <c r="I537" s="86">
        <f t="shared" si="34"/>
        <v>157000</v>
      </c>
      <c r="J537" s="20">
        <f t="shared" si="32"/>
        <v>70650</v>
      </c>
      <c r="K537" s="171">
        <f t="shared" si="33"/>
        <v>86350</v>
      </c>
      <c r="N537" s="17">
        <f t="shared" si="31"/>
        <v>86350</v>
      </c>
      <c r="O537" s="282" t="s">
        <v>23</v>
      </c>
      <c r="P537" s="20"/>
      <c r="Q537" s="10" t="s">
        <v>54</v>
      </c>
    </row>
    <row r="538" spans="1:17" s="364" customFormat="1" ht="15.6">
      <c r="A538" s="991">
        <v>44523</v>
      </c>
      <c r="B538" s="282" t="s">
        <v>23</v>
      </c>
      <c r="C538" s="283" t="s">
        <v>7981</v>
      </c>
      <c r="D538" s="29" t="s">
        <v>7982</v>
      </c>
      <c r="E538" s="984" t="s">
        <v>8208</v>
      </c>
      <c r="F538" s="987" t="s">
        <v>8209</v>
      </c>
      <c r="G538" s="319">
        <v>2</v>
      </c>
      <c r="H538" s="1005">
        <v>144500</v>
      </c>
      <c r="I538" s="86">
        <f t="shared" si="34"/>
        <v>289000</v>
      </c>
      <c r="J538" s="20">
        <f t="shared" si="32"/>
        <v>130050</v>
      </c>
      <c r="K538" s="171">
        <f t="shared" si="33"/>
        <v>158950</v>
      </c>
      <c r="N538" s="17">
        <f t="shared" si="31"/>
        <v>158950</v>
      </c>
      <c r="O538" s="282" t="s">
        <v>23</v>
      </c>
      <c r="P538" s="20"/>
      <c r="Q538" s="10" t="s">
        <v>54</v>
      </c>
    </row>
    <row r="539" spans="1:17" s="364" customFormat="1" ht="15.6">
      <c r="A539" s="991">
        <v>44523</v>
      </c>
      <c r="B539" s="282" t="s">
        <v>23</v>
      </c>
      <c r="C539" s="283" t="s">
        <v>7981</v>
      </c>
      <c r="D539" s="29" t="s">
        <v>7982</v>
      </c>
      <c r="E539" s="984" t="s">
        <v>4882</v>
      </c>
      <c r="F539" s="987" t="s">
        <v>4883</v>
      </c>
      <c r="G539" s="319">
        <v>2</v>
      </c>
      <c r="H539" s="1002">
        <v>89500</v>
      </c>
      <c r="I539" s="86">
        <f t="shared" si="34"/>
        <v>179000</v>
      </c>
      <c r="J539" s="20">
        <f t="shared" si="32"/>
        <v>80550</v>
      </c>
      <c r="K539" s="171">
        <f t="shared" si="33"/>
        <v>98450</v>
      </c>
      <c r="N539" s="17">
        <f t="shared" ref="N539:N602" si="35">K539+L539+M539</f>
        <v>98450</v>
      </c>
      <c r="O539" s="282" t="s">
        <v>23</v>
      </c>
      <c r="P539" s="20"/>
      <c r="Q539" s="10" t="s">
        <v>54</v>
      </c>
    </row>
    <row r="540" spans="1:17" s="364" customFormat="1" ht="15.6">
      <c r="A540" s="991">
        <v>44523</v>
      </c>
      <c r="B540" s="282" t="s">
        <v>23</v>
      </c>
      <c r="C540" s="283" t="s">
        <v>7981</v>
      </c>
      <c r="D540" s="29" t="s">
        <v>7982</v>
      </c>
      <c r="E540" s="984" t="s">
        <v>8210</v>
      </c>
      <c r="F540" s="987" t="s">
        <v>8211</v>
      </c>
      <c r="G540" s="319">
        <v>2</v>
      </c>
      <c r="H540" s="1006">
        <v>75000</v>
      </c>
      <c r="I540" s="86">
        <f t="shared" si="34"/>
        <v>150000</v>
      </c>
      <c r="J540" s="20">
        <f t="shared" si="32"/>
        <v>67500</v>
      </c>
      <c r="K540" s="171">
        <f t="shared" si="33"/>
        <v>82500</v>
      </c>
      <c r="N540" s="17">
        <f t="shared" si="35"/>
        <v>82500</v>
      </c>
      <c r="O540" s="282" t="s">
        <v>23</v>
      </c>
      <c r="P540" s="20"/>
      <c r="Q540" s="10" t="s">
        <v>54</v>
      </c>
    </row>
    <row r="541" spans="1:17" s="364" customFormat="1" ht="15.6">
      <c r="A541" s="991">
        <v>44523</v>
      </c>
      <c r="B541" s="282" t="s">
        <v>23</v>
      </c>
      <c r="C541" s="283" t="s">
        <v>7981</v>
      </c>
      <c r="D541" s="29" t="s">
        <v>7982</v>
      </c>
      <c r="E541" s="984" t="s">
        <v>5763</v>
      </c>
      <c r="F541" s="987" t="s">
        <v>5764</v>
      </c>
      <c r="G541" s="319">
        <v>2</v>
      </c>
      <c r="H541" s="1002">
        <v>108500</v>
      </c>
      <c r="I541" s="86">
        <f t="shared" si="34"/>
        <v>217000</v>
      </c>
      <c r="J541" s="20">
        <f t="shared" si="32"/>
        <v>97650</v>
      </c>
      <c r="K541" s="171">
        <f t="shared" si="33"/>
        <v>119350</v>
      </c>
      <c r="N541" s="17">
        <f t="shared" si="35"/>
        <v>119350</v>
      </c>
      <c r="O541" s="282" t="s">
        <v>23</v>
      </c>
      <c r="P541" s="20"/>
      <c r="Q541" s="10" t="s">
        <v>54</v>
      </c>
    </row>
    <row r="542" spans="1:17" s="364" customFormat="1" ht="15.6">
      <c r="A542" s="991">
        <v>44523</v>
      </c>
      <c r="B542" s="282" t="s">
        <v>23</v>
      </c>
      <c r="C542" s="283" t="s">
        <v>7981</v>
      </c>
      <c r="D542" s="29" t="s">
        <v>7982</v>
      </c>
      <c r="E542" s="984" t="s">
        <v>8212</v>
      </c>
      <c r="F542" s="987" t="s">
        <v>8213</v>
      </c>
      <c r="G542" s="319">
        <v>2</v>
      </c>
      <c r="H542" s="1002">
        <v>72000</v>
      </c>
      <c r="I542" s="86">
        <f t="shared" si="34"/>
        <v>144000</v>
      </c>
      <c r="J542" s="20">
        <f t="shared" si="32"/>
        <v>64800</v>
      </c>
      <c r="K542" s="171">
        <f t="shared" si="33"/>
        <v>79200</v>
      </c>
      <c r="N542" s="17">
        <f t="shared" si="35"/>
        <v>79200</v>
      </c>
      <c r="O542" s="282" t="s">
        <v>23</v>
      </c>
      <c r="P542" s="20"/>
      <c r="Q542" s="10" t="s">
        <v>54</v>
      </c>
    </row>
    <row r="543" spans="1:17" s="364" customFormat="1" ht="15.6">
      <c r="A543" s="991">
        <v>44523</v>
      </c>
      <c r="B543" s="282" t="s">
        <v>23</v>
      </c>
      <c r="C543" s="283" t="s">
        <v>7981</v>
      </c>
      <c r="D543" s="29" t="s">
        <v>7982</v>
      </c>
      <c r="E543" s="984" t="s">
        <v>8214</v>
      </c>
      <c r="F543" s="987" t="s">
        <v>8215</v>
      </c>
      <c r="G543" s="319">
        <v>2</v>
      </c>
      <c r="H543" s="1005">
        <v>70000</v>
      </c>
      <c r="I543" s="86">
        <f t="shared" si="34"/>
        <v>140000</v>
      </c>
      <c r="J543" s="20">
        <f t="shared" si="32"/>
        <v>63000</v>
      </c>
      <c r="K543" s="171">
        <f t="shared" si="33"/>
        <v>77000</v>
      </c>
      <c r="N543" s="17">
        <f t="shared" si="35"/>
        <v>77000</v>
      </c>
      <c r="O543" s="282" t="s">
        <v>23</v>
      </c>
      <c r="P543" s="20"/>
      <c r="Q543" s="10" t="s">
        <v>54</v>
      </c>
    </row>
    <row r="544" spans="1:17" s="364" customFormat="1" ht="15.6">
      <c r="A544" s="991">
        <v>44523</v>
      </c>
      <c r="B544" s="282" t="s">
        <v>23</v>
      </c>
      <c r="C544" s="283" t="s">
        <v>7981</v>
      </c>
      <c r="D544" s="29" t="s">
        <v>7982</v>
      </c>
      <c r="E544" s="984" t="s">
        <v>4275</v>
      </c>
      <c r="F544" s="987" t="s">
        <v>4276</v>
      </c>
      <c r="G544" s="319">
        <v>2</v>
      </c>
      <c r="H544" s="1002">
        <v>88000</v>
      </c>
      <c r="I544" s="86">
        <f t="shared" si="34"/>
        <v>176000</v>
      </c>
      <c r="J544" s="20">
        <f t="shared" si="32"/>
        <v>79200</v>
      </c>
      <c r="K544" s="171">
        <f t="shared" si="33"/>
        <v>96800</v>
      </c>
      <c r="N544" s="17">
        <f t="shared" si="35"/>
        <v>96800</v>
      </c>
      <c r="O544" s="282" t="s">
        <v>23</v>
      </c>
      <c r="P544" s="20"/>
      <c r="Q544" s="10" t="s">
        <v>54</v>
      </c>
    </row>
    <row r="545" spans="1:17" s="364" customFormat="1" ht="15.6">
      <c r="A545" s="991">
        <v>44523</v>
      </c>
      <c r="B545" s="282" t="s">
        <v>23</v>
      </c>
      <c r="C545" s="283" t="s">
        <v>7981</v>
      </c>
      <c r="D545" s="29" t="s">
        <v>7982</v>
      </c>
      <c r="E545" s="984" t="s">
        <v>8216</v>
      </c>
      <c r="F545" s="984" t="s">
        <v>8169</v>
      </c>
      <c r="G545" s="319">
        <v>2</v>
      </c>
      <c r="H545" s="1002">
        <v>70500</v>
      </c>
      <c r="I545" s="86">
        <f t="shared" si="34"/>
        <v>141000</v>
      </c>
      <c r="J545" s="20">
        <f t="shared" si="32"/>
        <v>63450</v>
      </c>
      <c r="K545" s="171">
        <f t="shared" si="33"/>
        <v>77550</v>
      </c>
      <c r="N545" s="17">
        <f t="shared" si="35"/>
        <v>77550</v>
      </c>
      <c r="O545" s="282" t="s">
        <v>23</v>
      </c>
      <c r="P545" s="20"/>
      <c r="Q545" s="10" t="s">
        <v>54</v>
      </c>
    </row>
    <row r="546" spans="1:17" s="364" customFormat="1" ht="15.6">
      <c r="A546" s="991">
        <v>44523</v>
      </c>
      <c r="B546" s="282" t="s">
        <v>23</v>
      </c>
      <c r="C546" s="283" t="s">
        <v>7981</v>
      </c>
      <c r="D546" s="29" t="s">
        <v>7982</v>
      </c>
      <c r="E546" s="984" t="s">
        <v>2169</v>
      </c>
      <c r="F546" s="984" t="s">
        <v>128</v>
      </c>
      <c r="G546" s="319">
        <v>2</v>
      </c>
      <c r="H546" s="1005">
        <v>77500</v>
      </c>
      <c r="I546" s="86">
        <f t="shared" si="34"/>
        <v>155000</v>
      </c>
      <c r="J546" s="20">
        <f t="shared" si="32"/>
        <v>69750</v>
      </c>
      <c r="K546" s="171">
        <f t="shared" si="33"/>
        <v>85250</v>
      </c>
      <c r="N546" s="17">
        <f t="shared" si="35"/>
        <v>85250</v>
      </c>
      <c r="O546" s="282" t="s">
        <v>23</v>
      </c>
      <c r="P546" s="20"/>
      <c r="Q546" s="10" t="s">
        <v>54</v>
      </c>
    </row>
    <row r="547" spans="1:17" s="364" customFormat="1" ht="15.6">
      <c r="A547" s="991">
        <v>44523</v>
      </c>
      <c r="B547" s="282" t="s">
        <v>23</v>
      </c>
      <c r="C547" s="283" t="s">
        <v>7981</v>
      </c>
      <c r="D547" s="29" t="s">
        <v>7982</v>
      </c>
      <c r="E547" s="984" t="s">
        <v>8217</v>
      </c>
      <c r="F547" s="987" t="s">
        <v>8218</v>
      </c>
      <c r="G547" s="319">
        <v>2</v>
      </c>
      <c r="H547" s="1004">
        <v>83000</v>
      </c>
      <c r="I547" s="86">
        <f t="shared" si="34"/>
        <v>166000</v>
      </c>
      <c r="J547" s="20">
        <f t="shared" si="32"/>
        <v>74700</v>
      </c>
      <c r="K547" s="171">
        <f t="shared" si="33"/>
        <v>91300</v>
      </c>
      <c r="N547" s="17">
        <f t="shared" si="35"/>
        <v>91300</v>
      </c>
      <c r="O547" s="282" t="s">
        <v>23</v>
      </c>
      <c r="P547" s="20"/>
      <c r="Q547" s="10" t="s">
        <v>54</v>
      </c>
    </row>
    <row r="548" spans="1:17" s="364" customFormat="1" ht="15.6">
      <c r="A548" s="991">
        <v>44523</v>
      </c>
      <c r="B548" s="282" t="s">
        <v>23</v>
      </c>
      <c r="C548" s="283" t="s">
        <v>7981</v>
      </c>
      <c r="D548" s="29" t="s">
        <v>7982</v>
      </c>
      <c r="E548" s="984" t="s">
        <v>8219</v>
      </c>
      <c r="F548" s="987" t="s">
        <v>8220</v>
      </c>
      <c r="G548" s="319">
        <v>2</v>
      </c>
      <c r="H548" s="1002">
        <v>84000</v>
      </c>
      <c r="I548" s="86">
        <f t="shared" si="34"/>
        <v>168000</v>
      </c>
      <c r="J548" s="20">
        <f t="shared" si="32"/>
        <v>75600</v>
      </c>
      <c r="K548" s="171">
        <f t="shared" si="33"/>
        <v>92400</v>
      </c>
      <c r="N548" s="17">
        <f t="shared" si="35"/>
        <v>92400</v>
      </c>
      <c r="O548" s="282" t="s">
        <v>23</v>
      </c>
      <c r="P548" s="20"/>
      <c r="Q548" s="10" t="s">
        <v>54</v>
      </c>
    </row>
    <row r="549" spans="1:17" s="364" customFormat="1" ht="15.6">
      <c r="A549" s="991">
        <v>44523</v>
      </c>
      <c r="B549" s="282" t="s">
        <v>23</v>
      </c>
      <c r="C549" s="283" t="s">
        <v>7981</v>
      </c>
      <c r="D549" s="29" t="s">
        <v>7982</v>
      </c>
      <c r="E549" s="984" t="s">
        <v>5723</v>
      </c>
      <c r="F549" s="987" t="s">
        <v>5724</v>
      </c>
      <c r="G549" s="319">
        <v>2</v>
      </c>
      <c r="H549" s="1005">
        <v>89000</v>
      </c>
      <c r="I549" s="86">
        <f t="shared" si="34"/>
        <v>178000</v>
      </c>
      <c r="J549" s="20">
        <f t="shared" si="32"/>
        <v>80100</v>
      </c>
      <c r="K549" s="171">
        <f t="shared" si="33"/>
        <v>97900</v>
      </c>
      <c r="N549" s="17">
        <f t="shared" si="35"/>
        <v>97900</v>
      </c>
      <c r="O549" s="282" t="s">
        <v>23</v>
      </c>
      <c r="P549" s="20"/>
      <c r="Q549" s="10" t="s">
        <v>54</v>
      </c>
    </row>
    <row r="550" spans="1:17" s="364" customFormat="1" ht="15.6">
      <c r="A550" s="991">
        <v>44523</v>
      </c>
      <c r="B550" s="282" t="s">
        <v>23</v>
      </c>
      <c r="C550" s="283" t="s">
        <v>7981</v>
      </c>
      <c r="D550" s="29" t="s">
        <v>7982</v>
      </c>
      <c r="E550" s="984" t="s">
        <v>8221</v>
      </c>
      <c r="F550" s="987" t="s">
        <v>8222</v>
      </c>
      <c r="G550" s="319">
        <v>2</v>
      </c>
      <c r="H550" s="1005">
        <v>171000</v>
      </c>
      <c r="I550" s="86">
        <f t="shared" si="34"/>
        <v>342000</v>
      </c>
      <c r="J550" s="20">
        <f t="shared" si="32"/>
        <v>153900</v>
      </c>
      <c r="K550" s="171">
        <f t="shared" si="33"/>
        <v>188100</v>
      </c>
      <c r="N550" s="17">
        <f t="shared" si="35"/>
        <v>188100</v>
      </c>
      <c r="O550" s="282" t="s">
        <v>23</v>
      </c>
      <c r="P550" s="20"/>
      <c r="Q550" s="10" t="s">
        <v>54</v>
      </c>
    </row>
    <row r="551" spans="1:17" s="364" customFormat="1" ht="15.6">
      <c r="A551" s="991">
        <v>44523</v>
      </c>
      <c r="B551" s="282" t="s">
        <v>23</v>
      </c>
      <c r="C551" s="283" t="s">
        <v>7981</v>
      </c>
      <c r="D551" s="29" t="s">
        <v>7982</v>
      </c>
      <c r="E551" s="984" t="s">
        <v>3287</v>
      </c>
      <c r="F551" s="984" t="s">
        <v>3288</v>
      </c>
      <c r="G551" s="319">
        <v>2</v>
      </c>
      <c r="H551" s="1005">
        <v>89000</v>
      </c>
      <c r="I551" s="86">
        <f t="shared" si="34"/>
        <v>178000</v>
      </c>
      <c r="J551" s="20">
        <f t="shared" si="32"/>
        <v>80100</v>
      </c>
      <c r="K551" s="171">
        <f t="shared" si="33"/>
        <v>97900</v>
      </c>
      <c r="N551" s="17">
        <f t="shared" si="35"/>
        <v>97900</v>
      </c>
      <c r="O551" s="282" t="s">
        <v>23</v>
      </c>
      <c r="P551" s="20"/>
      <c r="Q551" s="10" t="s">
        <v>54</v>
      </c>
    </row>
    <row r="552" spans="1:17" s="364" customFormat="1">
      <c r="A552" s="991">
        <v>44523</v>
      </c>
      <c r="B552" s="282" t="s">
        <v>23</v>
      </c>
      <c r="C552" s="283" t="s">
        <v>7981</v>
      </c>
      <c r="D552" s="29" t="s">
        <v>7982</v>
      </c>
      <c r="E552" s="984" t="s">
        <v>8223</v>
      </c>
      <c r="F552" s="987" t="s">
        <v>8224</v>
      </c>
      <c r="G552" s="319">
        <v>2</v>
      </c>
      <c r="H552" s="998">
        <v>73000</v>
      </c>
      <c r="I552" s="86">
        <f t="shared" si="34"/>
        <v>146000</v>
      </c>
      <c r="J552" s="20">
        <f t="shared" si="32"/>
        <v>65700</v>
      </c>
      <c r="K552" s="171">
        <f t="shared" si="33"/>
        <v>80300</v>
      </c>
      <c r="N552" s="17">
        <f t="shared" si="35"/>
        <v>80300</v>
      </c>
      <c r="O552" s="282" t="s">
        <v>23</v>
      </c>
      <c r="P552" s="20"/>
      <c r="Q552" s="10" t="s">
        <v>54</v>
      </c>
    </row>
    <row r="553" spans="1:17" s="364" customFormat="1">
      <c r="A553" s="991">
        <v>44523</v>
      </c>
      <c r="B553" s="282" t="s">
        <v>23</v>
      </c>
      <c r="C553" s="283" t="s">
        <v>7981</v>
      </c>
      <c r="D553" s="29" t="s">
        <v>7982</v>
      </c>
      <c r="E553" s="984" t="s">
        <v>6151</v>
      </c>
      <c r="F553" s="987" t="s">
        <v>8225</v>
      </c>
      <c r="G553" s="319">
        <v>2</v>
      </c>
      <c r="H553" s="998">
        <v>70000</v>
      </c>
      <c r="I553" s="86">
        <f t="shared" si="34"/>
        <v>140000</v>
      </c>
      <c r="J553" s="20">
        <f t="shared" ref="J553:J616" si="36">I553*45%</f>
        <v>63000</v>
      </c>
      <c r="K553" s="171">
        <f t="shared" si="33"/>
        <v>77000</v>
      </c>
      <c r="N553" s="17">
        <f t="shared" si="35"/>
        <v>77000</v>
      </c>
      <c r="O553" s="282" t="s">
        <v>23</v>
      </c>
      <c r="P553" s="20"/>
      <c r="Q553" s="10" t="s">
        <v>54</v>
      </c>
    </row>
    <row r="554" spans="1:17" s="364" customFormat="1">
      <c r="A554" s="991">
        <v>44523</v>
      </c>
      <c r="B554" s="282" t="s">
        <v>23</v>
      </c>
      <c r="C554" s="283" t="s">
        <v>7981</v>
      </c>
      <c r="D554" s="29" t="s">
        <v>7982</v>
      </c>
      <c r="E554" s="984" t="s">
        <v>7812</v>
      </c>
      <c r="F554" s="984" t="s">
        <v>7813</v>
      </c>
      <c r="G554" s="319">
        <v>2</v>
      </c>
      <c r="H554" s="998">
        <v>107000</v>
      </c>
      <c r="I554" s="86">
        <f t="shared" si="34"/>
        <v>214000</v>
      </c>
      <c r="J554" s="20">
        <f t="shared" si="36"/>
        <v>96300</v>
      </c>
      <c r="K554" s="171">
        <f t="shared" si="33"/>
        <v>117700</v>
      </c>
      <c r="N554" s="17">
        <f t="shared" si="35"/>
        <v>117700</v>
      </c>
      <c r="O554" s="282" t="s">
        <v>23</v>
      </c>
      <c r="P554" s="20"/>
      <c r="Q554" s="10" t="s">
        <v>54</v>
      </c>
    </row>
    <row r="555" spans="1:17" s="364" customFormat="1">
      <c r="A555" s="991">
        <v>44523</v>
      </c>
      <c r="B555" s="282" t="s">
        <v>23</v>
      </c>
      <c r="C555" s="283" t="s">
        <v>7981</v>
      </c>
      <c r="D555" s="29" t="s">
        <v>7982</v>
      </c>
      <c r="E555" s="984" t="s">
        <v>5806</v>
      </c>
      <c r="F555" s="984" t="s">
        <v>5807</v>
      </c>
      <c r="G555" s="319">
        <v>2</v>
      </c>
      <c r="H555" s="998">
        <v>95000</v>
      </c>
      <c r="I555" s="86">
        <f t="shared" si="34"/>
        <v>190000</v>
      </c>
      <c r="J555" s="20">
        <f t="shared" si="36"/>
        <v>85500</v>
      </c>
      <c r="K555" s="171">
        <f t="shared" si="33"/>
        <v>104500</v>
      </c>
      <c r="N555" s="17">
        <f t="shared" si="35"/>
        <v>104500</v>
      </c>
      <c r="O555" s="282" t="s">
        <v>23</v>
      </c>
      <c r="P555" s="20"/>
      <c r="Q555" s="10" t="s">
        <v>54</v>
      </c>
    </row>
    <row r="556" spans="1:17" s="364" customFormat="1">
      <c r="A556" s="991">
        <v>44523</v>
      </c>
      <c r="B556" s="282" t="s">
        <v>23</v>
      </c>
      <c r="C556" s="283" t="s">
        <v>7981</v>
      </c>
      <c r="D556" s="29" t="s">
        <v>7982</v>
      </c>
      <c r="E556" s="984" t="s">
        <v>6151</v>
      </c>
      <c r="F556" s="987" t="s">
        <v>8225</v>
      </c>
      <c r="G556" s="319">
        <v>2</v>
      </c>
      <c r="H556" s="998">
        <v>70000</v>
      </c>
      <c r="I556" s="86">
        <f t="shared" si="34"/>
        <v>140000</v>
      </c>
      <c r="J556" s="20">
        <f t="shared" si="36"/>
        <v>63000</v>
      </c>
      <c r="K556" s="171">
        <f t="shared" si="33"/>
        <v>77000</v>
      </c>
      <c r="N556" s="17">
        <f t="shared" si="35"/>
        <v>77000</v>
      </c>
      <c r="O556" s="282" t="s">
        <v>23</v>
      </c>
      <c r="P556" s="20"/>
      <c r="Q556" s="10" t="s">
        <v>54</v>
      </c>
    </row>
    <row r="557" spans="1:17" s="364" customFormat="1">
      <c r="A557" s="991">
        <v>44523</v>
      </c>
      <c r="B557" s="282" t="s">
        <v>23</v>
      </c>
      <c r="C557" s="283" t="s">
        <v>7981</v>
      </c>
      <c r="D557" s="29" t="s">
        <v>7982</v>
      </c>
      <c r="E557" s="984" t="s">
        <v>7812</v>
      </c>
      <c r="F557" s="984" t="s">
        <v>7813</v>
      </c>
      <c r="G557" s="319">
        <v>2</v>
      </c>
      <c r="H557" s="998">
        <v>107000</v>
      </c>
      <c r="I557" s="86">
        <f t="shared" si="34"/>
        <v>214000</v>
      </c>
      <c r="J557" s="20">
        <f t="shared" si="36"/>
        <v>96300</v>
      </c>
      <c r="K557" s="171">
        <f t="shared" si="33"/>
        <v>117700</v>
      </c>
      <c r="N557" s="17">
        <f t="shared" si="35"/>
        <v>117700</v>
      </c>
      <c r="O557" s="282" t="s">
        <v>23</v>
      </c>
      <c r="P557" s="20"/>
      <c r="Q557" s="10" t="s">
        <v>54</v>
      </c>
    </row>
    <row r="558" spans="1:17" s="364" customFormat="1" ht="15.6">
      <c r="A558" s="991">
        <v>44523</v>
      </c>
      <c r="B558" s="282" t="s">
        <v>23</v>
      </c>
      <c r="C558" s="283" t="s">
        <v>7981</v>
      </c>
      <c r="D558" s="29" t="s">
        <v>7982</v>
      </c>
      <c r="E558" s="984" t="s">
        <v>8226</v>
      </c>
      <c r="F558" s="987" t="s">
        <v>8227</v>
      </c>
      <c r="G558" s="319">
        <v>2</v>
      </c>
      <c r="H558" s="1010">
        <v>98000</v>
      </c>
      <c r="I558" s="86">
        <f t="shared" si="34"/>
        <v>196000</v>
      </c>
      <c r="J558" s="20">
        <f t="shared" si="36"/>
        <v>88200</v>
      </c>
      <c r="K558" s="171">
        <f t="shared" si="33"/>
        <v>107800</v>
      </c>
      <c r="N558" s="17">
        <f t="shared" si="35"/>
        <v>107800</v>
      </c>
      <c r="O558" s="282" t="s">
        <v>23</v>
      </c>
      <c r="P558" s="20"/>
      <c r="Q558" s="10" t="s">
        <v>54</v>
      </c>
    </row>
    <row r="559" spans="1:17" s="364" customFormat="1" ht="15.6">
      <c r="A559" s="991">
        <v>44523</v>
      </c>
      <c r="B559" s="282" t="s">
        <v>23</v>
      </c>
      <c r="C559" s="283" t="s">
        <v>7981</v>
      </c>
      <c r="D559" s="29" t="s">
        <v>7982</v>
      </c>
      <c r="E559" s="984" t="s">
        <v>2448</v>
      </c>
      <c r="F559" s="987" t="s">
        <v>2449</v>
      </c>
      <c r="G559" s="319">
        <v>2</v>
      </c>
      <c r="H559" s="996">
        <v>67000</v>
      </c>
      <c r="I559" s="86">
        <f t="shared" si="34"/>
        <v>134000</v>
      </c>
      <c r="J559" s="20">
        <f t="shared" si="36"/>
        <v>60300</v>
      </c>
      <c r="K559" s="171">
        <f t="shared" si="33"/>
        <v>73700</v>
      </c>
      <c r="N559" s="17">
        <f t="shared" si="35"/>
        <v>73700</v>
      </c>
      <c r="O559" s="282" t="s">
        <v>23</v>
      </c>
      <c r="P559" s="20"/>
      <c r="Q559" s="10" t="s">
        <v>54</v>
      </c>
    </row>
    <row r="560" spans="1:17" s="364" customFormat="1" ht="15.6">
      <c r="A560" s="991">
        <v>44523</v>
      </c>
      <c r="B560" s="282" t="s">
        <v>23</v>
      </c>
      <c r="C560" s="283" t="s">
        <v>7981</v>
      </c>
      <c r="D560" s="29" t="s">
        <v>7982</v>
      </c>
      <c r="E560" s="984" t="s">
        <v>6465</v>
      </c>
      <c r="F560" s="987" t="s">
        <v>6466</v>
      </c>
      <c r="G560" s="319">
        <v>2</v>
      </c>
      <c r="H560" s="997">
        <v>63000</v>
      </c>
      <c r="I560" s="86">
        <f t="shared" si="34"/>
        <v>126000</v>
      </c>
      <c r="J560" s="20">
        <f t="shared" si="36"/>
        <v>56700</v>
      </c>
      <c r="K560" s="171">
        <f t="shared" si="33"/>
        <v>69300</v>
      </c>
      <c r="N560" s="17">
        <f t="shared" si="35"/>
        <v>69300</v>
      </c>
      <c r="O560" s="282" t="s">
        <v>23</v>
      </c>
      <c r="P560" s="20"/>
      <c r="Q560" s="10" t="s">
        <v>54</v>
      </c>
    </row>
    <row r="561" spans="1:17" s="364" customFormat="1" ht="15.6">
      <c r="A561" s="991">
        <v>44523</v>
      </c>
      <c r="B561" s="282" t="s">
        <v>23</v>
      </c>
      <c r="C561" s="283" t="s">
        <v>7981</v>
      </c>
      <c r="D561" s="29" t="s">
        <v>7982</v>
      </c>
      <c r="E561" s="984" t="s">
        <v>6465</v>
      </c>
      <c r="F561" s="987" t="s">
        <v>6466</v>
      </c>
      <c r="G561" s="319">
        <v>2</v>
      </c>
      <c r="H561" s="997">
        <v>63000</v>
      </c>
      <c r="I561" s="86">
        <f t="shared" si="34"/>
        <v>126000</v>
      </c>
      <c r="J561" s="20">
        <f t="shared" si="36"/>
        <v>56700</v>
      </c>
      <c r="K561" s="171">
        <f t="shared" si="33"/>
        <v>69300</v>
      </c>
      <c r="N561" s="17">
        <f t="shared" si="35"/>
        <v>69300</v>
      </c>
      <c r="O561" s="282" t="s">
        <v>23</v>
      </c>
      <c r="P561" s="20"/>
      <c r="Q561" s="10" t="s">
        <v>54</v>
      </c>
    </row>
    <row r="562" spans="1:17" s="364" customFormat="1">
      <c r="A562" s="991">
        <v>44523</v>
      </c>
      <c r="B562" s="282" t="s">
        <v>23</v>
      </c>
      <c r="C562" s="283" t="s">
        <v>7981</v>
      </c>
      <c r="D562" s="29" t="s">
        <v>7982</v>
      </c>
      <c r="E562" s="984" t="s">
        <v>5754</v>
      </c>
      <c r="F562" s="987" t="s">
        <v>1981</v>
      </c>
      <c r="G562" s="319">
        <v>2</v>
      </c>
      <c r="H562" s="998">
        <v>231000</v>
      </c>
      <c r="I562" s="86">
        <f t="shared" si="34"/>
        <v>462000</v>
      </c>
      <c r="J562" s="20">
        <f t="shared" si="36"/>
        <v>207900</v>
      </c>
      <c r="K562" s="171">
        <f t="shared" si="33"/>
        <v>254100</v>
      </c>
      <c r="N562" s="17">
        <f t="shared" si="35"/>
        <v>254100</v>
      </c>
      <c r="O562" s="282" t="s">
        <v>23</v>
      </c>
      <c r="P562" s="20"/>
      <c r="Q562" s="10" t="s">
        <v>54</v>
      </c>
    </row>
    <row r="563" spans="1:17" s="364" customFormat="1">
      <c r="A563" s="991">
        <v>44523</v>
      </c>
      <c r="B563" s="282" t="s">
        <v>23</v>
      </c>
      <c r="C563" s="283" t="s">
        <v>7981</v>
      </c>
      <c r="D563" s="29" t="s">
        <v>7982</v>
      </c>
      <c r="E563" s="984" t="s">
        <v>8228</v>
      </c>
      <c r="F563" s="987" t="s">
        <v>8229</v>
      </c>
      <c r="G563" s="319">
        <v>2</v>
      </c>
      <c r="H563" s="998">
        <v>31000</v>
      </c>
      <c r="I563" s="86">
        <f t="shared" si="34"/>
        <v>62000</v>
      </c>
      <c r="J563" s="20">
        <f t="shared" si="36"/>
        <v>27900</v>
      </c>
      <c r="K563" s="171">
        <f t="shared" si="33"/>
        <v>34100</v>
      </c>
      <c r="N563" s="17">
        <f t="shared" si="35"/>
        <v>34100</v>
      </c>
      <c r="O563" s="282" t="s">
        <v>23</v>
      </c>
      <c r="P563" s="20"/>
      <c r="Q563" s="10" t="s">
        <v>54</v>
      </c>
    </row>
    <row r="564" spans="1:17" s="364" customFormat="1">
      <c r="A564" s="991">
        <v>44523</v>
      </c>
      <c r="B564" s="282" t="s">
        <v>23</v>
      </c>
      <c r="C564" s="283" t="s">
        <v>7981</v>
      </c>
      <c r="D564" s="29" t="s">
        <v>7982</v>
      </c>
      <c r="E564" s="984" t="s">
        <v>3694</v>
      </c>
      <c r="F564" s="987" t="s">
        <v>1227</v>
      </c>
      <c r="G564" s="319">
        <v>2</v>
      </c>
      <c r="H564" s="998">
        <v>79000</v>
      </c>
      <c r="I564" s="86">
        <f t="shared" si="34"/>
        <v>158000</v>
      </c>
      <c r="J564" s="20">
        <f t="shared" si="36"/>
        <v>71100</v>
      </c>
      <c r="K564" s="171">
        <f t="shared" si="33"/>
        <v>86900</v>
      </c>
      <c r="N564" s="17">
        <f t="shared" si="35"/>
        <v>86900</v>
      </c>
      <c r="O564" s="282" t="s">
        <v>23</v>
      </c>
      <c r="P564" s="20"/>
      <c r="Q564" s="10" t="s">
        <v>54</v>
      </c>
    </row>
    <row r="565" spans="1:17" s="364" customFormat="1">
      <c r="A565" s="991">
        <v>44523</v>
      </c>
      <c r="B565" s="282" t="s">
        <v>23</v>
      </c>
      <c r="C565" s="283" t="s">
        <v>7981</v>
      </c>
      <c r="D565" s="29" t="s">
        <v>7982</v>
      </c>
      <c r="E565" s="984" t="s">
        <v>4655</v>
      </c>
      <c r="F565" s="984" t="s">
        <v>4656</v>
      </c>
      <c r="G565" s="319">
        <v>2</v>
      </c>
      <c r="H565" s="998">
        <v>200000</v>
      </c>
      <c r="I565" s="86">
        <f t="shared" si="34"/>
        <v>400000</v>
      </c>
      <c r="J565" s="20">
        <f t="shared" si="36"/>
        <v>180000</v>
      </c>
      <c r="K565" s="171">
        <f t="shared" si="33"/>
        <v>220000</v>
      </c>
      <c r="N565" s="17">
        <f t="shared" si="35"/>
        <v>220000</v>
      </c>
      <c r="O565" s="282" t="s">
        <v>23</v>
      </c>
      <c r="P565" s="20"/>
      <c r="Q565" s="10" t="s">
        <v>54</v>
      </c>
    </row>
    <row r="566" spans="1:17" s="364" customFormat="1">
      <c r="A566" s="991">
        <v>44523</v>
      </c>
      <c r="B566" s="282" t="s">
        <v>23</v>
      </c>
      <c r="C566" s="283" t="s">
        <v>7981</v>
      </c>
      <c r="D566" s="29" t="s">
        <v>7982</v>
      </c>
      <c r="E566" s="984" t="s">
        <v>3348</v>
      </c>
      <c r="F566" s="987" t="s">
        <v>3349</v>
      </c>
      <c r="G566" s="319">
        <v>2</v>
      </c>
      <c r="H566" s="998">
        <v>88000</v>
      </c>
      <c r="I566" s="86">
        <f t="shared" si="34"/>
        <v>176000</v>
      </c>
      <c r="J566" s="20">
        <f t="shared" si="36"/>
        <v>79200</v>
      </c>
      <c r="K566" s="171">
        <f t="shared" si="33"/>
        <v>96800</v>
      </c>
      <c r="N566" s="17">
        <f t="shared" si="35"/>
        <v>96800</v>
      </c>
      <c r="O566" s="282" t="s">
        <v>23</v>
      </c>
      <c r="P566" s="20"/>
      <c r="Q566" s="10" t="s">
        <v>54</v>
      </c>
    </row>
    <row r="567" spans="1:17" s="364" customFormat="1">
      <c r="A567" s="991">
        <v>44523</v>
      </c>
      <c r="B567" s="282" t="s">
        <v>23</v>
      </c>
      <c r="C567" s="283" t="s">
        <v>7981</v>
      </c>
      <c r="D567" s="29" t="s">
        <v>7982</v>
      </c>
      <c r="E567" s="984" t="s">
        <v>5319</v>
      </c>
      <c r="F567" s="987" t="s">
        <v>5320</v>
      </c>
      <c r="G567" s="319">
        <v>2</v>
      </c>
      <c r="H567" s="998">
        <v>117000</v>
      </c>
      <c r="I567" s="86">
        <f t="shared" si="34"/>
        <v>234000</v>
      </c>
      <c r="J567" s="20">
        <f t="shared" si="36"/>
        <v>105300</v>
      </c>
      <c r="K567" s="171">
        <f t="shared" si="33"/>
        <v>128700</v>
      </c>
      <c r="N567" s="17">
        <f t="shared" si="35"/>
        <v>128700</v>
      </c>
      <c r="O567" s="282" t="s">
        <v>23</v>
      </c>
      <c r="P567" s="20"/>
      <c r="Q567" s="10" t="s">
        <v>54</v>
      </c>
    </row>
    <row r="568" spans="1:17" s="364" customFormat="1">
      <c r="A568" s="991">
        <v>44523</v>
      </c>
      <c r="B568" s="282" t="s">
        <v>23</v>
      </c>
      <c r="C568" s="283" t="s">
        <v>7981</v>
      </c>
      <c r="D568" s="29" t="s">
        <v>7982</v>
      </c>
      <c r="E568" s="984" t="s">
        <v>3889</v>
      </c>
      <c r="F568" s="987" t="s">
        <v>3890</v>
      </c>
      <c r="G568" s="319">
        <v>2</v>
      </c>
      <c r="H568" s="998">
        <v>87000</v>
      </c>
      <c r="I568" s="86">
        <f t="shared" si="34"/>
        <v>174000</v>
      </c>
      <c r="J568" s="20">
        <f t="shared" si="36"/>
        <v>78300</v>
      </c>
      <c r="K568" s="171">
        <f t="shared" si="33"/>
        <v>95700</v>
      </c>
      <c r="N568" s="17">
        <f t="shared" si="35"/>
        <v>95700</v>
      </c>
      <c r="O568" s="282" t="s">
        <v>23</v>
      </c>
      <c r="P568" s="20"/>
      <c r="Q568" s="10" t="s">
        <v>54</v>
      </c>
    </row>
    <row r="569" spans="1:17" s="364" customFormat="1">
      <c r="A569" s="991">
        <v>44523</v>
      </c>
      <c r="B569" s="282" t="s">
        <v>23</v>
      </c>
      <c r="C569" s="283" t="s">
        <v>7981</v>
      </c>
      <c r="D569" s="29" t="s">
        <v>7982</v>
      </c>
      <c r="E569" s="984" t="s">
        <v>8230</v>
      </c>
      <c r="F569" s="987" t="s">
        <v>8231</v>
      </c>
      <c r="G569" s="319">
        <v>2</v>
      </c>
      <c r="H569" s="998">
        <v>253000</v>
      </c>
      <c r="I569" s="86">
        <f t="shared" si="34"/>
        <v>506000</v>
      </c>
      <c r="J569" s="20">
        <f t="shared" si="36"/>
        <v>227700</v>
      </c>
      <c r="K569" s="171">
        <f t="shared" si="33"/>
        <v>278300</v>
      </c>
      <c r="N569" s="17">
        <f t="shared" si="35"/>
        <v>278300</v>
      </c>
      <c r="O569" s="282" t="s">
        <v>23</v>
      </c>
      <c r="P569" s="20"/>
      <c r="Q569" s="10" t="s">
        <v>54</v>
      </c>
    </row>
    <row r="570" spans="1:17" s="364" customFormat="1">
      <c r="A570" s="991">
        <v>44523</v>
      </c>
      <c r="B570" s="282" t="s">
        <v>23</v>
      </c>
      <c r="C570" s="283" t="s">
        <v>7981</v>
      </c>
      <c r="D570" s="29" t="s">
        <v>7982</v>
      </c>
      <c r="E570" s="984" t="s">
        <v>6534</v>
      </c>
      <c r="F570" s="984" t="s">
        <v>4045</v>
      </c>
      <c r="G570" s="319">
        <v>2</v>
      </c>
      <c r="H570" s="998">
        <v>149000</v>
      </c>
      <c r="I570" s="86">
        <f t="shared" si="34"/>
        <v>298000</v>
      </c>
      <c r="J570" s="20">
        <f t="shared" si="36"/>
        <v>134100</v>
      </c>
      <c r="K570" s="171">
        <f t="shared" si="33"/>
        <v>163900</v>
      </c>
      <c r="N570" s="17">
        <f t="shared" si="35"/>
        <v>163900</v>
      </c>
      <c r="O570" s="282" t="s">
        <v>23</v>
      </c>
      <c r="P570" s="20"/>
      <c r="Q570" s="10" t="s">
        <v>54</v>
      </c>
    </row>
    <row r="571" spans="1:17" s="364" customFormat="1">
      <c r="A571" s="991">
        <v>44523</v>
      </c>
      <c r="B571" s="282" t="s">
        <v>23</v>
      </c>
      <c r="C571" s="283" t="s">
        <v>7981</v>
      </c>
      <c r="D571" s="29" t="s">
        <v>7982</v>
      </c>
      <c r="E571" s="984" t="s">
        <v>5343</v>
      </c>
      <c r="F571" s="984" t="s">
        <v>5344</v>
      </c>
      <c r="G571" s="319">
        <v>2</v>
      </c>
      <c r="H571" s="998">
        <v>190000</v>
      </c>
      <c r="I571" s="86">
        <f t="shared" si="34"/>
        <v>380000</v>
      </c>
      <c r="J571" s="20">
        <f t="shared" si="36"/>
        <v>171000</v>
      </c>
      <c r="K571" s="171">
        <f t="shared" si="33"/>
        <v>209000</v>
      </c>
      <c r="N571" s="17">
        <f t="shared" si="35"/>
        <v>209000</v>
      </c>
      <c r="O571" s="282" t="s">
        <v>23</v>
      </c>
      <c r="P571" s="20"/>
      <c r="Q571" s="10" t="s">
        <v>54</v>
      </c>
    </row>
    <row r="572" spans="1:17" s="364" customFormat="1">
      <c r="A572" s="991">
        <v>44523</v>
      </c>
      <c r="B572" s="282" t="s">
        <v>23</v>
      </c>
      <c r="C572" s="283" t="s">
        <v>7981</v>
      </c>
      <c r="D572" s="29" t="s">
        <v>7982</v>
      </c>
      <c r="E572" s="984" t="s">
        <v>8232</v>
      </c>
      <c r="F572" s="984" t="s">
        <v>8233</v>
      </c>
      <c r="G572" s="319">
        <v>2</v>
      </c>
      <c r="H572" s="998">
        <v>142000</v>
      </c>
      <c r="I572" s="86">
        <f t="shared" si="34"/>
        <v>284000</v>
      </c>
      <c r="J572" s="20">
        <f t="shared" si="36"/>
        <v>127800</v>
      </c>
      <c r="K572" s="171">
        <f t="shared" si="33"/>
        <v>156200</v>
      </c>
      <c r="N572" s="17">
        <f t="shared" si="35"/>
        <v>156200</v>
      </c>
      <c r="O572" s="282" t="s">
        <v>23</v>
      </c>
      <c r="P572" s="20"/>
      <c r="Q572" s="10" t="s">
        <v>54</v>
      </c>
    </row>
    <row r="573" spans="1:17" s="364" customFormat="1">
      <c r="A573" s="991">
        <v>44523</v>
      </c>
      <c r="B573" s="282" t="s">
        <v>23</v>
      </c>
      <c r="C573" s="283" t="s">
        <v>7981</v>
      </c>
      <c r="D573" s="29" t="s">
        <v>7982</v>
      </c>
      <c r="E573" s="984" t="s">
        <v>5745</v>
      </c>
      <c r="F573" s="984" t="s">
        <v>2101</v>
      </c>
      <c r="G573" s="319">
        <v>2</v>
      </c>
      <c r="H573" s="998">
        <v>180000</v>
      </c>
      <c r="I573" s="86">
        <f t="shared" si="34"/>
        <v>360000</v>
      </c>
      <c r="J573" s="20">
        <f t="shared" si="36"/>
        <v>162000</v>
      </c>
      <c r="K573" s="171">
        <f t="shared" si="33"/>
        <v>198000</v>
      </c>
      <c r="N573" s="17">
        <f t="shared" si="35"/>
        <v>198000</v>
      </c>
      <c r="O573" s="282" t="s">
        <v>23</v>
      </c>
      <c r="P573" s="20"/>
      <c r="Q573" s="10" t="s">
        <v>54</v>
      </c>
    </row>
    <row r="574" spans="1:17" s="364" customFormat="1">
      <c r="A574" s="991">
        <v>44523</v>
      </c>
      <c r="B574" s="282" t="s">
        <v>23</v>
      </c>
      <c r="C574" s="283" t="s">
        <v>7981</v>
      </c>
      <c r="D574" s="29" t="s">
        <v>7982</v>
      </c>
      <c r="E574" s="984" t="s">
        <v>8234</v>
      </c>
      <c r="F574" s="987" t="s">
        <v>8235</v>
      </c>
      <c r="G574" s="319">
        <v>2</v>
      </c>
      <c r="H574" s="998">
        <v>70000</v>
      </c>
      <c r="I574" s="86">
        <f t="shared" si="34"/>
        <v>140000</v>
      </c>
      <c r="J574" s="20">
        <f t="shared" si="36"/>
        <v>63000</v>
      </c>
      <c r="K574" s="171">
        <f t="shared" si="33"/>
        <v>77000</v>
      </c>
      <c r="N574" s="17">
        <f t="shared" si="35"/>
        <v>77000</v>
      </c>
      <c r="O574" s="282" t="s">
        <v>23</v>
      </c>
      <c r="P574" s="20"/>
      <c r="Q574" s="10" t="s">
        <v>54</v>
      </c>
    </row>
    <row r="575" spans="1:17" s="364" customFormat="1">
      <c r="A575" s="991">
        <v>44523</v>
      </c>
      <c r="B575" s="282" t="s">
        <v>23</v>
      </c>
      <c r="C575" s="283" t="s">
        <v>7981</v>
      </c>
      <c r="D575" s="29" t="s">
        <v>7982</v>
      </c>
      <c r="E575" s="984" t="s">
        <v>5542</v>
      </c>
      <c r="F575" s="987" t="s">
        <v>5543</v>
      </c>
      <c r="G575" s="319">
        <v>2</v>
      </c>
      <c r="H575" s="998">
        <v>86000</v>
      </c>
      <c r="I575" s="86">
        <f t="shared" si="34"/>
        <v>172000</v>
      </c>
      <c r="J575" s="20">
        <f t="shared" si="36"/>
        <v>77400</v>
      </c>
      <c r="K575" s="171">
        <f t="shared" si="33"/>
        <v>94600</v>
      </c>
      <c r="N575" s="17">
        <f t="shared" si="35"/>
        <v>94600</v>
      </c>
      <c r="O575" s="282" t="s">
        <v>23</v>
      </c>
      <c r="P575" s="20"/>
      <c r="Q575" s="10" t="s">
        <v>54</v>
      </c>
    </row>
    <row r="576" spans="1:17" s="364" customFormat="1">
      <c r="A576" s="991">
        <v>44523</v>
      </c>
      <c r="B576" s="282" t="s">
        <v>23</v>
      </c>
      <c r="C576" s="283" t="s">
        <v>7981</v>
      </c>
      <c r="D576" s="29" t="s">
        <v>7982</v>
      </c>
      <c r="E576" s="984" t="s">
        <v>5989</v>
      </c>
      <c r="F576" s="984" t="s">
        <v>5990</v>
      </c>
      <c r="G576" s="319">
        <v>2</v>
      </c>
      <c r="H576" s="998">
        <v>113000</v>
      </c>
      <c r="I576" s="86">
        <f t="shared" si="34"/>
        <v>226000</v>
      </c>
      <c r="J576" s="20">
        <f t="shared" si="36"/>
        <v>101700</v>
      </c>
      <c r="K576" s="171">
        <f t="shared" si="33"/>
        <v>124300</v>
      </c>
      <c r="N576" s="17">
        <f t="shared" si="35"/>
        <v>124300</v>
      </c>
      <c r="O576" s="282" t="s">
        <v>23</v>
      </c>
      <c r="P576" s="20"/>
      <c r="Q576" s="10" t="s">
        <v>54</v>
      </c>
    </row>
    <row r="577" spans="1:17" s="364" customFormat="1">
      <c r="A577" s="991">
        <v>44523</v>
      </c>
      <c r="B577" s="282" t="s">
        <v>23</v>
      </c>
      <c r="C577" s="283" t="s">
        <v>7981</v>
      </c>
      <c r="D577" s="29" t="s">
        <v>7982</v>
      </c>
      <c r="E577" s="984" t="s">
        <v>8236</v>
      </c>
      <c r="F577" s="987" t="s">
        <v>1981</v>
      </c>
      <c r="G577" s="319">
        <v>2</v>
      </c>
      <c r="H577" s="998">
        <v>233000</v>
      </c>
      <c r="I577" s="86">
        <f t="shared" si="34"/>
        <v>466000</v>
      </c>
      <c r="J577" s="20">
        <f t="shared" si="36"/>
        <v>209700</v>
      </c>
      <c r="K577" s="171">
        <f t="shared" si="33"/>
        <v>256300</v>
      </c>
      <c r="N577" s="17">
        <f t="shared" si="35"/>
        <v>256300</v>
      </c>
      <c r="O577" s="282" t="s">
        <v>23</v>
      </c>
      <c r="P577" s="20"/>
      <c r="Q577" s="10" t="s">
        <v>54</v>
      </c>
    </row>
    <row r="578" spans="1:17" s="364" customFormat="1">
      <c r="A578" s="991">
        <v>44523</v>
      </c>
      <c r="B578" s="282" t="s">
        <v>23</v>
      </c>
      <c r="C578" s="283" t="s">
        <v>7981</v>
      </c>
      <c r="D578" s="29" t="s">
        <v>7982</v>
      </c>
      <c r="E578" s="984" t="s">
        <v>6347</v>
      </c>
      <c r="F578" s="984" t="s">
        <v>6348</v>
      </c>
      <c r="G578" s="319">
        <v>2</v>
      </c>
      <c r="H578" s="998">
        <v>78000</v>
      </c>
      <c r="I578" s="86">
        <f t="shared" si="34"/>
        <v>156000</v>
      </c>
      <c r="J578" s="20">
        <f t="shared" si="36"/>
        <v>70200</v>
      </c>
      <c r="K578" s="171">
        <f t="shared" si="33"/>
        <v>85800</v>
      </c>
      <c r="N578" s="17">
        <f t="shared" si="35"/>
        <v>85800</v>
      </c>
      <c r="O578" s="282" t="s">
        <v>23</v>
      </c>
      <c r="P578" s="20"/>
      <c r="Q578" s="10" t="s">
        <v>54</v>
      </c>
    </row>
    <row r="579" spans="1:17" s="364" customFormat="1">
      <c r="A579" s="991">
        <v>44523</v>
      </c>
      <c r="B579" s="282" t="s">
        <v>23</v>
      </c>
      <c r="C579" s="283" t="s">
        <v>7981</v>
      </c>
      <c r="D579" s="29" t="s">
        <v>7982</v>
      </c>
      <c r="E579" s="984" t="s">
        <v>6689</v>
      </c>
      <c r="F579" s="987" t="s">
        <v>6690</v>
      </c>
      <c r="G579" s="319">
        <v>2</v>
      </c>
      <c r="H579" s="998">
        <v>82000</v>
      </c>
      <c r="I579" s="86">
        <f t="shared" si="34"/>
        <v>164000</v>
      </c>
      <c r="J579" s="20">
        <f t="shared" si="36"/>
        <v>73800</v>
      </c>
      <c r="K579" s="171">
        <f t="shared" si="33"/>
        <v>90200</v>
      </c>
      <c r="N579" s="17">
        <f t="shared" si="35"/>
        <v>90200</v>
      </c>
      <c r="O579" s="282" t="s">
        <v>23</v>
      </c>
      <c r="P579" s="20"/>
      <c r="Q579" s="10" t="s">
        <v>54</v>
      </c>
    </row>
    <row r="580" spans="1:17" s="364" customFormat="1">
      <c r="A580" s="991">
        <v>44523</v>
      </c>
      <c r="B580" s="282" t="s">
        <v>23</v>
      </c>
      <c r="C580" s="283" t="s">
        <v>7981</v>
      </c>
      <c r="D580" s="29" t="s">
        <v>7982</v>
      </c>
      <c r="E580" s="984" t="s">
        <v>7189</v>
      </c>
      <c r="F580" s="984" t="s">
        <v>7190</v>
      </c>
      <c r="G580" s="319">
        <v>2</v>
      </c>
      <c r="H580" s="998">
        <v>160000</v>
      </c>
      <c r="I580" s="86">
        <f t="shared" si="34"/>
        <v>320000</v>
      </c>
      <c r="J580" s="20">
        <f t="shared" si="36"/>
        <v>144000</v>
      </c>
      <c r="K580" s="171">
        <f t="shared" ref="K580:K643" si="37">I580-J580</f>
        <v>176000</v>
      </c>
      <c r="N580" s="17">
        <f t="shared" si="35"/>
        <v>176000</v>
      </c>
      <c r="O580" s="282" t="s">
        <v>23</v>
      </c>
      <c r="P580" s="20"/>
      <c r="Q580" s="10" t="s">
        <v>54</v>
      </c>
    </row>
    <row r="581" spans="1:17" s="364" customFormat="1">
      <c r="A581" s="991">
        <v>44523</v>
      </c>
      <c r="B581" s="282" t="s">
        <v>23</v>
      </c>
      <c r="C581" s="283" t="s">
        <v>7981</v>
      </c>
      <c r="D581" s="29" t="s">
        <v>7982</v>
      </c>
      <c r="E581" s="984" t="s">
        <v>8237</v>
      </c>
      <c r="F581" s="984" t="s">
        <v>8238</v>
      </c>
      <c r="G581" s="319">
        <v>2</v>
      </c>
      <c r="H581" s="998">
        <v>58000</v>
      </c>
      <c r="I581" s="86">
        <f t="shared" ref="I581:I644" si="38">H581*G581</f>
        <v>116000</v>
      </c>
      <c r="J581" s="20">
        <f t="shared" si="36"/>
        <v>52200</v>
      </c>
      <c r="K581" s="171">
        <f t="shared" si="37"/>
        <v>63800</v>
      </c>
      <c r="N581" s="17">
        <f t="shared" si="35"/>
        <v>63800</v>
      </c>
      <c r="O581" s="282" t="s">
        <v>23</v>
      </c>
      <c r="P581" s="20"/>
      <c r="Q581" s="10" t="s">
        <v>54</v>
      </c>
    </row>
    <row r="582" spans="1:17" s="364" customFormat="1">
      <c r="A582" s="991">
        <v>44523</v>
      </c>
      <c r="B582" s="282" t="s">
        <v>23</v>
      </c>
      <c r="C582" s="283" t="s">
        <v>7981</v>
      </c>
      <c r="D582" s="29" t="s">
        <v>7982</v>
      </c>
      <c r="E582" s="984" t="s">
        <v>8239</v>
      </c>
      <c r="F582" s="987" t="s">
        <v>8240</v>
      </c>
      <c r="G582" s="319">
        <v>2</v>
      </c>
      <c r="H582" s="998">
        <v>131000</v>
      </c>
      <c r="I582" s="86">
        <f t="shared" si="38"/>
        <v>262000</v>
      </c>
      <c r="J582" s="20">
        <f t="shared" si="36"/>
        <v>117900</v>
      </c>
      <c r="K582" s="171">
        <f t="shared" si="37"/>
        <v>144100</v>
      </c>
      <c r="N582" s="17">
        <f t="shared" si="35"/>
        <v>144100</v>
      </c>
      <c r="O582" s="282" t="s">
        <v>23</v>
      </c>
      <c r="P582" s="20"/>
      <c r="Q582" s="10" t="s">
        <v>54</v>
      </c>
    </row>
    <row r="583" spans="1:17" s="364" customFormat="1" ht="15.6">
      <c r="A583" s="991">
        <v>44523</v>
      </c>
      <c r="B583" s="282" t="s">
        <v>23</v>
      </c>
      <c r="C583" s="283" t="s">
        <v>7981</v>
      </c>
      <c r="D583" s="29" t="s">
        <v>7982</v>
      </c>
      <c r="E583" s="984" t="s">
        <v>8241</v>
      </c>
      <c r="F583" s="987" t="s">
        <v>8242</v>
      </c>
      <c r="G583" s="319">
        <v>2</v>
      </c>
      <c r="H583" s="999">
        <v>57500</v>
      </c>
      <c r="I583" s="86">
        <f t="shared" si="38"/>
        <v>115000</v>
      </c>
      <c r="J583" s="20">
        <f t="shared" si="36"/>
        <v>51750</v>
      </c>
      <c r="K583" s="171">
        <f t="shared" si="37"/>
        <v>63250</v>
      </c>
      <c r="N583" s="17">
        <f t="shared" si="35"/>
        <v>63250</v>
      </c>
      <c r="O583" s="282" t="s">
        <v>23</v>
      </c>
      <c r="P583" s="20"/>
      <c r="Q583" s="10" t="s">
        <v>54</v>
      </c>
    </row>
    <row r="584" spans="1:17" s="364" customFormat="1" ht="15.6">
      <c r="A584" s="991">
        <v>44523</v>
      </c>
      <c r="B584" s="282" t="s">
        <v>23</v>
      </c>
      <c r="C584" s="283" t="s">
        <v>7981</v>
      </c>
      <c r="D584" s="29" t="s">
        <v>7982</v>
      </c>
      <c r="E584" s="984" t="s">
        <v>5312</v>
      </c>
      <c r="F584" s="984" t="s">
        <v>5313</v>
      </c>
      <c r="G584" s="319">
        <v>2</v>
      </c>
      <c r="H584" s="999">
        <v>68500</v>
      </c>
      <c r="I584" s="86">
        <f t="shared" si="38"/>
        <v>137000</v>
      </c>
      <c r="J584" s="20">
        <f t="shared" si="36"/>
        <v>61650</v>
      </c>
      <c r="K584" s="171">
        <f t="shared" si="37"/>
        <v>75350</v>
      </c>
      <c r="N584" s="17">
        <f t="shared" si="35"/>
        <v>75350</v>
      </c>
      <c r="O584" s="282" t="s">
        <v>23</v>
      </c>
      <c r="P584" s="20"/>
      <c r="Q584" s="10" t="s">
        <v>54</v>
      </c>
    </row>
    <row r="585" spans="1:17" s="364" customFormat="1" ht="15.6">
      <c r="A585" s="991">
        <v>44523</v>
      </c>
      <c r="B585" s="282" t="s">
        <v>23</v>
      </c>
      <c r="C585" s="283" t="s">
        <v>7981</v>
      </c>
      <c r="D585" s="29" t="s">
        <v>7982</v>
      </c>
      <c r="E585" s="984" t="s">
        <v>8243</v>
      </c>
      <c r="F585" s="984" t="s">
        <v>8244</v>
      </c>
      <c r="G585" s="319">
        <v>2</v>
      </c>
      <c r="H585" s="1001">
        <v>71000</v>
      </c>
      <c r="I585" s="86">
        <f t="shared" si="38"/>
        <v>142000</v>
      </c>
      <c r="J585" s="20">
        <f t="shared" si="36"/>
        <v>63900</v>
      </c>
      <c r="K585" s="171">
        <f t="shared" si="37"/>
        <v>78100</v>
      </c>
      <c r="N585" s="17">
        <f t="shared" si="35"/>
        <v>78100</v>
      </c>
      <c r="O585" s="282" t="s">
        <v>23</v>
      </c>
      <c r="P585" s="20"/>
      <c r="Q585" s="10" t="s">
        <v>54</v>
      </c>
    </row>
    <row r="586" spans="1:17" s="364" customFormat="1" ht="15.6">
      <c r="A586" s="991">
        <v>44523</v>
      </c>
      <c r="B586" s="282" t="s">
        <v>23</v>
      </c>
      <c r="C586" s="283" t="s">
        <v>7981</v>
      </c>
      <c r="D586" s="29" t="s">
        <v>7982</v>
      </c>
      <c r="E586" s="984" t="s">
        <v>8245</v>
      </c>
      <c r="F586" s="987" t="s">
        <v>8246</v>
      </c>
      <c r="G586" s="319">
        <v>2</v>
      </c>
      <c r="H586" s="999">
        <v>92500</v>
      </c>
      <c r="I586" s="86">
        <f t="shared" si="38"/>
        <v>185000</v>
      </c>
      <c r="J586" s="20">
        <f t="shared" si="36"/>
        <v>83250</v>
      </c>
      <c r="K586" s="171">
        <f t="shared" si="37"/>
        <v>101750</v>
      </c>
      <c r="N586" s="17">
        <f t="shared" si="35"/>
        <v>101750</v>
      </c>
      <c r="O586" s="282" t="s">
        <v>23</v>
      </c>
      <c r="P586" s="20"/>
      <c r="Q586" s="10" t="s">
        <v>54</v>
      </c>
    </row>
    <row r="587" spans="1:17" s="364" customFormat="1" ht="15.6">
      <c r="A587" s="991">
        <v>44523</v>
      </c>
      <c r="B587" s="282" t="s">
        <v>23</v>
      </c>
      <c r="C587" s="283" t="s">
        <v>7981</v>
      </c>
      <c r="D587" s="29" t="s">
        <v>7982</v>
      </c>
      <c r="E587" s="984" t="s">
        <v>8247</v>
      </c>
      <c r="F587" s="984" t="s">
        <v>8248</v>
      </c>
      <c r="G587" s="319">
        <v>2</v>
      </c>
      <c r="H587" s="999">
        <v>134000</v>
      </c>
      <c r="I587" s="86">
        <f t="shared" si="38"/>
        <v>268000</v>
      </c>
      <c r="J587" s="20">
        <f t="shared" si="36"/>
        <v>120600</v>
      </c>
      <c r="K587" s="171">
        <f t="shared" si="37"/>
        <v>147400</v>
      </c>
      <c r="N587" s="17">
        <f t="shared" si="35"/>
        <v>147400</v>
      </c>
      <c r="O587" s="282" t="s">
        <v>23</v>
      </c>
      <c r="P587" s="20"/>
      <c r="Q587" s="10" t="s">
        <v>54</v>
      </c>
    </row>
    <row r="588" spans="1:17" s="364" customFormat="1" ht="15.6">
      <c r="A588" s="991">
        <v>44523</v>
      </c>
      <c r="B588" s="282" t="s">
        <v>23</v>
      </c>
      <c r="C588" s="283" t="s">
        <v>7981</v>
      </c>
      <c r="D588" s="29" t="s">
        <v>7982</v>
      </c>
      <c r="E588" s="984" t="s">
        <v>8249</v>
      </c>
      <c r="F588" s="987" t="s">
        <v>8250</v>
      </c>
      <c r="G588" s="319">
        <v>2</v>
      </c>
      <c r="H588" s="1011">
        <v>135000</v>
      </c>
      <c r="I588" s="86">
        <f t="shared" si="38"/>
        <v>270000</v>
      </c>
      <c r="J588" s="20">
        <f t="shared" si="36"/>
        <v>121500</v>
      </c>
      <c r="K588" s="171">
        <f t="shared" si="37"/>
        <v>148500</v>
      </c>
      <c r="N588" s="17">
        <f t="shared" si="35"/>
        <v>148500</v>
      </c>
      <c r="O588" s="282" t="s">
        <v>23</v>
      </c>
      <c r="P588" s="20"/>
      <c r="Q588" s="10" t="s">
        <v>54</v>
      </c>
    </row>
    <row r="589" spans="1:17" s="364" customFormat="1" ht="15.6">
      <c r="A589" s="991">
        <v>44523</v>
      </c>
      <c r="B589" s="282" t="s">
        <v>23</v>
      </c>
      <c r="C589" s="283" t="s">
        <v>7981</v>
      </c>
      <c r="D589" s="29" t="s">
        <v>7982</v>
      </c>
      <c r="E589" s="984" t="s">
        <v>8251</v>
      </c>
      <c r="F589" s="987" t="s">
        <v>8252</v>
      </c>
      <c r="G589" s="319">
        <v>2</v>
      </c>
      <c r="H589" s="999">
        <v>94000</v>
      </c>
      <c r="I589" s="86">
        <f t="shared" si="38"/>
        <v>188000</v>
      </c>
      <c r="J589" s="20">
        <f t="shared" si="36"/>
        <v>84600</v>
      </c>
      <c r="K589" s="171">
        <f t="shared" si="37"/>
        <v>103400</v>
      </c>
      <c r="N589" s="17">
        <f t="shared" si="35"/>
        <v>103400</v>
      </c>
      <c r="O589" s="282" t="s">
        <v>23</v>
      </c>
      <c r="P589" s="20"/>
      <c r="Q589" s="10" t="s">
        <v>54</v>
      </c>
    </row>
    <row r="590" spans="1:17" s="364" customFormat="1" ht="15.6">
      <c r="A590" s="991">
        <v>44523</v>
      </c>
      <c r="B590" s="282" t="s">
        <v>23</v>
      </c>
      <c r="C590" s="283" t="s">
        <v>7981</v>
      </c>
      <c r="D590" s="29" t="s">
        <v>7982</v>
      </c>
      <c r="E590" s="984" t="s">
        <v>7317</v>
      </c>
      <c r="F590" s="987" t="s">
        <v>8253</v>
      </c>
      <c r="G590" s="319">
        <v>2</v>
      </c>
      <c r="H590" s="1001">
        <v>61000</v>
      </c>
      <c r="I590" s="86">
        <f t="shared" si="38"/>
        <v>122000</v>
      </c>
      <c r="J590" s="20">
        <f t="shared" si="36"/>
        <v>54900</v>
      </c>
      <c r="K590" s="171">
        <f t="shared" si="37"/>
        <v>67100</v>
      </c>
      <c r="N590" s="17">
        <f t="shared" si="35"/>
        <v>67100</v>
      </c>
      <c r="O590" s="282" t="s">
        <v>23</v>
      </c>
      <c r="P590" s="20"/>
      <c r="Q590" s="10" t="s">
        <v>54</v>
      </c>
    </row>
    <row r="591" spans="1:17" s="364" customFormat="1" ht="15.6">
      <c r="A591" s="991">
        <v>44523</v>
      </c>
      <c r="B591" s="282" t="s">
        <v>23</v>
      </c>
      <c r="C591" s="283" t="s">
        <v>7981</v>
      </c>
      <c r="D591" s="29" t="s">
        <v>7982</v>
      </c>
      <c r="E591" s="984" t="s">
        <v>5774</v>
      </c>
      <c r="F591" s="987" t="s">
        <v>5419</v>
      </c>
      <c r="G591" s="319">
        <v>2</v>
      </c>
      <c r="H591" s="999">
        <v>115500</v>
      </c>
      <c r="I591" s="86">
        <f t="shared" si="38"/>
        <v>231000</v>
      </c>
      <c r="J591" s="20">
        <f t="shared" si="36"/>
        <v>103950</v>
      </c>
      <c r="K591" s="171">
        <f t="shared" si="37"/>
        <v>127050</v>
      </c>
      <c r="N591" s="17">
        <f t="shared" si="35"/>
        <v>127050</v>
      </c>
      <c r="O591" s="282" t="s">
        <v>23</v>
      </c>
      <c r="P591" s="20"/>
      <c r="Q591" s="10" t="s">
        <v>54</v>
      </c>
    </row>
    <row r="592" spans="1:17" s="364" customFormat="1" ht="15.6">
      <c r="A592" s="991">
        <v>44523</v>
      </c>
      <c r="B592" s="282" t="s">
        <v>23</v>
      </c>
      <c r="C592" s="283" t="s">
        <v>7981</v>
      </c>
      <c r="D592" s="29" t="s">
        <v>7982</v>
      </c>
      <c r="E592" s="984" t="s">
        <v>4648</v>
      </c>
      <c r="F592" s="987" t="s">
        <v>4649</v>
      </c>
      <c r="G592" s="319">
        <v>2</v>
      </c>
      <c r="H592" s="1001">
        <v>89000</v>
      </c>
      <c r="I592" s="86">
        <f t="shared" si="38"/>
        <v>178000</v>
      </c>
      <c r="J592" s="20">
        <f t="shared" si="36"/>
        <v>80100</v>
      </c>
      <c r="K592" s="171">
        <f t="shared" si="37"/>
        <v>97900</v>
      </c>
      <c r="N592" s="17">
        <f t="shared" si="35"/>
        <v>97900</v>
      </c>
      <c r="O592" s="282" t="s">
        <v>23</v>
      </c>
      <c r="P592" s="20"/>
      <c r="Q592" s="10" t="s">
        <v>54</v>
      </c>
    </row>
    <row r="593" spans="1:17" s="364" customFormat="1" ht="15.6">
      <c r="A593" s="991">
        <v>44523</v>
      </c>
      <c r="B593" s="282" t="s">
        <v>23</v>
      </c>
      <c r="C593" s="283" t="s">
        <v>7981</v>
      </c>
      <c r="D593" s="29" t="s">
        <v>7982</v>
      </c>
      <c r="E593" s="984" t="s">
        <v>8254</v>
      </c>
      <c r="F593" s="987" t="s">
        <v>8255</v>
      </c>
      <c r="G593" s="319">
        <v>2</v>
      </c>
      <c r="H593" s="999">
        <v>110000</v>
      </c>
      <c r="I593" s="86">
        <f t="shared" si="38"/>
        <v>220000</v>
      </c>
      <c r="J593" s="20">
        <f t="shared" si="36"/>
        <v>99000</v>
      </c>
      <c r="K593" s="171">
        <f t="shared" si="37"/>
        <v>121000</v>
      </c>
      <c r="N593" s="17">
        <f t="shared" si="35"/>
        <v>121000</v>
      </c>
      <c r="O593" s="282" t="s">
        <v>23</v>
      </c>
      <c r="P593" s="20"/>
      <c r="Q593" s="10" t="s">
        <v>54</v>
      </c>
    </row>
    <row r="594" spans="1:17" s="364" customFormat="1" ht="15.6">
      <c r="A594" s="991">
        <v>44523</v>
      </c>
      <c r="B594" s="282" t="s">
        <v>23</v>
      </c>
      <c r="C594" s="283" t="s">
        <v>7981</v>
      </c>
      <c r="D594" s="29" t="s">
        <v>7982</v>
      </c>
      <c r="E594" s="984" t="s">
        <v>8256</v>
      </c>
      <c r="F594" s="987" t="s">
        <v>8257</v>
      </c>
      <c r="G594" s="319">
        <v>2</v>
      </c>
      <c r="H594" s="999">
        <v>162000</v>
      </c>
      <c r="I594" s="86">
        <f t="shared" si="38"/>
        <v>324000</v>
      </c>
      <c r="J594" s="20">
        <f t="shared" si="36"/>
        <v>145800</v>
      </c>
      <c r="K594" s="171">
        <f t="shared" si="37"/>
        <v>178200</v>
      </c>
      <c r="N594" s="17">
        <f t="shared" si="35"/>
        <v>178200</v>
      </c>
      <c r="O594" s="282" t="s">
        <v>23</v>
      </c>
      <c r="P594" s="20"/>
      <c r="Q594" s="10" t="s">
        <v>54</v>
      </c>
    </row>
    <row r="595" spans="1:17" s="364" customFormat="1" ht="15.6">
      <c r="A595" s="991">
        <v>44523</v>
      </c>
      <c r="B595" s="282" t="s">
        <v>23</v>
      </c>
      <c r="C595" s="283" t="s">
        <v>7981</v>
      </c>
      <c r="D595" s="29" t="s">
        <v>7982</v>
      </c>
      <c r="E595" s="984" t="s">
        <v>3885</v>
      </c>
      <c r="F595" s="987" t="s">
        <v>3886</v>
      </c>
      <c r="G595" s="319">
        <v>2</v>
      </c>
      <c r="H595" s="1001">
        <v>61000</v>
      </c>
      <c r="I595" s="86">
        <f t="shared" si="38"/>
        <v>122000</v>
      </c>
      <c r="J595" s="20">
        <f t="shared" si="36"/>
        <v>54900</v>
      </c>
      <c r="K595" s="171">
        <f t="shared" si="37"/>
        <v>67100</v>
      </c>
      <c r="N595" s="17">
        <f t="shared" si="35"/>
        <v>67100</v>
      </c>
      <c r="O595" s="282" t="s">
        <v>23</v>
      </c>
      <c r="P595" s="20"/>
      <c r="Q595" s="10" t="s">
        <v>54</v>
      </c>
    </row>
    <row r="596" spans="1:17" s="364" customFormat="1" ht="15.6">
      <c r="A596" s="991">
        <v>44523</v>
      </c>
      <c r="B596" s="282" t="s">
        <v>23</v>
      </c>
      <c r="C596" s="283" t="s">
        <v>7981</v>
      </c>
      <c r="D596" s="29" t="s">
        <v>7982</v>
      </c>
      <c r="E596" s="984" t="s">
        <v>2129</v>
      </c>
      <c r="F596" s="987" t="s">
        <v>2130</v>
      </c>
      <c r="G596" s="319">
        <v>2</v>
      </c>
      <c r="H596" s="999">
        <v>84000</v>
      </c>
      <c r="I596" s="86">
        <f t="shared" si="38"/>
        <v>168000</v>
      </c>
      <c r="J596" s="20">
        <f t="shared" si="36"/>
        <v>75600</v>
      </c>
      <c r="K596" s="171">
        <f t="shared" si="37"/>
        <v>92400</v>
      </c>
      <c r="N596" s="17">
        <f t="shared" si="35"/>
        <v>92400</v>
      </c>
      <c r="O596" s="282" t="s">
        <v>23</v>
      </c>
      <c r="P596" s="20"/>
      <c r="Q596" s="10" t="s">
        <v>54</v>
      </c>
    </row>
    <row r="597" spans="1:17" s="364" customFormat="1" ht="15.6">
      <c r="A597" s="991">
        <v>44523</v>
      </c>
      <c r="B597" s="282" t="s">
        <v>23</v>
      </c>
      <c r="C597" s="283" t="s">
        <v>7981</v>
      </c>
      <c r="D597" s="29" t="s">
        <v>7982</v>
      </c>
      <c r="E597" s="984" t="s">
        <v>8258</v>
      </c>
      <c r="F597" s="984" t="s">
        <v>8259</v>
      </c>
      <c r="G597" s="319">
        <v>2</v>
      </c>
      <c r="H597" s="999">
        <v>116000</v>
      </c>
      <c r="I597" s="86">
        <f t="shared" si="38"/>
        <v>232000</v>
      </c>
      <c r="J597" s="20">
        <f t="shared" si="36"/>
        <v>104400</v>
      </c>
      <c r="K597" s="171">
        <f t="shared" si="37"/>
        <v>127600</v>
      </c>
      <c r="N597" s="17">
        <f t="shared" si="35"/>
        <v>127600</v>
      </c>
      <c r="O597" s="282" t="s">
        <v>23</v>
      </c>
      <c r="P597" s="20"/>
      <c r="Q597" s="10" t="s">
        <v>54</v>
      </c>
    </row>
    <row r="598" spans="1:17" s="364" customFormat="1" ht="15.6">
      <c r="A598" s="991">
        <v>44523</v>
      </c>
      <c r="B598" s="282" t="s">
        <v>23</v>
      </c>
      <c r="C598" s="283" t="s">
        <v>7981</v>
      </c>
      <c r="D598" s="29" t="s">
        <v>7982</v>
      </c>
      <c r="E598" s="984" t="s">
        <v>1148</v>
      </c>
      <c r="F598" s="987" t="s">
        <v>731</v>
      </c>
      <c r="G598" s="319">
        <v>2</v>
      </c>
      <c r="H598" s="999">
        <v>143000</v>
      </c>
      <c r="I598" s="86">
        <f t="shared" si="38"/>
        <v>286000</v>
      </c>
      <c r="J598" s="20">
        <f t="shared" si="36"/>
        <v>128700</v>
      </c>
      <c r="K598" s="171">
        <f t="shared" si="37"/>
        <v>157300</v>
      </c>
      <c r="N598" s="17">
        <f t="shared" si="35"/>
        <v>157300</v>
      </c>
      <c r="O598" s="282" t="s">
        <v>23</v>
      </c>
      <c r="P598" s="20"/>
      <c r="Q598" s="10" t="s">
        <v>54</v>
      </c>
    </row>
    <row r="599" spans="1:17" s="364" customFormat="1" ht="15.6">
      <c r="A599" s="991">
        <v>44523</v>
      </c>
      <c r="B599" s="282" t="s">
        <v>23</v>
      </c>
      <c r="C599" s="283" t="s">
        <v>7981</v>
      </c>
      <c r="D599" s="29" t="s">
        <v>7982</v>
      </c>
      <c r="E599" s="984" t="s">
        <v>7211</v>
      </c>
      <c r="F599" s="987" t="s">
        <v>7212</v>
      </c>
      <c r="G599" s="319">
        <v>2</v>
      </c>
      <c r="H599" s="999">
        <v>124000</v>
      </c>
      <c r="I599" s="86">
        <f t="shared" si="38"/>
        <v>248000</v>
      </c>
      <c r="J599" s="20">
        <f t="shared" si="36"/>
        <v>111600</v>
      </c>
      <c r="K599" s="171">
        <f t="shared" si="37"/>
        <v>136400</v>
      </c>
      <c r="N599" s="17">
        <f t="shared" si="35"/>
        <v>136400</v>
      </c>
      <c r="O599" s="282" t="s">
        <v>23</v>
      </c>
      <c r="P599" s="20"/>
      <c r="Q599" s="10" t="s">
        <v>54</v>
      </c>
    </row>
    <row r="600" spans="1:17" s="364" customFormat="1" ht="15.6">
      <c r="A600" s="991">
        <v>44523</v>
      </c>
      <c r="B600" s="282" t="s">
        <v>23</v>
      </c>
      <c r="C600" s="283" t="s">
        <v>7981</v>
      </c>
      <c r="D600" s="29" t="s">
        <v>7982</v>
      </c>
      <c r="E600" s="984" t="s">
        <v>8260</v>
      </c>
      <c r="F600" s="987" t="s">
        <v>8261</v>
      </c>
      <c r="G600" s="319">
        <v>2</v>
      </c>
      <c r="H600" s="999">
        <v>85500</v>
      </c>
      <c r="I600" s="86">
        <f t="shared" si="38"/>
        <v>171000</v>
      </c>
      <c r="J600" s="20">
        <f t="shared" si="36"/>
        <v>76950</v>
      </c>
      <c r="K600" s="171">
        <f t="shared" si="37"/>
        <v>94050</v>
      </c>
      <c r="N600" s="17">
        <f t="shared" si="35"/>
        <v>94050</v>
      </c>
      <c r="O600" s="282" t="s">
        <v>23</v>
      </c>
      <c r="P600" s="20"/>
      <c r="Q600" s="10" t="s">
        <v>54</v>
      </c>
    </row>
    <row r="601" spans="1:17" s="364" customFormat="1" ht="15.6">
      <c r="A601" s="991">
        <v>44523</v>
      </c>
      <c r="B601" s="282" t="s">
        <v>23</v>
      </c>
      <c r="C601" s="283" t="s">
        <v>7981</v>
      </c>
      <c r="D601" s="29" t="s">
        <v>7982</v>
      </c>
      <c r="E601" s="984" t="s">
        <v>8262</v>
      </c>
      <c r="F601" s="984" t="s">
        <v>2101</v>
      </c>
      <c r="G601" s="319">
        <v>2</v>
      </c>
      <c r="H601" s="1012">
        <v>158000</v>
      </c>
      <c r="I601" s="86">
        <f t="shared" si="38"/>
        <v>316000</v>
      </c>
      <c r="J601" s="20">
        <f t="shared" si="36"/>
        <v>142200</v>
      </c>
      <c r="K601" s="171">
        <f t="shared" si="37"/>
        <v>173800</v>
      </c>
      <c r="N601" s="17">
        <f t="shared" si="35"/>
        <v>173800</v>
      </c>
      <c r="O601" s="282" t="s">
        <v>23</v>
      </c>
      <c r="P601" s="20"/>
      <c r="Q601" s="10" t="s">
        <v>54</v>
      </c>
    </row>
    <row r="602" spans="1:17" s="364" customFormat="1" ht="15.6">
      <c r="A602" s="991">
        <v>44523</v>
      </c>
      <c r="B602" s="282" t="s">
        <v>23</v>
      </c>
      <c r="C602" s="283" t="s">
        <v>7981</v>
      </c>
      <c r="D602" s="29" t="s">
        <v>7982</v>
      </c>
      <c r="E602" s="984" t="s">
        <v>8263</v>
      </c>
      <c r="F602" s="984" t="s">
        <v>1053</v>
      </c>
      <c r="G602" s="319">
        <v>2</v>
      </c>
      <c r="H602" s="999">
        <v>91000</v>
      </c>
      <c r="I602" s="86">
        <f t="shared" si="38"/>
        <v>182000</v>
      </c>
      <c r="J602" s="20">
        <f t="shared" si="36"/>
        <v>81900</v>
      </c>
      <c r="K602" s="171">
        <f t="shared" si="37"/>
        <v>100100</v>
      </c>
      <c r="N602" s="17">
        <f t="shared" si="35"/>
        <v>100100</v>
      </c>
      <c r="O602" s="282" t="s">
        <v>23</v>
      </c>
      <c r="P602" s="20"/>
      <c r="Q602" s="10" t="s">
        <v>54</v>
      </c>
    </row>
    <row r="603" spans="1:17" s="364" customFormat="1" ht="15.6">
      <c r="A603" s="991">
        <v>44523</v>
      </c>
      <c r="B603" s="282" t="s">
        <v>23</v>
      </c>
      <c r="C603" s="283" t="s">
        <v>7981</v>
      </c>
      <c r="D603" s="29" t="s">
        <v>7982</v>
      </c>
      <c r="E603" s="984" t="s">
        <v>2417</v>
      </c>
      <c r="F603" s="984" t="s">
        <v>2418</v>
      </c>
      <c r="G603" s="319">
        <v>2</v>
      </c>
      <c r="H603" s="1001">
        <v>125000</v>
      </c>
      <c r="I603" s="86">
        <f t="shared" si="38"/>
        <v>250000</v>
      </c>
      <c r="J603" s="20">
        <f t="shared" si="36"/>
        <v>112500</v>
      </c>
      <c r="K603" s="171">
        <f t="shared" si="37"/>
        <v>137500</v>
      </c>
      <c r="N603" s="17">
        <f t="shared" ref="N603:N666" si="39">K603+L603+M603</f>
        <v>137500</v>
      </c>
      <c r="O603" s="282" t="s">
        <v>23</v>
      </c>
      <c r="P603" s="20"/>
      <c r="Q603" s="10" t="s">
        <v>54</v>
      </c>
    </row>
    <row r="604" spans="1:17" s="364" customFormat="1" ht="15.6">
      <c r="A604" s="991">
        <v>44523</v>
      </c>
      <c r="B604" s="282" t="s">
        <v>23</v>
      </c>
      <c r="C604" s="283" t="s">
        <v>7981</v>
      </c>
      <c r="D604" s="29" t="s">
        <v>7982</v>
      </c>
      <c r="E604" s="984" t="s">
        <v>8264</v>
      </c>
      <c r="F604" s="984" t="s">
        <v>8265</v>
      </c>
      <c r="G604" s="319">
        <v>2</v>
      </c>
      <c r="H604" s="996">
        <v>93000</v>
      </c>
      <c r="I604" s="86">
        <f t="shared" si="38"/>
        <v>186000</v>
      </c>
      <c r="J604" s="20">
        <f t="shared" si="36"/>
        <v>83700</v>
      </c>
      <c r="K604" s="171">
        <f t="shared" si="37"/>
        <v>102300</v>
      </c>
      <c r="N604" s="17">
        <f t="shared" si="39"/>
        <v>102300</v>
      </c>
      <c r="O604" s="282" t="s">
        <v>23</v>
      </c>
      <c r="P604" s="20"/>
      <c r="Q604" s="10" t="s">
        <v>54</v>
      </c>
    </row>
    <row r="605" spans="1:17" s="364" customFormat="1" ht="15.6">
      <c r="A605" s="991">
        <v>44523</v>
      </c>
      <c r="B605" s="282" t="s">
        <v>23</v>
      </c>
      <c r="C605" s="283" t="s">
        <v>7981</v>
      </c>
      <c r="D605" s="29" t="s">
        <v>7982</v>
      </c>
      <c r="E605" s="984" t="s">
        <v>8266</v>
      </c>
      <c r="F605" s="987" t="s">
        <v>8267</v>
      </c>
      <c r="G605" s="319">
        <v>2</v>
      </c>
      <c r="H605" s="999">
        <v>104000</v>
      </c>
      <c r="I605" s="86">
        <f t="shared" si="38"/>
        <v>208000</v>
      </c>
      <c r="J605" s="20">
        <f t="shared" si="36"/>
        <v>93600</v>
      </c>
      <c r="K605" s="171">
        <f t="shared" si="37"/>
        <v>114400</v>
      </c>
      <c r="N605" s="17">
        <f t="shared" si="39"/>
        <v>114400</v>
      </c>
      <c r="O605" s="282" t="s">
        <v>23</v>
      </c>
      <c r="P605" s="20"/>
      <c r="Q605" s="10" t="s">
        <v>54</v>
      </c>
    </row>
    <row r="606" spans="1:17" s="364" customFormat="1" ht="15.6">
      <c r="A606" s="991">
        <v>44523</v>
      </c>
      <c r="B606" s="282" t="s">
        <v>23</v>
      </c>
      <c r="C606" s="283" t="s">
        <v>7981</v>
      </c>
      <c r="D606" s="29" t="s">
        <v>7982</v>
      </c>
      <c r="E606" s="984" t="s">
        <v>8268</v>
      </c>
      <c r="F606" s="984" t="s">
        <v>8269</v>
      </c>
      <c r="G606" s="319">
        <v>2</v>
      </c>
      <c r="H606" s="999">
        <v>110000</v>
      </c>
      <c r="I606" s="86">
        <f t="shared" si="38"/>
        <v>220000</v>
      </c>
      <c r="J606" s="20">
        <f t="shared" si="36"/>
        <v>99000</v>
      </c>
      <c r="K606" s="171">
        <f t="shared" si="37"/>
        <v>121000</v>
      </c>
      <c r="N606" s="17">
        <f t="shared" si="39"/>
        <v>121000</v>
      </c>
      <c r="O606" s="282" t="s">
        <v>23</v>
      </c>
      <c r="P606" s="20"/>
      <c r="Q606" s="10" t="s">
        <v>54</v>
      </c>
    </row>
    <row r="607" spans="1:17" s="364" customFormat="1" ht="15.6">
      <c r="A607" s="991">
        <v>44523</v>
      </c>
      <c r="B607" s="282" t="s">
        <v>23</v>
      </c>
      <c r="C607" s="283" t="s">
        <v>7981</v>
      </c>
      <c r="D607" s="29" t="s">
        <v>7982</v>
      </c>
      <c r="E607" s="984" t="s">
        <v>8270</v>
      </c>
      <c r="F607" s="987" t="s">
        <v>8271</v>
      </c>
      <c r="G607" s="319">
        <v>2</v>
      </c>
      <c r="H607" s="1000">
        <v>86000</v>
      </c>
      <c r="I607" s="86">
        <f t="shared" si="38"/>
        <v>172000</v>
      </c>
      <c r="J607" s="20">
        <f t="shared" si="36"/>
        <v>77400</v>
      </c>
      <c r="K607" s="171">
        <f t="shared" si="37"/>
        <v>94600</v>
      </c>
      <c r="N607" s="17">
        <f t="shared" si="39"/>
        <v>94600</v>
      </c>
      <c r="O607" s="282" t="s">
        <v>23</v>
      </c>
      <c r="P607" s="20"/>
      <c r="Q607" s="10" t="s">
        <v>54</v>
      </c>
    </row>
    <row r="608" spans="1:17" s="364" customFormat="1" ht="15.6">
      <c r="A608" s="991">
        <v>44523</v>
      </c>
      <c r="B608" s="282" t="s">
        <v>23</v>
      </c>
      <c r="C608" s="283" t="s">
        <v>7981</v>
      </c>
      <c r="D608" s="29" t="s">
        <v>7982</v>
      </c>
      <c r="E608" s="984" t="s">
        <v>8272</v>
      </c>
      <c r="F608" s="984" t="s">
        <v>8273</v>
      </c>
      <c r="G608" s="319">
        <v>2</v>
      </c>
      <c r="H608" s="999">
        <v>166000</v>
      </c>
      <c r="I608" s="86">
        <f t="shared" si="38"/>
        <v>332000</v>
      </c>
      <c r="J608" s="20">
        <f t="shared" si="36"/>
        <v>149400</v>
      </c>
      <c r="K608" s="171">
        <f t="shared" si="37"/>
        <v>182600</v>
      </c>
      <c r="N608" s="17">
        <f t="shared" si="39"/>
        <v>182600</v>
      </c>
      <c r="O608" s="282" t="s">
        <v>23</v>
      </c>
      <c r="P608" s="20"/>
      <c r="Q608" s="10" t="s">
        <v>54</v>
      </c>
    </row>
    <row r="609" spans="1:17" s="364" customFormat="1" ht="15.6">
      <c r="A609" s="991">
        <v>44523</v>
      </c>
      <c r="B609" s="282" t="s">
        <v>23</v>
      </c>
      <c r="C609" s="283" t="s">
        <v>7981</v>
      </c>
      <c r="D609" s="29" t="s">
        <v>7982</v>
      </c>
      <c r="E609" s="984" t="s">
        <v>5540</v>
      </c>
      <c r="F609" s="987" t="s">
        <v>5541</v>
      </c>
      <c r="G609" s="319">
        <v>2</v>
      </c>
      <c r="H609" s="1000">
        <v>107000</v>
      </c>
      <c r="I609" s="86">
        <f t="shared" si="38"/>
        <v>214000</v>
      </c>
      <c r="J609" s="20">
        <f t="shared" si="36"/>
        <v>96300</v>
      </c>
      <c r="K609" s="171">
        <f t="shared" si="37"/>
        <v>117700</v>
      </c>
      <c r="N609" s="17">
        <f t="shared" si="39"/>
        <v>117700</v>
      </c>
      <c r="O609" s="282" t="s">
        <v>23</v>
      </c>
      <c r="P609" s="20"/>
      <c r="Q609" s="10" t="s">
        <v>54</v>
      </c>
    </row>
    <row r="610" spans="1:17" s="364" customFormat="1" ht="15.6">
      <c r="A610" s="991">
        <v>44523</v>
      </c>
      <c r="B610" s="282" t="s">
        <v>23</v>
      </c>
      <c r="C610" s="283" t="s">
        <v>7981</v>
      </c>
      <c r="D610" s="29" t="s">
        <v>7982</v>
      </c>
      <c r="E610" s="984" t="s">
        <v>1001</v>
      </c>
      <c r="F610" s="987" t="s">
        <v>999</v>
      </c>
      <c r="G610" s="319">
        <v>2</v>
      </c>
      <c r="H610" s="996">
        <v>84000</v>
      </c>
      <c r="I610" s="86">
        <f t="shared" si="38"/>
        <v>168000</v>
      </c>
      <c r="J610" s="20">
        <f t="shared" si="36"/>
        <v>75600</v>
      </c>
      <c r="K610" s="171">
        <f t="shared" si="37"/>
        <v>92400</v>
      </c>
      <c r="N610" s="17">
        <f t="shared" si="39"/>
        <v>92400</v>
      </c>
      <c r="O610" s="282" t="s">
        <v>23</v>
      </c>
      <c r="P610" s="20"/>
      <c r="Q610" s="10" t="s">
        <v>54</v>
      </c>
    </row>
    <row r="611" spans="1:17" s="364" customFormat="1" ht="15.6">
      <c r="A611" s="991">
        <v>44523</v>
      </c>
      <c r="B611" s="282" t="s">
        <v>23</v>
      </c>
      <c r="C611" s="283" t="s">
        <v>7981</v>
      </c>
      <c r="D611" s="29" t="s">
        <v>7982</v>
      </c>
      <c r="E611" s="984" t="s">
        <v>2103</v>
      </c>
      <c r="F611" s="987" t="s">
        <v>2104</v>
      </c>
      <c r="G611" s="319">
        <v>2</v>
      </c>
      <c r="H611" s="1012">
        <v>76000</v>
      </c>
      <c r="I611" s="86">
        <f t="shared" si="38"/>
        <v>152000</v>
      </c>
      <c r="J611" s="20">
        <f t="shared" si="36"/>
        <v>68400</v>
      </c>
      <c r="K611" s="171">
        <f t="shared" si="37"/>
        <v>83600</v>
      </c>
      <c r="N611" s="17">
        <f t="shared" si="39"/>
        <v>83600</v>
      </c>
      <c r="O611" s="282" t="s">
        <v>23</v>
      </c>
      <c r="P611" s="20"/>
      <c r="Q611" s="10" t="s">
        <v>54</v>
      </c>
    </row>
    <row r="612" spans="1:17" s="364" customFormat="1" ht="15.6">
      <c r="A612" s="991">
        <v>44523</v>
      </c>
      <c r="B612" s="282" t="s">
        <v>23</v>
      </c>
      <c r="C612" s="283" t="s">
        <v>7981</v>
      </c>
      <c r="D612" s="29" t="s">
        <v>7982</v>
      </c>
      <c r="E612" s="984" t="s">
        <v>8274</v>
      </c>
      <c r="F612" s="984" t="s">
        <v>8248</v>
      </c>
      <c r="G612" s="319">
        <v>2</v>
      </c>
      <c r="H612" s="999">
        <v>117000</v>
      </c>
      <c r="I612" s="86">
        <f t="shared" si="38"/>
        <v>234000</v>
      </c>
      <c r="J612" s="20">
        <f t="shared" si="36"/>
        <v>105300</v>
      </c>
      <c r="K612" s="171">
        <f t="shared" si="37"/>
        <v>128700</v>
      </c>
      <c r="N612" s="17">
        <f t="shared" si="39"/>
        <v>128700</v>
      </c>
      <c r="O612" s="282" t="s">
        <v>23</v>
      </c>
      <c r="P612" s="20"/>
      <c r="Q612" s="10" t="s">
        <v>54</v>
      </c>
    </row>
    <row r="613" spans="1:17" s="364" customFormat="1" ht="15.6">
      <c r="A613" s="991">
        <v>44523</v>
      </c>
      <c r="B613" s="282" t="s">
        <v>23</v>
      </c>
      <c r="C613" s="283" t="s">
        <v>7981</v>
      </c>
      <c r="D613" s="29" t="s">
        <v>7982</v>
      </c>
      <c r="E613" s="984" t="s">
        <v>8275</v>
      </c>
      <c r="F613" s="987" t="s">
        <v>8276</v>
      </c>
      <c r="G613" s="319">
        <v>2</v>
      </c>
      <c r="H613" s="1001">
        <v>87000</v>
      </c>
      <c r="I613" s="86">
        <f t="shared" si="38"/>
        <v>174000</v>
      </c>
      <c r="J613" s="20">
        <f t="shared" si="36"/>
        <v>78300</v>
      </c>
      <c r="K613" s="171">
        <f t="shared" si="37"/>
        <v>95700</v>
      </c>
      <c r="N613" s="17">
        <f t="shared" si="39"/>
        <v>95700</v>
      </c>
      <c r="O613" s="282" t="s">
        <v>23</v>
      </c>
      <c r="P613" s="20"/>
      <c r="Q613" s="10" t="s">
        <v>54</v>
      </c>
    </row>
    <row r="614" spans="1:17" s="364" customFormat="1" ht="15.6">
      <c r="A614" s="991">
        <v>44523</v>
      </c>
      <c r="B614" s="282" t="s">
        <v>23</v>
      </c>
      <c r="C614" s="283" t="s">
        <v>7981</v>
      </c>
      <c r="D614" s="29" t="s">
        <v>7982</v>
      </c>
      <c r="E614" s="984" t="s">
        <v>8277</v>
      </c>
      <c r="F614" s="987" t="s">
        <v>8278</v>
      </c>
      <c r="G614" s="319">
        <v>2</v>
      </c>
      <c r="H614" s="1000">
        <v>89000</v>
      </c>
      <c r="I614" s="86">
        <f t="shared" si="38"/>
        <v>178000</v>
      </c>
      <c r="J614" s="20">
        <f t="shared" si="36"/>
        <v>80100</v>
      </c>
      <c r="K614" s="171">
        <f t="shared" si="37"/>
        <v>97900</v>
      </c>
      <c r="N614" s="17">
        <f t="shared" si="39"/>
        <v>97900</v>
      </c>
      <c r="O614" s="282" t="s">
        <v>23</v>
      </c>
      <c r="P614" s="20"/>
      <c r="Q614" s="10" t="s">
        <v>54</v>
      </c>
    </row>
    <row r="615" spans="1:17" s="364" customFormat="1" ht="15.6">
      <c r="A615" s="991">
        <v>44523</v>
      </c>
      <c r="B615" s="282" t="s">
        <v>23</v>
      </c>
      <c r="C615" s="283" t="s">
        <v>7981</v>
      </c>
      <c r="D615" s="29" t="s">
        <v>7982</v>
      </c>
      <c r="E615" s="984" t="s">
        <v>8279</v>
      </c>
      <c r="F615" s="987" t="s">
        <v>731</v>
      </c>
      <c r="G615" s="319">
        <v>2</v>
      </c>
      <c r="H615" s="999">
        <v>89000</v>
      </c>
      <c r="I615" s="86">
        <f t="shared" si="38"/>
        <v>178000</v>
      </c>
      <c r="J615" s="20">
        <f t="shared" si="36"/>
        <v>80100</v>
      </c>
      <c r="K615" s="171">
        <f t="shared" si="37"/>
        <v>97900</v>
      </c>
      <c r="N615" s="17">
        <f t="shared" si="39"/>
        <v>97900</v>
      </c>
      <c r="O615" s="282" t="s">
        <v>23</v>
      </c>
      <c r="P615" s="20"/>
      <c r="Q615" s="10" t="s">
        <v>54</v>
      </c>
    </row>
    <row r="616" spans="1:17" s="364" customFormat="1" ht="15.6">
      <c r="A616" s="991">
        <v>44523</v>
      </c>
      <c r="B616" s="282" t="s">
        <v>23</v>
      </c>
      <c r="C616" s="283" t="s">
        <v>7981</v>
      </c>
      <c r="D616" s="29" t="s">
        <v>7982</v>
      </c>
      <c r="E616" s="984" t="s">
        <v>3731</v>
      </c>
      <c r="F616" s="987" t="s">
        <v>3732</v>
      </c>
      <c r="G616" s="319">
        <v>2</v>
      </c>
      <c r="H616" s="1011">
        <v>89000</v>
      </c>
      <c r="I616" s="86">
        <f t="shared" si="38"/>
        <v>178000</v>
      </c>
      <c r="J616" s="20">
        <f t="shared" si="36"/>
        <v>80100</v>
      </c>
      <c r="K616" s="171">
        <f t="shared" si="37"/>
        <v>97900</v>
      </c>
      <c r="N616" s="17">
        <f t="shared" si="39"/>
        <v>97900</v>
      </c>
      <c r="O616" s="282" t="s">
        <v>23</v>
      </c>
      <c r="P616" s="20"/>
      <c r="Q616" s="10" t="s">
        <v>54</v>
      </c>
    </row>
    <row r="617" spans="1:17" s="364" customFormat="1" ht="15.6">
      <c r="A617" s="991">
        <v>44523</v>
      </c>
      <c r="B617" s="282" t="s">
        <v>23</v>
      </c>
      <c r="C617" s="283" t="s">
        <v>7981</v>
      </c>
      <c r="D617" s="29" t="s">
        <v>7982</v>
      </c>
      <c r="E617" s="984" t="s">
        <v>8280</v>
      </c>
      <c r="F617" s="987" t="s">
        <v>8281</v>
      </c>
      <c r="G617" s="319">
        <v>2</v>
      </c>
      <c r="H617" s="1001">
        <v>85500</v>
      </c>
      <c r="I617" s="86">
        <f t="shared" si="38"/>
        <v>171000</v>
      </c>
      <c r="J617" s="20">
        <f t="shared" ref="J617:J680" si="40">I617*45%</f>
        <v>76950</v>
      </c>
      <c r="K617" s="171">
        <f t="shared" si="37"/>
        <v>94050</v>
      </c>
      <c r="N617" s="17">
        <f t="shared" si="39"/>
        <v>94050</v>
      </c>
      <c r="O617" s="282" t="s">
        <v>23</v>
      </c>
      <c r="P617" s="20"/>
      <c r="Q617" s="10" t="s">
        <v>54</v>
      </c>
    </row>
    <row r="618" spans="1:17" s="364" customFormat="1" ht="15.6">
      <c r="A618" s="991">
        <v>44523</v>
      </c>
      <c r="B618" s="282" t="s">
        <v>23</v>
      </c>
      <c r="C618" s="283" t="s">
        <v>7981</v>
      </c>
      <c r="D618" s="29" t="s">
        <v>7982</v>
      </c>
      <c r="E618" s="984" t="s">
        <v>8282</v>
      </c>
      <c r="F618" s="987" t="s">
        <v>3886</v>
      </c>
      <c r="G618" s="319">
        <v>2</v>
      </c>
      <c r="H618" s="1001">
        <v>104000</v>
      </c>
      <c r="I618" s="86">
        <f t="shared" si="38"/>
        <v>208000</v>
      </c>
      <c r="J618" s="20">
        <f t="shared" si="40"/>
        <v>93600</v>
      </c>
      <c r="K618" s="171">
        <f t="shared" si="37"/>
        <v>114400</v>
      </c>
      <c r="N618" s="17">
        <f t="shared" si="39"/>
        <v>114400</v>
      </c>
      <c r="O618" s="282" t="s">
        <v>23</v>
      </c>
      <c r="P618" s="20"/>
      <c r="Q618" s="10" t="s">
        <v>54</v>
      </c>
    </row>
    <row r="619" spans="1:17" s="364" customFormat="1" ht="15.6">
      <c r="A619" s="991">
        <v>44523</v>
      </c>
      <c r="B619" s="282" t="s">
        <v>23</v>
      </c>
      <c r="C619" s="283" t="s">
        <v>7981</v>
      </c>
      <c r="D619" s="29" t="s">
        <v>7982</v>
      </c>
      <c r="E619" s="984" t="s">
        <v>8283</v>
      </c>
      <c r="F619" s="987" t="s">
        <v>8284</v>
      </c>
      <c r="G619" s="319">
        <v>2</v>
      </c>
      <c r="H619" s="999">
        <v>80000</v>
      </c>
      <c r="I619" s="86">
        <f t="shared" si="38"/>
        <v>160000</v>
      </c>
      <c r="J619" s="20">
        <f t="shared" si="40"/>
        <v>72000</v>
      </c>
      <c r="K619" s="171">
        <f t="shared" si="37"/>
        <v>88000</v>
      </c>
      <c r="N619" s="17">
        <f t="shared" si="39"/>
        <v>88000</v>
      </c>
      <c r="O619" s="282" t="s">
        <v>23</v>
      </c>
      <c r="P619" s="20"/>
      <c r="Q619" s="10" t="s">
        <v>54</v>
      </c>
    </row>
    <row r="620" spans="1:17" s="364" customFormat="1" ht="15.6">
      <c r="A620" s="991">
        <v>44523</v>
      </c>
      <c r="B620" s="282" t="s">
        <v>23</v>
      </c>
      <c r="C620" s="283" t="s">
        <v>7981</v>
      </c>
      <c r="D620" s="29" t="s">
        <v>7982</v>
      </c>
      <c r="E620" s="984" t="s">
        <v>3844</v>
      </c>
      <c r="F620" s="987" t="s">
        <v>1217</v>
      </c>
      <c r="G620" s="319">
        <v>2</v>
      </c>
      <c r="H620" s="999">
        <v>94000</v>
      </c>
      <c r="I620" s="86">
        <f t="shared" si="38"/>
        <v>188000</v>
      </c>
      <c r="J620" s="20">
        <f t="shared" si="40"/>
        <v>84600</v>
      </c>
      <c r="K620" s="171">
        <f t="shared" si="37"/>
        <v>103400</v>
      </c>
      <c r="N620" s="17">
        <f t="shared" si="39"/>
        <v>103400</v>
      </c>
      <c r="O620" s="282" t="s">
        <v>23</v>
      </c>
      <c r="P620" s="20"/>
      <c r="Q620" s="10" t="s">
        <v>54</v>
      </c>
    </row>
    <row r="621" spans="1:17" s="364" customFormat="1" ht="15.6">
      <c r="A621" s="991">
        <v>44523</v>
      </c>
      <c r="B621" s="282" t="s">
        <v>23</v>
      </c>
      <c r="C621" s="283" t="s">
        <v>7981</v>
      </c>
      <c r="D621" s="29" t="s">
        <v>7982</v>
      </c>
      <c r="E621" s="984" t="s">
        <v>8285</v>
      </c>
      <c r="F621" s="987" t="s">
        <v>3886</v>
      </c>
      <c r="G621" s="319">
        <v>2</v>
      </c>
      <c r="H621" s="1001">
        <v>78000</v>
      </c>
      <c r="I621" s="86">
        <f t="shared" si="38"/>
        <v>156000</v>
      </c>
      <c r="J621" s="20">
        <f t="shared" si="40"/>
        <v>70200</v>
      </c>
      <c r="K621" s="171">
        <f t="shared" si="37"/>
        <v>85800</v>
      </c>
      <c r="N621" s="17">
        <f t="shared" si="39"/>
        <v>85800</v>
      </c>
      <c r="O621" s="282" t="s">
        <v>23</v>
      </c>
      <c r="P621" s="20"/>
      <c r="Q621" s="10" t="s">
        <v>54</v>
      </c>
    </row>
    <row r="622" spans="1:17" s="364" customFormat="1" ht="15.6">
      <c r="A622" s="991">
        <v>44523</v>
      </c>
      <c r="B622" s="282" t="s">
        <v>23</v>
      </c>
      <c r="C622" s="283" t="s">
        <v>7981</v>
      </c>
      <c r="D622" s="29" t="s">
        <v>7982</v>
      </c>
      <c r="E622" s="984" t="s">
        <v>2132</v>
      </c>
      <c r="F622" s="987" t="s">
        <v>2133</v>
      </c>
      <c r="G622" s="319">
        <v>2</v>
      </c>
      <c r="H622" s="999">
        <v>82000</v>
      </c>
      <c r="I622" s="86">
        <f t="shared" si="38"/>
        <v>164000</v>
      </c>
      <c r="J622" s="20">
        <f t="shared" si="40"/>
        <v>73800</v>
      </c>
      <c r="K622" s="171">
        <f t="shared" si="37"/>
        <v>90200</v>
      </c>
      <c r="N622" s="17">
        <f t="shared" si="39"/>
        <v>90200</v>
      </c>
      <c r="O622" s="282" t="s">
        <v>23</v>
      </c>
      <c r="P622" s="20"/>
      <c r="Q622" s="10" t="s">
        <v>54</v>
      </c>
    </row>
    <row r="623" spans="1:17" s="364" customFormat="1" ht="15.6">
      <c r="A623" s="991">
        <v>44523</v>
      </c>
      <c r="B623" s="282" t="s">
        <v>23</v>
      </c>
      <c r="C623" s="283" t="s">
        <v>7981</v>
      </c>
      <c r="D623" s="29" t="s">
        <v>7982</v>
      </c>
      <c r="E623" s="984" t="s">
        <v>8286</v>
      </c>
      <c r="F623" s="987" t="s">
        <v>3732</v>
      </c>
      <c r="G623" s="319">
        <v>2</v>
      </c>
      <c r="H623" s="999">
        <v>70000</v>
      </c>
      <c r="I623" s="86">
        <f t="shared" si="38"/>
        <v>140000</v>
      </c>
      <c r="J623" s="20">
        <f t="shared" si="40"/>
        <v>63000</v>
      </c>
      <c r="K623" s="171">
        <f t="shared" si="37"/>
        <v>77000</v>
      </c>
      <c r="N623" s="17">
        <f t="shared" si="39"/>
        <v>77000</v>
      </c>
      <c r="O623" s="282" t="s">
        <v>23</v>
      </c>
      <c r="P623" s="20"/>
      <c r="Q623" s="10" t="s">
        <v>54</v>
      </c>
    </row>
    <row r="624" spans="1:17" s="364" customFormat="1" ht="15.6">
      <c r="A624" s="991">
        <v>44523</v>
      </c>
      <c r="B624" s="282" t="s">
        <v>23</v>
      </c>
      <c r="C624" s="283" t="s">
        <v>7981</v>
      </c>
      <c r="D624" s="29" t="s">
        <v>7982</v>
      </c>
      <c r="E624" s="984" t="s">
        <v>8287</v>
      </c>
      <c r="F624" s="984" t="s">
        <v>8288</v>
      </c>
      <c r="G624" s="319">
        <v>2</v>
      </c>
      <c r="H624" s="996">
        <v>121000</v>
      </c>
      <c r="I624" s="86">
        <f t="shared" si="38"/>
        <v>242000</v>
      </c>
      <c r="J624" s="20">
        <f t="shared" si="40"/>
        <v>108900</v>
      </c>
      <c r="K624" s="171">
        <f t="shared" si="37"/>
        <v>133100</v>
      </c>
      <c r="N624" s="17">
        <f t="shared" si="39"/>
        <v>133100</v>
      </c>
      <c r="O624" s="282" t="s">
        <v>23</v>
      </c>
      <c r="P624" s="20"/>
      <c r="Q624" s="10" t="s">
        <v>54</v>
      </c>
    </row>
    <row r="625" spans="1:17" s="364" customFormat="1" ht="15.6">
      <c r="A625" s="991">
        <v>44523</v>
      </c>
      <c r="B625" s="282" t="s">
        <v>23</v>
      </c>
      <c r="C625" s="283" t="s">
        <v>7981</v>
      </c>
      <c r="D625" s="29" t="s">
        <v>7982</v>
      </c>
      <c r="E625" s="984" t="s">
        <v>8289</v>
      </c>
      <c r="F625" s="984" t="s">
        <v>8288</v>
      </c>
      <c r="G625" s="319">
        <v>2</v>
      </c>
      <c r="H625" s="996">
        <v>121000</v>
      </c>
      <c r="I625" s="86">
        <f t="shared" si="38"/>
        <v>242000</v>
      </c>
      <c r="J625" s="20">
        <f t="shared" si="40"/>
        <v>108900</v>
      </c>
      <c r="K625" s="171">
        <f t="shared" si="37"/>
        <v>133100</v>
      </c>
      <c r="N625" s="17">
        <f t="shared" si="39"/>
        <v>133100</v>
      </c>
      <c r="O625" s="282" t="s">
        <v>23</v>
      </c>
      <c r="P625" s="20"/>
      <c r="Q625" s="10" t="s">
        <v>54</v>
      </c>
    </row>
    <row r="626" spans="1:17" s="364" customFormat="1" ht="15.6">
      <c r="A626" s="991">
        <v>44523</v>
      </c>
      <c r="B626" s="282" t="s">
        <v>23</v>
      </c>
      <c r="C626" s="283" t="s">
        <v>7981</v>
      </c>
      <c r="D626" s="29" t="s">
        <v>7982</v>
      </c>
      <c r="E626" s="984" t="s">
        <v>8290</v>
      </c>
      <c r="F626" s="987" t="s">
        <v>8291</v>
      </c>
      <c r="G626" s="319">
        <v>2</v>
      </c>
      <c r="H626" s="999">
        <v>191000</v>
      </c>
      <c r="I626" s="86">
        <f t="shared" si="38"/>
        <v>382000</v>
      </c>
      <c r="J626" s="20">
        <f t="shared" si="40"/>
        <v>171900</v>
      </c>
      <c r="K626" s="171">
        <f t="shared" si="37"/>
        <v>210100</v>
      </c>
      <c r="N626" s="17">
        <f t="shared" si="39"/>
        <v>210100</v>
      </c>
      <c r="O626" s="282" t="s">
        <v>23</v>
      </c>
      <c r="P626" s="20"/>
      <c r="Q626" s="10" t="s">
        <v>54</v>
      </c>
    </row>
    <row r="627" spans="1:17" s="364" customFormat="1" ht="15.6">
      <c r="A627" s="991">
        <v>44523</v>
      </c>
      <c r="B627" s="282" t="s">
        <v>23</v>
      </c>
      <c r="C627" s="283" t="s">
        <v>7981</v>
      </c>
      <c r="D627" s="29" t="s">
        <v>7982</v>
      </c>
      <c r="E627" s="984" t="s">
        <v>8292</v>
      </c>
      <c r="F627" s="987" t="s">
        <v>8293</v>
      </c>
      <c r="G627" s="319">
        <v>2</v>
      </c>
      <c r="H627" s="1001">
        <v>58000</v>
      </c>
      <c r="I627" s="86">
        <f t="shared" si="38"/>
        <v>116000</v>
      </c>
      <c r="J627" s="20">
        <f t="shared" si="40"/>
        <v>52200</v>
      </c>
      <c r="K627" s="171">
        <f t="shared" si="37"/>
        <v>63800</v>
      </c>
      <c r="N627" s="17">
        <f t="shared" si="39"/>
        <v>63800</v>
      </c>
      <c r="O627" s="282" t="s">
        <v>23</v>
      </c>
      <c r="P627" s="20"/>
      <c r="Q627" s="10" t="s">
        <v>54</v>
      </c>
    </row>
    <row r="628" spans="1:17" s="364" customFormat="1" ht="15.6">
      <c r="A628" s="991">
        <v>44523</v>
      </c>
      <c r="B628" s="282" t="s">
        <v>23</v>
      </c>
      <c r="C628" s="283" t="s">
        <v>7981</v>
      </c>
      <c r="D628" s="29" t="s">
        <v>7982</v>
      </c>
      <c r="E628" s="984" t="s">
        <v>1552</v>
      </c>
      <c r="F628" s="984" t="s">
        <v>1553</v>
      </c>
      <c r="G628" s="319">
        <v>2</v>
      </c>
      <c r="H628" s="999">
        <v>166000</v>
      </c>
      <c r="I628" s="86">
        <f t="shared" si="38"/>
        <v>332000</v>
      </c>
      <c r="J628" s="20">
        <f t="shared" si="40"/>
        <v>149400</v>
      </c>
      <c r="K628" s="171">
        <f t="shared" si="37"/>
        <v>182600</v>
      </c>
      <c r="N628" s="17">
        <f t="shared" si="39"/>
        <v>182600</v>
      </c>
      <c r="O628" s="282" t="s">
        <v>23</v>
      </c>
      <c r="P628" s="20"/>
      <c r="Q628" s="10" t="s">
        <v>54</v>
      </c>
    </row>
    <row r="629" spans="1:17" s="364" customFormat="1" ht="15.6">
      <c r="A629" s="991">
        <v>44523</v>
      </c>
      <c r="B629" s="282" t="s">
        <v>23</v>
      </c>
      <c r="C629" s="283" t="s">
        <v>7981</v>
      </c>
      <c r="D629" s="29" t="s">
        <v>7982</v>
      </c>
      <c r="E629" s="984" t="s">
        <v>8294</v>
      </c>
      <c r="F629" s="987" t="s">
        <v>8295</v>
      </c>
      <c r="G629" s="319">
        <v>2</v>
      </c>
      <c r="H629" s="999">
        <v>78000</v>
      </c>
      <c r="I629" s="86">
        <f t="shared" si="38"/>
        <v>156000</v>
      </c>
      <c r="J629" s="20">
        <f t="shared" si="40"/>
        <v>70200</v>
      </c>
      <c r="K629" s="171">
        <f t="shared" si="37"/>
        <v>85800</v>
      </c>
      <c r="N629" s="17">
        <f t="shared" si="39"/>
        <v>85800</v>
      </c>
      <c r="O629" s="282" t="s">
        <v>23</v>
      </c>
      <c r="P629" s="20"/>
      <c r="Q629" s="10" t="s">
        <v>54</v>
      </c>
    </row>
    <row r="630" spans="1:17" s="364" customFormat="1" ht="15.6">
      <c r="A630" s="991">
        <v>44523</v>
      </c>
      <c r="B630" s="282" t="s">
        <v>23</v>
      </c>
      <c r="C630" s="283" t="s">
        <v>7981</v>
      </c>
      <c r="D630" s="29" t="s">
        <v>7982</v>
      </c>
      <c r="E630" s="984" t="s">
        <v>8296</v>
      </c>
      <c r="F630" s="984" t="s">
        <v>5478</v>
      </c>
      <c r="G630" s="319">
        <v>2</v>
      </c>
      <c r="H630" s="999">
        <v>145000</v>
      </c>
      <c r="I630" s="86">
        <f t="shared" si="38"/>
        <v>290000</v>
      </c>
      <c r="J630" s="20">
        <f t="shared" si="40"/>
        <v>130500</v>
      </c>
      <c r="K630" s="171">
        <f t="shared" si="37"/>
        <v>159500</v>
      </c>
      <c r="N630" s="17">
        <f t="shared" si="39"/>
        <v>159500</v>
      </c>
      <c r="O630" s="282" t="s">
        <v>23</v>
      </c>
      <c r="P630" s="20"/>
      <c r="Q630" s="10" t="s">
        <v>54</v>
      </c>
    </row>
    <row r="631" spans="1:17" s="364" customFormat="1" ht="15.6">
      <c r="A631" s="991">
        <v>44523</v>
      </c>
      <c r="B631" s="282" t="s">
        <v>23</v>
      </c>
      <c r="C631" s="283" t="s">
        <v>7981</v>
      </c>
      <c r="D631" s="29" t="s">
        <v>7982</v>
      </c>
      <c r="E631" s="984" t="s">
        <v>8297</v>
      </c>
      <c r="F631" s="987" t="s">
        <v>3734</v>
      </c>
      <c r="G631" s="319">
        <v>2</v>
      </c>
      <c r="H631" s="1001">
        <v>101000</v>
      </c>
      <c r="I631" s="86">
        <f t="shared" si="38"/>
        <v>202000</v>
      </c>
      <c r="J631" s="20">
        <f t="shared" si="40"/>
        <v>90900</v>
      </c>
      <c r="K631" s="171">
        <f t="shared" si="37"/>
        <v>111100</v>
      </c>
      <c r="N631" s="17">
        <f t="shared" si="39"/>
        <v>111100</v>
      </c>
      <c r="O631" s="282" t="s">
        <v>23</v>
      </c>
      <c r="P631" s="20"/>
      <c r="Q631" s="10" t="s">
        <v>54</v>
      </c>
    </row>
    <row r="632" spans="1:17" s="364" customFormat="1" ht="15.6">
      <c r="A632" s="991">
        <v>44523</v>
      </c>
      <c r="B632" s="282" t="s">
        <v>23</v>
      </c>
      <c r="C632" s="283" t="s">
        <v>7981</v>
      </c>
      <c r="D632" s="29" t="s">
        <v>7982</v>
      </c>
      <c r="E632" s="984" t="s">
        <v>8298</v>
      </c>
      <c r="F632" s="984" t="s">
        <v>8299</v>
      </c>
      <c r="G632" s="319">
        <v>2</v>
      </c>
      <c r="H632" s="999">
        <v>101000</v>
      </c>
      <c r="I632" s="86">
        <f t="shared" si="38"/>
        <v>202000</v>
      </c>
      <c r="J632" s="20">
        <f t="shared" si="40"/>
        <v>90900</v>
      </c>
      <c r="K632" s="171">
        <f t="shared" si="37"/>
        <v>111100</v>
      </c>
      <c r="N632" s="17">
        <f t="shared" si="39"/>
        <v>111100</v>
      </c>
      <c r="O632" s="282" t="s">
        <v>23</v>
      </c>
      <c r="P632" s="20"/>
      <c r="Q632" s="10" t="s">
        <v>54</v>
      </c>
    </row>
    <row r="633" spans="1:17" s="364" customFormat="1" ht="15.6">
      <c r="A633" s="991">
        <v>44523</v>
      </c>
      <c r="B633" s="282" t="s">
        <v>23</v>
      </c>
      <c r="C633" s="283" t="s">
        <v>7981</v>
      </c>
      <c r="D633" s="29" t="s">
        <v>7982</v>
      </c>
      <c r="E633" s="984" t="s">
        <v>8300</v>
      </c>
      <c r="F633" s="987" t="s">
        <v>8301</v>
      </c>
      <c r="G633" s="319">
        <v>2</v>
      </c>
      <c r="H633" s="999">
        <v>84000</v>
      </c>
      <c r="I633" s="86">
        <f t="shared" si="38"/>
        <v>168000</v>
      </c>
      <c r="J633" s="20">
        <f t="shared" si="40"/>
        <v>75600</v>
      </c>
      <c r="K633" s="171">
        <f t="shared" si="37"/>
        <v>92400</v>
      </c>
      <c r="N633" s="17">
        <f t="shared" si="39"/>
        <v>92400</v>
      </c>
      <c r="O633" s="282" t="s">
        <v>23</v>
      </c>
      <c r="P633" s="20"/>
      <c r="Q633" s="10" t="s">
        <v>54</v>
      </c>
    </row>
    <row r="634" spans="1:17" s="364" customFormat="1" ht="15.6">
      <c r="A634" s="991">
        <v>44523</v>
      </c>
      <c r="B634" s="282" t="s">
        <v>23</v>
      </c>
      <c r="C634" s="283" t="s">
        <v>7981</v>
      </c>
      <c r="D634" s="29" t="s">
        <v>7982</v>
      </c>
      <c r="E634" s="984" t="s">
        <v>8302</v>
      </c>
      <c r="F634" s="987" t="s">
        <v>1563</v>
      </c>
      <c r="G634" s="319">
        <v>2</v>
      </c>
      <c r="H634" s="999">
        <v>62000</v>
      </c>
      <c r="I634" s="86">
        <f t="shared" si="38"/>
        <v>124000</v>
      </c>
      <c r="J634" s="20">
        <f t="shared" si="40"/>
        <v>55800</v>
      </c>
      <c r="K634" s="171">
        <f t="shared" si="37"/>
        <v>68200</v>
      </c>
      <c r="N634" s="17">
        <f t="shared" si="39"/>
        <v>68200</v>
      </c>
      <c r="O634" s="282" t="s">
        <v>23</v>
      </c>
      <c r="P634" s="20"/>
      <c r="Q634" s="10" t="s">
        <v>54</v>
      </c>
    </row>
    <row r="635" spans="1:17" s="364" customFormat="1" ht="15.6">
      <c r="A635" s="991">
        <v>44523</v>
      </c>
      <c r="B635" s="282" t="s">
        <v>23</v>
      </c>
      <c r="C635" s="283" t="s">
        <v>7981</v>
      </c>
      <c r="D635" s="29" t="s">
        <v>7982</v>
      </c>
      <c r="E635" s="984" t="s">
        <v>3684</v>
      </c>
      <c r="F635" s="984" t="s">
        <v>1053</v>
      </c>
      <c r="G635" s="319">
        <v>2</v>
      </c>
      <c r="H635" s="999">
        <v>87000</v>
      </c>
      <c r="I635" s="86">
        <f t="shared" si="38"/>
        <v>174000</v>
      </c>
      <c r="J635" s="20">
        <f t="shared" si="40"/>
        <v>78300</v>
      </c>
      <c r="K635" s="171">
        <f t="shared" si="37"/>
        <v>95700</v>
      </c>
      <c r="N635" s="17">
        <f t="shared" si="39"/>
        <v>95700</v>
      </c>
      <c r="O635" s="282" t="s">
        <v>23</v>
      </c>
      <c r="P635" s="20"/>
      <c r="Q635" s="10" t="s">
        <v>54</v>
      </c>
    </row>
    <row r="636" spans="1:17" s="364" customFormat="1" ht="15.6">
      <c r="A636" s="991">
        <v>44523</v>
      </c>
      <c r="B636" s="282" t="s">
        <v>23</v>
      </c>
      <c r="C636" s="283" t="s">
        <v>7981</v>
      </c>
      <c r="D636" s="29" t="s">
        <v>7982</v>
      </c>
      <c r="E636" s="984" t="s">
        <v>1052</v>
      </c>
      <c r="F636" s="984" t="s">
        <v>1053</v>
      </c>
      <c r="G636" s="319">
        <v>2</v>
      </c>
      <c r="H636" s="1001">
        <v>98000</v>
      </c>
      <c r="I636" s="86">
        <f t="shared" si="38"/>
        <v>196000</v>
      </c>
      <c r="J636" s="20">
        <f t="shared" si="40"/>
        <v>88200</v>
      </c>
      <c r="K636" s="171">
        <f t="shared" si="37"/>
        <v>107800</v>
      </c>
      <c r="N636" s="17">
        <f t="shared" si="39"/>
        <v>107800</v>
      </c>
      <c r="O636" s="282" t="s">
        <v>23</v>
      </c>
      <c r="P636" s="20"/>
      <c r="Q636" s="10" t="s">
        <v>54</v>
      </c>
    </row>
    <row r="637" spans="1:17" s="364" customFormat="1" ht="15.6">
      <c r="A637" s="991">
        <v>44523</v>
      </c>
      <c r="B637" s="282" t="s">
        <v>23</v>
      </c>
      <c r="C637" s="283" t="s">
        <v>7981</v>
      </c>
      <c r="D637" s="29" t="s">
        <v>7982</v>
      </c>
      <c r="E637" s="984" t="s">
        <v>8303</v>
      </c>
      <c r="F637" s="987" t="s">
        <v>7824</v>
      </c>
      <c r="G637" s="319">
        <v>2</v>
      </c>
      <c r="H637" s="999">
        <v>138000</v>
      </c>
      <c r="I637" s="86">
        <f t="shared" si="38"/>
        <v>276000</v>
      </c>
      <c r="J637" s="20">
        <f t="shared" si="40"/>
        <v>124200</v>
      </c>
      <c r="K637" s="171">
        <f t="shared" si="37"/>
        <v>151800</v>
      </c>
      <c r="N637" s="17">
        <f t="shared" si="39"/>
        <v>151800</v>
      </c>
      <c r="O637" s="282" t="s">
        <v>23</v>
      </c>
      <c r="P637" s="20"/>
      <c r="Q637" s="10" t="s">
        <v>54</v>
      </c>
    </row>
    <row r="638" spans="1:17" s="364" customFormat="1" ht="15.6">
      <c r="A638" s="991">
        <v>44523</v>
      </c>
      <c r="B638" s="282" t="s">
        <v>23</v>
      </c>
      <c r="C638" s="283" t="s">
        <v>7981</v>
      </c>
      <c r="D638" s="29" t="s">
        <v>7982</v>
      </c>
      <c r="E638" s="984" t="s">
        <v>6856</v>
      </c>
      <c r="F638" s="984" t="s">
        <v>6857</v>
      </c>
      <c r="G638" s="319">
        <v>2</v>
      </c>
      <c r="H638" s="999">
        <v>62000</v>
      </c>
      <c r="I638" s="86">
        <f t="shared" si="38"/>
        <v>124000</v>
      </c>
      <c r="J638" s="20">
        <f t="shared" si="40"/>
        <v>55800</v>
      </c>
      <c r="K638" s="171">
        <f t="shared" si="37"/>
        <v>68200</v>
      </c>
      <c r="N638" s="17">
        <f t="shared" si="39"/>
        <v>68200</v>
      </c>
      <c r="O638" s="282" t="s">
        <v>23</v>
      </c>
      <c r="P638" s="20"/>
      <c r="Q638" s="10" t="s">
        <v>54</v>
      </c>
    </row>
    <row r="639" spans="1:17" s="364" customFormat="1" ht="15.6">
      <c r="A639" s="991">
        <v>44523</v>
      </c>
      <c r="B639" s="282" t="s">
        <v>23</v>
      </c>
      <c r="C639" s="283" t="s">
        <v>7981</v>
      </c>
      <c r="D639" s="29" t="s">
        <v>7982</v>
      </c>
      <c r="E639" s="984" t="s">
        <v>8304</v>
      </c>
      <c r="F639" s="984" t="s">
        <v>8305</v>
      </c>
      <c r="G639" s="319">
        <v>2</v>
      </c>
      <c r="H639" s="999">
        <v>120000</v>
      </c>
      <c r="I639" s="86">
        <f t="shared" si="38"/>
        <v>240000</v>
      </c>
      <c r="J639" s="20">
        <f t="shared" si="40"/>
        <v>108000</v>
      </c>
      <c r="K639" s="171">
        <f t="shared" si="37"/>
        <v>132000</v>
      </c>
      <c r="N639" s="17">
        <f t="shared" si="39"/>
        <v>132000</v>
      </c>
      <c r="O639" s="282" t="s">
        <v>23</v>
      </c>
      <c r="P639" s="20"/>
      <c r="Q639" s="10" t="s">
        <v>54</v>
      </c>
    </row>
    <row r="640" spans="1:17" s="364" customFormat="1" ht="15.6">
      <c r="A640" s="991">
        <v>44523</v>
      </c>
      <c r="B640" s="282" t="s">
        <v>23</v>
      </c>
      <c r="C640" s="283" t="s">
        <v>7981</v>
      </c>
      <c r="D640" s="29" t="s">
        <v>7982</v>
      </c>
      <c r="E640" s="984" t="s">
        <v>8306</v>
      </c>
      <c r="F640" s="987" t="s">
        <v>813</v>
      </c>
      <c r="G640" s="319">
        <v>2</v>
      </c>
      <c r="H640" s="999">
        <v>73000</v>
      </c>
      <c r="I640" s="86">
        <f t="shared" si="38"/>
        <v>146000</v>
      </c>
      <c r="J640" s="20">
        <f t="shared" si="40"/>
        <v>65700</v>
      </c>
      <c r="K640" s="171">
        <f t="shared" si="37"/>
        <v>80300</v>
      </c>
      <c r="N640" s="17">
        <f t="shared" si="39"/>
        <v>80300</v>
      </c>
      <c r="O640" s="282" t="s">
        <v>23</v>
      </c>
      <c r="P640" s="20"/>
      <c r="Q640" s="10" t="s">
        <v>54</v>
      </c>
    </row>
    <row r="641" spans="1:17" s="364" customFormat="1" ht="15.6">
      <c r="A641" s="991">
        <v>44523</v>
      </c>
      <c r="B641" s="282" t="s">
        <v>23</v>
      </c>
      <c r="C641" s="283" t="s">
        <v>7981</v>
      </c>
      <c r="D641" s="29" t="s">
        <v>7982</v>
      </c>
      <c r="E641" s="984" t="s">
        <v>8307</v>
      </c>
      <c r="F641" s="984" t="s">
        <v>1051</v>
      </c>
      <c r="G641" s="319">
        <v>2</v>
      </c>
      <c r="H641" s="996">
        <v>61000</v>
      </c>
      <c r="I641" s="86">
        <f t="shared" si="38"/>
        <v>122000</v>
      </c>
      <c r="J641" s="20">
        <f t="shared" si="40"/>
        <v>54900</v>
      </c>
      <c r="K641" s="171">
        <f t="shared" si="37"/>
        <v>67100</v>
      </c>
      <c r="N641" s="17">
        <f t="shared" si="39"/>
        <v>67100</v>
      </c>
      <c r="O641" s="282" t="s">
        <v>23</v>
      </c>
      <c r="P641" s="20"/>
      <c r="Q641" s="10" t="s">
        <v>54</v>
      </c>
    </row>
    <row r="642" spans="1:17" s="364" customFormat="1" ht="15.6">
      <c r="A642" s="991">
        <v>44523</v>
      </c>
      <c r="B642" s="282" t="s">
        <v>23</v>
      </c>
      <c r="C642" s="283" t="s">
        <v>7981</v>
      </c>
      <c r="D642" s="29" t="s">
        <v>7982</v>
      </c>
      <c r="E642" s="984" t="s">
        <v>7821</v>
      </c>
      <c r="F642" s="987" t="s">
        <v>7822</v>
      </c>
      <c r="G642" s="319">
        <v>2</v>
      </c>
      <c r="H642" s="996">
        <v>83000</v>
      </c>
      <c r="I642" s="86">
        <f t="shared" si="38"/>
        <v>166000</v>
      </c>
      <c r="J642" s="20">
        <f t="shared" si="40"/>
        <v>74700</v>
      </c>
      <c r="K642" s="171">
        <f t="shared" si="37"/>
        <v>91300</v>
      </c>
      <c r="N642" s="17">
        <f t="shared" si="39"/>
        <v>91300</v>
      </c>
      <c r="O642" s="282" t="s">
        <v>23</v>
      </c>
      <c r="P642" s="20"/>
      <c r="Q642" s="10" t="s">
        <v>54</v>
      </c>
    </row>
    <row r="643" spans="1:17" s="364" customFormat="1" ht="15.6">
      <c r="A643" s="991">
        <v>44523</v>
      </c>
      <c r="B643" s="282" t="s">
        <v>23</v>
      </c>
      <c r="C643" s="283" t="s">
        <v>7981</v>
      </c>
      <c r="D643" s="29" t="s">
        <v>7982</v>
      </c>
      <c r="E643" s="984" t="s">
        <v>3928</v>
      </c>
      <c r="F643" s="987" t="s">
        <v>3929</v>
      </c>
      <c r="G643" s="319">
        <v>2</v>
      </c>
      <c r="H643" s="999">
        <v>262000</v>
      </c>
      <c r="I643" s="86">
        <f t="shared" si="38"/>
        <v>524000</v>
      </c>
      <c r="J643" s="20">
        <f t="shared" si="40"/>
        <v>235800</v>
      </c>
      <c r="K643" s="171">
        <f t="shared" si="37"/>
        <v>288200</v>
      </c>
      <c r="N643" s="17">
        <f t="shared" si="39"/>
        <v>288200</v>
      </c>
      <c r="O643" s="282" t="s">
        <v>23</v>
      </c>
      <c r="P643" s="20"/>
      <c r="Q643" s="10" t="s">
        <v>54</v>
      </c>
    </row>
    <row r="644" spans="1:17" s="364" customFormat="1">
      <c r="A644" s="991">
        <v>44523</v>
      </c>
      <c r="B644" s="282" t="s">
        <v>23</v>
      </c>
      <c r="C644" s="283" t="s">
        <v>7981</v>
      </c>
      <c r="D644" s="29" t="s">
        <v>7982</v>
      </c>
      <c r="E644" s="984" t="s">
        <v>8308</v>
      </c>
      <c r="F644" s="987" t="s">
        <v>8309</v>
      </c>
      <c r="G644" s="319">
        <v>2</v>
      </c>
      <c r="H644" s="998">
        <v>59000</v>
      </c>
      <c r="I644" s="86">
        <f t="shared" si="38"/>
        <v>118000</v>
      </c>
      <c r="J644" s="20">
        <f t="shared" si="40"/>
        <v>53100</v>
      </c>
      <c r="K644" s="171">
        <f t="shared" ref="K644:K707" si="41">I644-J644</f>
        <v>64900</v>
      </c>
      <c r="N644" s="17">
        <f t="shared" si="39"/>
        <v>64900</v>
      </c>
      <c r="O644" s="282" t="s">
        <v>23</v>
      </c>
      <c r="P644" s="20"/>
      <c r="Q644" s="10" t="s">
        <v>54</v>
      </c>
    </row>
    <row r="645" spans="1:17" s="364" customFormat="1">
      <c r="A645" s="991">
        <v>44523</v>
      </c>
      <c r="B645" s="282" t="s">
        <v>23</v>
      </c>
      <c r="C645" s="283" t="s">
        <v>7981</v>
      </c>
      <c r="D645" s="29" t="s">
        <v>7982</v>
      </c>
      <c r="E645" s="984" t="s">
        <v>8310</v>
      </c>
      <c r="F645" s="987" t="s">
        <v>8311</v>
      </c>
      <c r="G645" s="319">
        <v>2</v>
      </c>
      <c r="H645" s="998">
        <v>215000</v>
      </c>
      <c r="I645" s="86">
        <f t="shared" ref="I645:I708" si="42">H645*G645</f>
        <v>430000</v>
      </c>
      <c r="J645" s="20">
        <f t="shared" si="40"/>
        <v>193500</v>
      </c>
      <c r="K645" s="171">
        <f t="shared" si="41"/>
        <v>236500</v>
      </c>
      <c r="N645" s="17">
        <f t="shared" si="39"/>
        <v>236500</v>
      </c>
      <c r="O645" s="282" t="s">
        <v>23</v>
      </c>
      <c r="P645" s="20"/>
      <c r="Q645" s="10" t="s">
        <v>54</v>
      </c>
    </row>
    <row r="646" spans="1:17" s="364" customFormat="1">
      <c r="A646" s="991">
        <v>44523</v>
      </c>
      <c r="B646" s="282" t="s">
        <v>23</v>
      </c>
      <c r="C646" s="283" t="s">
        <v>7981</v>
      </c>
      <c r="D646" s="29" t="s">
        <v>7982</v>
      </c>
      <c r="E646" s="984" t="s">
        <v>5333</v>
      </c>
      <c r="F646" s="984" t="s">
        <v>5334</v>
      </c>
      <c r="G646" s="319">
        <v>2</v>
      </c>
      <c r="H646" s="998">
        <v>72000</v>
      </c>
      <c r="I646" s="86">
        <f t="shared" si="42"/>
        <v>144000</v>
      </c>
      <c r="J646" s="20">
        <f t="shared" si="40"/>
        <v>64800</v>
      </c>
      <c r="K646" s="171">
        <f t="shared" si="41"/>
        <v>79200</v>
      </c>
      <c r="N646" s="17">
        <f t="shared" si="39"/>
        <v>79200</v>
      </c>
      <c r="O646" s="282" t="s">
        <v>23</v>
      </c>
      <c r="P646" s="20"/>
      <c r="Q646" s="10" t="s">
        <v>54</v>
      </c>
    </row>
    <row r="647" spans="1:17" s="364" customFormat="1">
      <c r="A647" s="991">
        <v>44523</v>
      </c>
      <c r="B647" s="282" t="s">
        <v>23</v>
      </c>
      <c r="C647" s="283" t="s">
        <v>7981</v>
      </c>
      <c r="D647" s="29" t="s">
        <v>7982</v>
      </c>
      <c r="E647" s="984" t="s">
        <v>8312</v>
      </c>
      <c r="F647" s="984" t="s">
        <v>4641</v>
      </c>
      <c r="G647" s="319">
        <v>2</v>
      </c>
      <c r="H647" s="998">
        <v>72000</v>
      </c>
      <c r="I647" s="86">
        <f t="shared" si="42"/>
        <v>144000</v>
      </c>
      <c r="J647" s="20">
        <f t="shared" si="40"/>
        <v>64800</v>
      </c>
      <c r="K647" s="171">
        <f t="shared" si="41"/>
        <v>79200</v>
      </c>
      <c r="N647" s="17">
        <f t="shared" si="39"/>
        <v>79200</v>
      </c>
      <c r="O647" s="282" t="s">
        <v>23</v>
      </c>
      <c r="P647" s="20"/>
      <c r="Q647" s="10" t="s">
        <v>54</v>
      </c>
    </row>
    <row r="648" spans="1:17" s="364" customFormat="1">
      <c r="A648" s="991">
        <v>44523</v>
      </c>
      <c r="B648" s="282" t="s">
        <v>23</v>
      </c>
      <c r="C648" s="283" t="s">
        <v>7981</v>
      </c>
      <c r="D648" s="29" t="s">
        <v>7982</v>
      </c>
      <c r="E648" s="984" t="s">
        <v>5812</v>
      </c>
      <c r="F648" s="987" t="s">
        <v>5813</v>
      </c>
      <c r="G648" s="319">
        <v>2</v>
      </c>
      <c r="H648" s="998">
        <v>37000</v>
      </c>
      <c r="I648" s="86">
        <f t="shared" si="42"/>
        <v>74000</v>
      </c>
      <c r="J648" s="20">
        <f t="shared" si="40"/>
        <v>33300</v>
      </c>
      <c r="K648" s="171">
        <f t="shared" si="41"/>
        <v>40700</v>
      </c>
      <c r="N648" s="17">
        <f t="shared" si="39"/>
        <v>40700</v>
      </c>
      <c r="O648" s="282" t="s">
        <v>23</v>
      </c>
      <c r="P648" s="20"/>
      <c r="Q648" s="10" t="s">
        <v>54</v>
      </c>
    </row>
    <row r="649" spans="1:17" s="364" customFormat="1">
      <c r="A649" s="991">
        <v>44523</v>
      </c>
      <c r="B649" s="282" t="s">
        <v>23</v>
      </c>
      <c r="C649" s="283" t="s">
        <v>7981</v>
      </c>
      <c r="D649" s="29" t="s">
        <v>7982</v>
      </c>
      <c r="E649" s="984" t="s">
        <v>8313</v>
      </c>
      <c r="F649" s="984" t="s">
        <v>8314</v>
      </c>
      <c r="G649" s="319">
        <v>2</v>
      </c>
      <c r="H649" s="998">
        <v>99000</v>
      </c>
      <c r="I649" s="86">
        <f t="shared" si="42"/>
        <v>198000</v>
      </c>
      <c r="J649" s="20">
        <f t="shared" si="40"/>
        <v>89100</v>
      </c>
      <c r="K649" s="171">
        <f t="shared" si="41"/>
        <v>108900</v>
      </c>
      <c r="N649" s="17">
        <f t="shared" si="39"/>
        <v>108900</v>
      </c>
      <c r="O649" s="282" t="s">
        <v>23</v>
      </c>
      <c r="P649" s="20"/>
      <c r="Q649" s="10" t="s">
        <v>54</v>
      </c>
    </row>
    <row r="650" spans="1:17" s="364" customFormat="1">
      <c r="A650" s="991">
        <v>44523</v>
      </c>
      <c r="B650" s="282" t="s">
        <v>23</v>
      </c>
      <c r="C650" s="283" t="s">
        <v>7981</v>
      </c>
      <c r="D650" s="29" t="s">
        <v>7982</v>
      </c>
      <c r="E650" s="984" t="s">
        <v>8315</v>
      </c>
      <c r="F650" s="984" t="s">
        <v>8316</v>
      </c>
      <c r="G650" s="319">
        <v>2</v>
      </c>
      <c r="H650" s="998">
        <v>129000</v>
      </c>
      <c r="I650" s="86">
        <f t="shared" si="42"/>
        <v>258000</v>
      </c>
      <c r="J650" s="20">
        <f t="shared" si="40"/>
        <v>116100</v>
      </c>
      <c r="K650" s="171">
        <f t="shared" si="41"/>
        <v>141900</v>
      </c>
      <c r="N650" s="17">
        <f t="shared" si="39"/>
        <v>141900</v>
      </c>
      <c r="O650" s="282" t="s">
        <v>23</v>
      </c>
      <c r="P650" s="20"/>
      <c r="Q650" s="10" t="s">
        <v>54</v>
      </c>
    </row>
    <row r="651" spans="1:17" s="364" customFormat="1">
      <c r="A651" s="991">
        <v>44523</v>
      </c>
      <c r="B651" s="282" t="s">
        <v>23</v>
      </c>
      <c r="C651" s="283" t="s">
        <v>7981</v>
      </c>
      <c r="D651" s="29" t="s">
        <v>7982</v>
      </c>
      <c r="E651" s="984" t="s">
        <v>8317</v>
      </c>
      <c r="F651" s="987" t="s">
        <v>8318</v>
      </c>
      <c r="G651" s="319">
        <v>2</v>
      </c>
      <c r="H651" s="998">
        <v>114000</v>
      </c>
      <c r="I651" s="86">
        <f t="shared" si="42"/>
        <v>228000</v>
      </c>
      <c r="J651" s="20">
        <f t="shared" si="40"/>
        <v>102600</v>
      </c>
      <c r="K651" s="171">
        <f t="shared" si="41"/>
        <v>125400</v>
      </c>
      <c r="N651" s="17">
        <f t="shared" si="39"/>
        <v>125400</v>
      </c>
      <c r="O651" s="282" t="s">
        <v>23</v>
      </c>
      <c r="P651" s="20"/>
      <c r="Q651" s="10" t="s">
        <v>54</v>
      </c>
    </row>
    <row r="652" spans="1:17" s="364" customFormat="1" ht="15.6">
      <c r="A652" s="991">
        <v>44523</v>
      </c>
      <c r="B652" s="282" t="s">
        <v>23</v>
      </c>
      <c r="C652" s="283" t="s">
        <v>7981</v>
      </c>
      <c r="D652" s="29" t="s">
        <v>7982</v>
      </c>
      <c r="E652" s="984" t="s">
        <v>3875</v>
      </c>
      <c r="F652" s="984" t="s">
        <v>3876</v>
      </c>
      <c r="G652" s="319">
        <v>2</v>
      </c>
      <c r="H652" s="996">
        <v>109000</v>
      </c>
      <c r="I652" s="86">
        <f t="shared" si="42"/>
        <v>218000</v>
      </c>
      <c r="J652" s="20">
        <f t="shared" si="40"/>
        <v>98100</v>
      </c>
      <c r="K652" s="171">
        <f t="shared" si="41"/>
        <v>119900</v>
      </c>
      <c r="N652" s="17">
        <f t="shared" si="39"/>
        <v>119900</v>
      </c>
      <c r="O652" s="282" t="s">
        <v>23</v>
      </c>
      <c r="P652" s="20"/>
      <c r="Q652" s="10" t="s">
        <v>54</v>
      </c>
    </row>
    <row r="653" spans="1:17" s="364" customFormat="1" ht="15.6">
      <c r="A653" s="991">
        <v>44523</v>
      </c>
      <c r="B653" s="282" t="s">
        <v>23</v>
      </c>
      <c r="C653" s="283" t="s">
        <v>7981</v>
      </c>
      <c r="D653" s="29" t="s">
        <v>7982</v>
      </c>
      <c r="E653" s="984" t="s">
        <v>6836</v>
      </c>
      <c r="F653" s="987" t="s">
        <v>6837</v>
      </c>
      <c r="G653" s="319">
        <v>2</v>
      </c>
      <c r="H653" s="999">
        <v>95000</v>
      </c>
      <c r="I653" s="86">
        <f t="shared" si="42"/>
        <v>190000</v>
      </c>
      <c r="J653" s="20">
        <f t="shared" si="40"/>
        <v>85500</v>
      </c>
      <c r="K653" s="171">
        <f t="shared" si="41"/>
        <v>104500</v>
      </c>
      <c r="N653" s="17">
        <f t="shared" si="39"/>
        <v>104500</v>
      </c>
      <c r="O653" s="282" t="s">
        <v>23</v>
      </c>
      <c r="P653" s="20"/>
      <c r="Q653" s="10" t="s">
        <v>54</v>
      </c>
    </row>
    <row r="654" spans="1:17" s="364" customFormat="1" ht="15.6">
      <c r="A654" s="991">
        <v>44523</v>
      </c>
      <c r="B654" s="282" t="s">
        <v>23</v>
      </c>
      <c r="C654" s="283" t="s">
        <v>7981</v>
      </c>
      <c r="D654" s="29" t="s">
        <v>7982</v>
      </c>
      <c r="E654" s="984" t="s">
        <v>6119</v>
      </c>
      <c r="F654" s="987" t="s">
        <v>6120</v>
      </c>
      <c r="G654" s="319">
        <v>2</v>
      </c>
      <c r="H654" s="996">
        <v>84000</v>
      </c>
      <c r="I654" s="86">
        <f t="shared" si="42"/>
        <v>168000</v>
      </c>
      <c r="J654" s="20">
        <f t="shared" si="40"/>
        <v>75600</v>
      </c>
      <c r="K654" s="171">
        <f t="shared" si="41"/>
        <v>92400</v>
      </c>
      <c r="N654" s="17">
        <f t="shared" si="39"/>
        <v>92400</v>
      </c>
      <c r="O654" s="282" t="s">
        <v>23</v>
      </c>
      <c r="P654" s="20"/>
      <c r="Q654" s="10" t="s">
        <v>54</v>
      </c>
    </row>
    <row r="655" spans="1:17" s="364" customFormat="1" ht="15.6">
      <c r="A655" s="991">
        <v>44523</v>
      </c>
      <c r="B655" s="282" t="s">
        <v>23</v>
      </c>
      <c r="C655" s="283" t="s">
        <v>7981</v>
      </c>
      <c r="D655" s="29" t="s">
        <v>7982</v>
      </c>
      <c r="E655" s="984" t="s">
        <v>8319</v>
      </c>
      <c r="F655" s="984" t="s">
        <v>8320</v>
      </c>
      <c r="G655" s="319">
        <v>2</v>
      </c>
      <c r="H655" s="999">
        <v>93000</v>
      </c>
      <c r="I655" s="86">
        <f t="shared" si="42"/>
        <v>186000</v>
      </c>
      <c r="J655" s="20">
        <f t="shared" si="40"/>
        <v>83700</v>
      </c>
      <c r="K655" s="171">
        <f t="shared" si="41"/>
        <v>102300</v>
      </c>
      <c r="N655" s="17">
        <f t="shared" si="39"/>
        <v>102300</v>
      </c>
      <c r="O655" s="282" t="s">
        <v>23</v>
      </c>
      <c r="P655" s="20"/>
      <c r="Q655" s="10" t="s">
        <v>54</v>
      </c>
    </row>
    <row r="656" spans="1:17" s="364" customFormat="1" ht="15.6">
      <c r="A656" s="991">
        <v>44523</v>
      </c>
      <c r="B656" s="282" t="s">
        <v>23</v>
      </c>
      <c r="C656" s="283" t="s">
        <v>7981</v>
      </c>
      <c r="D656" s="29" t="s">
        <v>7982</v>
      </c>
      <c r="E656" s="984" t="s">
        <v>4889</v>
      </c>
      <c r="F656" s="987" t="s">
        <v>4890</v>
      </c>
      <c r="G656" s="319">
        <v>2</v>
      </c>
      <c r="H656" s="999">
        <v>81500</v>
      </c>
      <c r="I656" s="86">
        <f t="shared" si="42"/>
        <v>163000</v>
      </c>
      <c r="J656" s="20">
        <f t="shared" si="40"/>
        <v>73350</v>
      </c>
      <c r="K656" s="171">
        <f t="shared" si="41"/>
        <v>89650</v>
      </c>
      <c r="N656" s="17">
        <f t="shared" si="39"/>
        <v>89650</v>
      </c>
      <c r="O656" s="282" t="s">
        <v>23</v>
      </c>
      <c r="P656" s="20"/>
      <c r="Q656" s="10" t="s">
        <v>54</v>
      </c>
    </row>
    <row r="657" spans="1:17" s="364" customFormat="1" ht="15.6">
      <c r="A657" s="991">
        <v>44523</v>
      </c>
      <c r="B657" s="282" t="s">
        <v>23</v>
      </c>
      <c r="C657" s="283" t="s">
        <v>7981</v>
      </c>
      <c r="D657" s="29" t="s">
        <v>7982</v>
      </c>
      <c r="E657" s="984" t="s">
        <v>8321</v>
      </c>
      <c r="F657" s="984" t="s">
        <v>8322</v>
      </c>
      <c r="G657" s="319">
        <v>2</v>
      </c>
      <c r="H657" s="999">
        <v>72000</v>
      </c>
      <c r="I657" s="86">
        <f t="shared" si="42"/>
        <v>144000</v>
      </c>
      <c r="J657" s="20">
        <f t="shared" si="40"/>
        <v>64800</v>
      </c>
      <c r="K657" s="171">
        <f t="shared" si="41"/>
        <v>79200</v>
      </c>
      <c r="N657" s="17">
        <f t="shared" si="39"/>
        <v>79200</v>
      </c>
      <c r="O657" s="282" t="s">
        <v>23</v>
      </c>
      <c r="P657" s="20"/>
      <c r="Q657" s="10" t="s">
        <v>54</v>
      </c>
    </row>
    <row r="658" spans="1:17" s="364" customFormat="1">
      <c r="A658" s="991">
        <v>44523</v>
      </c>
      <c r="B658" s="282" t="s">
        <v>23</v>
      </c>
      <c r="C658" s="283" t="s">
        <v>7981</v>
      </c>
      <c r="D658" s="29" t="s">
        <v>7982</v>
      </c>
      <c r="E658" s="984" t="s">
        <v>8308</v>
      </c>
      <c r="F658" s="987" t="s">
        <v>8309</v>
      </c>
      <c r="G658" s="319">
        <v>2</v>
      </c>
      <c r="H658" s="998">
        <v>59000</v>
      </c>
      <c r="I658" s="86">
        <f t="shared" si="42"/>
        <v>118000</v>
      </c>
      <c r="J658" s="20">
        <f t="shared" si="40"/>
        <v>53100</v>
      </c>
      <c r="K658" s="171">
        <f t="shared" si="41"/>
        <v>64900</v>
      </c>
      <c r="N658" s="17">
        <f t="shared" si="39"/>
        <v>64900</v>
      </c>
      <c r="O658" s="282" t="s">
        <v>23</v>
      </c>
      <c r="P658" s="20"/>
      <c r="Q658" s="10" t="s">
        <v>54</v>
      </c>
    </row>
    <row r="659" spans="1:17" s="364" customFormat="1">
      <c r="A659" s="991">
        <v>44523</v>
      </c>
      <c r="B659" s="282" t="s">
        <v>23</v>
      </c>
      <c r="C659" s="283" t="s">
        <v>7981</v>
      </c>
      <c r="D659" s="29" t="s">
        <v>7982</v>
      </c>
      <c r="E659" s="984" t="s">
        <v>8310</v>
      </c>
      <c r="F659" s="987" t="s">
        <v>8311</v>
      </c>
      <c r="G659" s="319">
        <v>2</v>
      </c>
      <c r="H659" s="998">
        <v>215000</v>
      </c>
      <c r="I659" s="86">
        <f t="shared" si="42"/>
        <v>430000</v>
      </c>
      <c r="J659" s="20">
        <f t="shared" si="40"/>
        <v>193500</v>
      </c>
      <c r="K659" s="171">
        <f t="shared" si="41"/>
        <v>236500</v>
      </c>
      <c r="N659" s="17">
        <f t="shared" si="39"/>
        <v>236500</v>
      </c>
      <c r="O659" s="282" t="s">
        <v>23</v>
      </c>
      <c r="P659" s="20"/>
      <c r="Q659" s="10" t="s">
        <v>54</v>
      </c>
    </row>
    <row r="660" spans="1:17" s="364" customFormat="1">
      <c r="A660" s="991">
        <v>44523</v>
      </c>
      <c r="B660" s="282" t="s">
        <v>23</v>
      </c>
      <c r="C660" s="283" t="s">
        <v>7981</v>
      </c>
      <c r="D660" s="29" t="s">
        <v>7982</v>
      </c>
      <c r="E660" s="984" t="s">
        <v>5333</v>
      </c>
      <c r="F660" s="984" t="s">
        <v>5334</v>
      </c>
      <c r="G660" s="319">
        <v>2</v>
      </c>
      <c r="H660" s="998">
        <v>72000</v>
      </c>
      <c r="I660" s="86">
        <f t="shared" si="42"/>
        <v>144000</v>
      </c>
      <c r="J660" s="20">
        <f t="shared" si="40"/>
        <v>64800</v>
      </c>
      <c r="K660" s="171">
        <f t="shared" si="41"/>
        <v>79200</v>
      </c>
      <c r="N660" s="17">
        <f t="shared" si="39"/>
        <v>79200</v>
      </c>
      <c r="O660" s="282" t="s">
        <v>23</v>
      </c>
      <c r="P660" s="20"/>
      <c r="Q660" s="10" t="s">
        <v>54</v>
      </c>
    </row>
    <row r="661" spans="1:17" s="364" customFormat="1">
      <c r="A661" s="991">
        <v>44523</v>
      </c>
      <c r="B661" s="282" t="s">
        <v>23</v>
      </c>
      <c r="C661" s="283" t="s">
        <v>7981</v>
      </c>
      <c r="D661" s="29" t="s">
        <v>7982</v>
      </c>
      <c r="E661" s="984" t="s">
        <v>8312</v>
      </c>
      <c r="F661" s="984" t="s">
        <v>4641</v>
      </c>
      <c r="G661" s="319">
        <v>2</v>
      </c>
      <c r="H661" s="998">
        <v>72000</v>
      </c>
      <c r="I661" s="86">
        <f t="shared" si="42"/>
        <v>144000</v>
      </c>
      <c r="J661" s="20">
        <f t="shared" si="40"/>
        <v>64800</v>
      </c>
      <c r="K661" s="171">
        <f t="shared" si="41"/>
        <v>79200</v>
      </c>
      <c r="N661" s="17">
        <f t="shared" si="39"/>
        <v>79200</v>
      </c>
      <c r="O661" s="282" t="s">
        <v>23</v>
      </c>
      <c r="P661" s="20"/>
      <c r="Q661" s="10" t="s">
        <v>54</v>
      </c>
    </row>
    <row r="662" spans="1:17" s="364" customFormat="1">
      <c r="A662" s="991">
        <v>44523</v>
      </c>
      <c r="B662" s="282" t="s">
        <v>23</v>
      </c>
      <c r="C662" s="283" t="s">
        <v>7981</v>
      </c>
      <c r="D662" s="29" t="s">
        <v>7982</v>
      </c>
      <c r="E662" s="984" t="s">
        <v>5812</v>
      </c>
      <c r="F662" s="987" t="s">
        <v>5813</v>
      </c>
      <c r="G662" s="319">
        <v>2</v>
      </c>
      <c r="H662" s="998">
        <v>37000</v>
      </c>
      <c r="I662" s="86">
        <f t="shared" si="42"/>
        <v>74000</v>
      </c>
      <c r="J662" s="20">
        <f t="shared" si="40"/>
        <v>33300</v>
      </c>
      <c r="K662" s="171">
        <f t="shared" si="41"/>
        <v>40700</v>
      </c>
      <c r="N662" s="17">
        <f t="shared" si="39"/>
        <v>40700</v>
      </c>
      <c r="O662" s="282" t="s">
        <v>23</v>
      </c>
      <c r="P662" s="20"/>
      <c r="Q662" s="10" t="s">
        <v>54</v>
      </c>
    </row>
    <row r="663" spans="1:17" s="364" customFormat="1">
      <c r="A663" s="991">
        <v>44523</v>
      </c>
      <c r="B663" s="282" t="s">
        <v>23</v>
      </c>
      <c r="C663" s="283" t="s">
        <v>7981</v>
      </c>
      <c r="D663" s="29" t="s">
        <v>7982</v>
      </c>
      <c r="E663" s="984" t="s">
        <v>8313</v>
      </c>
      <c r="F663" s="984" t="s">
        <v>8314</v>
      </c>
      <c r="G663" s="319">
        <v>2</v>
      </c>
      <c r="H663" s="998">
        <v>99000</v>
      </c>
      <c r="I663" s="86">
        <f t="shared" si="42"/>
        <v>198000</v>
      </c>
      <c r="J663" s="20">
        <f t="shared" si="40"/>
        <v>89100</v>
      </c>
      <c r="K663" s="171">
        <f t="shared" si="41"/>
        <v>108900</v>
      </c>
      <c r="N663" s="17">
        <f t="shared" si="39"/>
        <v>108900</v>
      </c>
      <c r="O663" s="282" t="s">
        <v>23</v>
      </c>
      <c r="P663" s="20"/>
      <c r="Q663" s="10" t="s">
        <v>54</v>
      </c>
    </row>
    <row r="664" spans="1:17" s="364" customFormat="1">
      <c r="A664" s="991">
        <v>44523</v>
      </c>
      <c r="B664" s="282" t="s">
        <v>23</v>
      </c>
      <c r="C664" s="283" t="s">
        <v>7981</v>
      </c>
      <c r="D664" s="29" t="s">
        <v>7982</v>
      </c>
      <c r="E664" s="984" t="s">
        <v>8315</v>
      </c>
      <c r="F664" s="984" t="s">
        <v>8316</v>
      </c>
      <c r="G664" s="319">
        <v>2</v>
      </c>
      <c r="H664" s="998">
        <v>129000</v>
      </c>
      <c r="I664" s="86">
        <f t="shared" si="42"/>
        <v>258000</v>
      </c>
      <c r="J664" s="20">
        <f t="shared" si="40"/>
        <v>116100</v>
      </c>
      <c r="K664" s="171">
        <f t="shared" si="41"/>
        <v>141900</v>
      </c>
      <c r="N664" s="17">
        <f t="shared" si="39"/>
        <v>141900</v>
      </c>
      <c r="O664" s="282" t="s">
        <v>23</v>
      </c>
      <c r="P664" s="20"/>
      <c r="Q664" s="10" t="s">
        <v>54</v>
      </c>
    </row>
    <row r="665" spans="1:17" s="364" customFormat="1">
      <c r="A665" s="991">
        <v>44523</v>
      </c>
      <c r="B665" s="282" t="s">
        <v>23</v>
      </c>
      <c r="C665" s="283" t="s">
        <v>7981</v>
      </c>
      <c r="D665" s="29" t="s">
        <v>7982</v>
      </c>
      <c r="E665" s="984" t="s">
        <v>8317</v>
      </c>
      <c r="F665" s="987" t="s">
        <v>8318</v>
      </c>
      <c r="G665" s="319">
        <v>2</v>
      </c>
      <c r="H665" s="998">
        <v>114000</v>
      </c>
      <c r="I665" s="86">
        <f t="shared" si="42"/>
        <v>228000</v>
      </c>
      <c r="J665" s="20">
        <f t="shared" si="40"/>
        <v>102600</v>
      </c>
      <c r="K665" s="171">
        <f t="shared" si="41"/>
        <v>125400</v>
      </c>
      <c r="N665" s="17">
        <f t="shared" si="39"/>
        <v>125400</v>
      </c>
      <c r="O665" s="282" t="s">
        <v>23</v>
      </c>
      <c r="P665" s="20"/>
      <c r="Q665" s="10" t="s">
        <v>54</v>
      </c>
    </row>
    <row r="666" spans="1:17" s="364" customFormat="1" ht="15.6">
      <c r="A666" s="991">
        <v>44523</v>
      </c>
      <c r="B666" s="282" t="s">
        <v>23</v>
      </c>
      <c r="C666" s="283" t="s">
        <v>7981</v>
      </c>
      <c r="D666" s="29" t="s">
        <v>7982</v>
      </c>
      <c r="E666" s="984" t="s">
        <v>3875</v>
      </c>
      <c r="F666" s="984" t="s">
        <v>3876</v>
      </c>
      <c r="G666" s="319">
        <v>2</v>
      </c>
      <c r="H666" s="996">
        <v>109000</v>
      </c>
      <c r="I666" s="86">
        <f t="shared" si="42"/>
        <v>218000</v>
      </c>
      <c r="J666" s="20">
        <f t="shared" si="40"/>
        <v>98100</v>
      </c>
      <c r="K666" s="171">
        <f t="shared" si="41"/>
        <v>119900</v>
      </c>
      <c r="N666" s="17">
        <f t="shared" si="39"/>
        <v>119900</v>
      </c>
      <c r="O666" s="282" t="s">
        <v>23</v>
      </c>
      <c r="P666" s="20"/>
      <c r="Q666" s="10" t="s">
        <v>54</v>
      </c>
    </row>
    <row r="667" spans="1:17" s="364" customFormat="1" ht="15.6">
      <c r="A667" s="991">
        <v>44523</v>
      </c>
      <c r="B667" s="282" t="s">
        <v>23</v>
      </c>
      <c r="C667" s="283" t="s">
        <v>7981</v>
      </c>
      <c r="D667" s="29" t="s">
        <v>7982</v>
      </c>
      <c r="E667" s="984" t="s">
        <v>6836</v>
      </c>
      <c r="F667" s="987" t="s">
        <v>6837</v>
      </c>
      <c r="G667" s="319">
        <v>2</v>
      </c>
      <c r="H667" s="999">
        <v>95000</v>
      </c>
      <c r="I667" s="86">
        <f t="shared" si="42"/>
        <v>190000</v>
      </c>
      <c r="J667" s="20">
        <f t="shared" si="40"/>
        <v>85500</v>
      </c>
      <c r="K667" s="171">
        <f t="shared" si="41"/>
        <v>104500</v>
      </c>
      <c r="N667" s="17">
        <f t="shared" ref="N667:N730" si="43">K667+L667+M667</f>
        <v>104500</v>
      </c>
      <c r="O667" s="282" t="s">
        <v>23</v>
      </c>
      <c r="P667" s="20"/>
      <c r="Q667" s="10" t="s">
        <v>54</v>
      </c>
    </row>
    <row r="668" spans="1:17" s="364" customFormat="1" ht="15.6">
      <c r="A668" s="991">
        <v>44523</v>
      </c>
      <c r="B668" s="282" t="s">
        <v>23</v>
      </c>
      <c r="C668" s="283" t="s">
        <v>7981</v>
      </c>
      <c r="D668" s="29" t="s">
        <v>7982</v>
      </c>
      <c r="E668" s="984" t="s">
        <v>6119</v>
      </c>
      <c r="F668" s="987" t="s">
        <v>6120</v>
      </c>
      <c r="G668" s="319">
        <v>2</v>
      </c>
      <c r="H668" s="996">
        <v>84000</v>
      </c>
      <c r="I668" s="86">
        <f t="shared" si="42"/>
        <v>168000</v>
      </c>
      <c r="J668" s="20">
        <f t="shared" si="40"/>
        <v>75600</v>
      </c>
      <c r="K668" s="171">
        <f t="shared" si="41"/>
        <v>92400</v>
      </c>
      <c r="N668" s="17">
        <f t="shared" si="43"/>
        <v>92400</v>
      </c>
      <c r="O668" s="282" t="s">
        <v>23</v>
      </c>
      <c r="P668" s="20"/>
      <c r="Q668" s="10" t="s">
        <v>54</v>
      </c>
    </row>
    <row r="669" spans="1:17" s="364" customFormat="1" ht="15.6">
      <c r="A669" s="991">
        <v>44523</v>
      </c>
      <c r="B669" s="282" t="s">
        <v>23</v>
      </c>
      <c r="C669" s="283" t="s">
        <v>7981</v>
      </c>
      <c r="D669" s="29" t="s">
        <v>7982</v>
      </c>
      <c r="E669" s="984" t="s">
        <v>8319</v>
      </c>
      <c r="F669" s="984" t="s">
        <v>8320</v>
      </c>
      <c r="G669" s="319">
        <v>2</v>
      </c>
      <c r="H669" s="999">
        <v>93000</v>
      </c>
      <c r="I669" s="86">
        <f t="shared" si="42"/>
        <v>186000</v>
      </c>
      <c r="J669" s="20">
        <f t="shared" si="40"/>
        <v>83700</v>
      </c>
      <c r="K669" s="171">
        <f t="shared" si="41"/>
        <v>102300</v>
      </c>
      <c r="N669" s="17">
        <f t="shared" si="43"/>
        <v>102300</v>
      </c>
      <c r="O669" s="282" t="s">
        <v>23</v>
      </c>
      <c r="P669" s="20"/>
      <c r="Q669" s="10" t="s">
        <v>54</v>
      </c>
    </row>
    <row r="670" spans="1:17" s="364" customFormat="1" ht="15.6">
      <c r="A670" s="991">
        <v>44523</v>
      </c>
      <c r="B670" s="282" t="s">
        <v>23</v>
      </c>
      <c r="C670" s="283" t="s">
        <v>7981</v>
      </c>
      <c r="D670" s="29" t="s">
        <v>7982</v>
      </c>
      <c r="E670" s="984" t="s">
        <v>4889</v>
      </c>
      <c r="F670" s="987" t="s">
        <v>4890</v>
      </c>
      <c r="G670" s="319">
        <v>2</v>
      </c>
      <c r="H670" s="999">
        <v>81500</v>
      </c>
      <c r="I670" s="86">
        <f t="shared" si="42"/>
        <v>163000</v>
      </c>
      <c r="J670" s="20">
        <f t="shared" si="40"/>
        <v>73350</v>
      </c>
      <c r="K670" s="171">
        <f t="shared" si="41"/>
        <v>89650</v>
      </c>
      <c r="N670" s="17">
        <f t="shared" si="43"/>
        <v>89650</v>
      </c>
      <c r="O670" s="282" t="s">
        <v>23</v>
      </c>
      <c r="P670" s="20"/>
      <c r="Q670" s="10" t="s">
        <v>54</v>
      </c>
    </row>
    <row r="671" spans="1:17" s="364" customFormat="1" ht="15.6">
      <c r="A671" s="991">
        <v>44523</v>
      </c>
      <c r="B671" s="282" t="s">
        <v>23</v>
      </c>
      <c r="C671" s="283" t="s">
        <v>7981</v>
      </c>
      <c r="D671" s="29" t="s">
        <v>7982</v>
      </c>
      <c r="E671" s="984" t="s">
        <v>8321</v>
      </c>
      <c r="F671" s="984" t="s">
        <v>8322</v>
      </c>
      <c r="G671" s="319">
        <v>2</v>
      </c>
      <c r="H671" s="999">
        <v>72000</v>
      </c>
      <c r="I671" s="86">
        <f t="shared" si="42"/>
        <v>144000</v>
      </c>
      <c r="J671" s="20">
        <f t="shared" si="40"/>
        <v>64800</v>
      </c>
      <c r="K671" s="171">
        <f t="shared" si="41"/>
        <v>79200</v>
      </c>
      <c r="N671" s="17">
        <f t="shared" si="43"/>
        <v>79200</v>
      </c>
      <c r="O671" s="282" t="s">
        <v>23</v>
      </c>
      <c r="P671" s="20"/>
      <c r="Q671" s="10" t="s">
        <v>54</v>
      </c>
    </row>
    <row r="672" spans="1:17" s="364" customFormat="1" ht="15.6">
      <c r="A672" s="991">
        <v>44523</v>
      </c>
      <c r="B672" s="282" t="s">
        <v>23</v>
      </c>
      <c r="C672" s="283" t="s">
        <v>7981</v>
      </c>
      <c r="D672" s="29" t="s">
        <v>7982</v>
      </c>
      <c r="E672" s="984" t="s">
        <v>8323</v>
      </c>
      <c r="F672" s="987" t="s">
        <v>8324</v>
      </c>
      <c r="G672" s="319">
        <v>2</v>
      </c>
      <c r="H672" s="999">
        <v>72000</v>
      </c>
      <c r="I672" s="86">
        <f t="shared" si="42"/>
        <v>144000</v>
      </c>
      <c r="J672" s="20">
        <f t="shared" si="40"/>
        <v>64800</v>
      </c>
      <c r="K672" s="171">
        <f t="shared" si="41"/>
        <v>79200</v>
      </c>
      <c r="N672" s="17">
        <f t="shared" si="43"/>
        <v>79200</v>
      </c>
      <c r="O672" s="282" t="s">
        <v>23</v>
      </c>
      <c r="P672" s="20"/>
      <c r="Q672" s="10" t="s">
        <v>54</v>
      </c>
    </row>
    <row r="673" spans="1:17" s="364" customFormat="1" ht="15.6">
      <c r="A673" s="991">
        <v>44523</v>
      </c>
      <c r="B673" s="282" t="s">
        <v>23</v>
      </c>
      <c r="C673" s="283" t="s">
        <v>7981</v>
      </c>
      <c r="D673" s="29" t="s">
        <v>7982</v>
      </c>
      <c r="E673" s="984" t="s">
        <v>8325</v>
      </c>
      <c r="F673" s="987" t="s">
        <v>8326</v>
      </c>
      <c r="G673" s="319">
        <v>2</v>
      </c>
      <c r="H673" s="999">
        <v>90000</v>
      </c>
      <c r="I673" s="86">
        <f t="shared" si="42"/>
        <v>180000</v>
      </c>
      <c r="J673" s="20">
        <f t="shared" si="40"/>
        <v>81000</v>
      </c>
      <c r="K673" s="171">
        <f t="shared" si="41"/>
        <v>99000</v>
      </c>
      <c r="N673" s="17">
        <f t="shared" si="43"/>
        <v>99000</v>
      </c>
      <c r="O673" s="282" t="s">
        <v>23</v>
      </c>
      <c r="P673" s="20"/>
      <c r="Q673" s="10" t="s">
        <v>54</v>
      </c>
    </row>
    <row r="674" spans="1:17" s="364" customFormat="1" ht="15.6">
      <c r="A674" s="991">
        <v>44523</v>
      </c>
      <c r="B674" s="282" t="s">
        <v>23</v>
      </c>
      <c r="C674" s="283" t="s">
        <v>7981</v>
      </c>
      <c r="D674" s="29" t="s">
        <v>7982</v>
      </c>
      <c r="E674" s="984" t="s">
        <v>8327</v>
      </c>
      <c r="F674" s="987" t="s">
        <v>8328</v>
      </c>
      <c r="G674" s="319">
        <v>2</v>
      </c>
      <c r="H674" s="1000">
        <v>78500</v>
      </c>
      <c r="I674" s="86">
        <f t="shared" si="42"/>
        <v>157000</v>
      </c>
      <c r="J674" s="20">
        <f t="shared" si="40"/>
        <v>70650</v>
      </c>
      <c r="K674" s="171">
        <f t="shared" si="41"/>
        <v>86350</v>
      </c>
      <c r="N674" s="17">
        <f t="shared" si="43"/>
        <v>86350</v>
      </c>
      <c r="O674" s="282" t="s">
        <v>23</v>
      </c>
      <c r="P674" s="20"/>
      <c r="Q674" s="10" t="s">
        <v>54</v>
      </c>
    </row>
    <row r="675" spans="1:17" s="364" customFormat="1" ht="15.6">
      <c r="A675" s="991">
        <v>44523</v>
      </c>
      <c r="B675" s="282" t="s">
        <v>23</v>
      </c>
      <c r="C675" s="283" t="s">
        <v>7981</v>
      </c>
      <c r="D675" s="29" t="s">
        <v>7982</v>
      </c>
      <c r="E675" s="984" t="s">
        <v>8329</v>
      </c>
      <c r="F675" s="987" t="s">
        <v>8330</v>
      </c>
      <c r="G675" s="319">
        <v>2</v>
      </c>
      <c r="H675" s="999">
        <v>81500</v>
      </c>
      <c r="I675" s="86">
        <f t="shared" si="42"/>
        <v>163000</v>
      </c>
      <c r="J675" s="20">
        <f t="shared" si="40"/>
        <v>73350</v>
      </c>
      <c r="K675" s="171">
        <f t="shared" si="41"/>
        <v>89650</v>
      </c>
      <c r="N675" s="17">
        <f t="shared" si="43"/>
        <v>89650</v>
      </c>
      <c r="O675" s="282" t="s">
        <v>23</v>
      </c>
      <c r="P675" s="20"/>
      <c r="Q675" s="10" t="s">
        <v>54</v>
      </c>
    </row>
    <row r="676" spans="1:17" s="364" customFormat="1" ht="15.6">
      <c r="A676" s="991">
        <v>44523</v>
      </c>
      <c r="B676" s="282" t="s">
        <v>23</v>
      </c>
      <c r="C676" s="283" t="s">
        <v>7981</v>
      </c>
      <c r="D676" s="29" t="s">
        <v>7982</v>
      </c>
      <c r="E676" s="984" t="s">
        <v>8331</v>
      </c>
      <c r="F676" s="987" t="s">
        <v>8332</v>
      </c>
      <c r="G676" s="319">
        <v>2</v>
      </c>
      <c r="H676" s="1001">
        <v>95500</v>
      </c>
      <c r="I676" s="86">
        <f t="shared" si="42"/>
        <v>191000</v>
      </c>
      <c r="J676" s="20">
        <f t="shared" si="40"/>
        <v>85950</v>
      </c>
      <c r="K676" s="171">
        <f t="shared" si="41"/>
        <v>105050</v>
      </c>
      <c r="N676" s="17">
        <f t="shared" si="43"/>
        <v>105050</v>
      </c>
      <c r="O676" s="282" t="s">
        <v>23</v>
      </c>
      <c r="P676" s="20"/>
      <c r="Q676" s="10" t="s">
        <v>54</v>
      </c>
    </row>
    <row r="677" spans="1:17" s="364" customFormat="1" ht="15.6">
      <c r="A677" s="991">
        <v>44523</v>
      </c>
      <c r="B677" s="282" t="s">
        <v>23</v>
      </c>
      <c r="C677" s="283" t="s">
        <v>7981</v>
      </c>
      <c r="D677" s="29" t="s">
        <v>7982</v>
      </c>
      <c r="E677" s="984" t="s">
        <v>383</v>
      </c>
      <c r="F677" s="984" t="s">
        <v>384</v>
      </c>
      <c r="G677" s="319">
        <v>2</v>
      </c>
      <c r="H677" s="999">
        <v>149000</v>
      </c>
      <c r="I677" s="86">
        <f t="shared" si="42"/>
        <v>298000</v>
      </c>
      <c r="J677" s="20">
        <f t="shared" si="40"/>
        <v>134100</v>
      </c>
      <c r="K677" s="171">
        <f t="shared" si="41"/>
        <v>163900</v>
      </c>
      <c r="N677" s="17">
        <f t="shared" si="43"/>
        <v>163900</v>
      </c>
      <c r="O677" s="282" t="s">
        <v>23</v>
      </c>
      <c r="P677" s="20"/>
      <c r="Q677" s="10" t="s">
        <v>54</v>
      </c>
    </row>
    <row r="678" spans="1:17" s="364" customFormat="1" ht="15.6">
      <c r="A678" s="991">
        <v>44523</v>
      </c>
      <c r="B678" s="282" t="s">
        <v>23</v>
      </c>
      <c r="C678" s="283" t="s">
        <v>7981</v>
      </c>
      <c r="D678" s="29" t="s">
        <v>7982</v>
      </c>
      <c r="E678" s="984" t="s">
        <v>8333</v>
      </c>
      <c r="F678" s="987" t="s">
        <v>8334</v>
      </c>
      <c r="G678" s="319">
        <v>2</v>
      </c>
      <c r="H678" s="999">
        <v>149000</v>
      </c>
      <c r="I678" s="86">
        <f t="shared" si="42"/>
        <v>298000</v>
      </c>
      <c r="J678" s="20">
        <f t="shared" si="40"/>
        <v>134100</v>
      </c>
      <c r="K678" s="171">
        <f t="shared" si="41"/>
        <v>163900</v>
      </c>
      <c r="N678" s="17">
        <f t="shared" si="43"/>
        <v>163900</v>
      </c>
      <c r="O678" s="282" t="s">
        <v>23</v>
      </c>
      <c r="P678" s="20"/>
      <c r="Q678" s="10" t="s">
        <v>54</v>
      </c>
    </row>
    <row r="679" spans="1:17" s="364" customFormat="1" ht="15.6">
      <c r="A679" s="991">
        <v>44523</v>
      </c>
      <c r="B679" s="282" t="s">
        <v>23</v>
      </c>
      <c r="C679" s="283" t="s">
        <v>7981</v>
      </c>
      <c r="D679" s="29" t="s">
        <v>7982</v>
      </c>
      <c r="E679" s="984" t="s">
        <v>8335</v>
      </c>
      <c r="F679" s="984" t="s">
        <v>1204</v>
      </c>
      <c r="G679" s="319">
        <v>2</v>
      </c>
      <c r="H679" s="999">
        <v>103000</v>
      </c>
      <c r="I679" s="86">
        <f t="shared" si="42"/>
        <v>206000</v>
      </c>
      <c r="J679" s="20">
        <f t="shared" si="40"/>
        <v>92700</v>
      </c>
      <c r="K679" s="171">
        <f t="shared" si="41"/>
        <v>113300</v>
      </c>
      <c r="N679" s="17">
        <f t="shared" si="43"/>
        <v>113300</v>
      </c>
      <c r="O679" s="282" t="s">
        <v>23</v>
      </c>
      <c r="P679" s="20"/>
      <c r="Q679" s="10" t="s">
        <v>54</v>
      </c>
    </row>
    <row r="680" spans="1:17" s="364" customFormat="1" ht="15.6">
      <c r="A680" s="991">
        <v>44523</v>
      </c>
      <c r="B680" s="282" t="s">
        <v>23</v>
      </c>
      <c r="C680" s="283" t="s">
        <v>7981</v>
      </c>
      <c r="D680" s="29" t="s">
        <v>7982</v>
      </c>
      <c r="E680" s="984" t="s">
        <v>8336</v>
      </c>
      <c r="F680" s="987" t="s">
        <v>4785</v>
      </c>
      <c r="G680" s="319">
        <v>2</v>
      </c>
      <c r="H680" s="999">
        <v>76000</v>
      </c>
      <c r="I680" s="86">
        <f t="shared" si="42"/>
        <v>152000</v>
      </c>
      <c r="J680" s="20">
        <f t="shared" si="40"/>
        <v>68400</v>
      </c>
      <c r="K680" s="171">
        <f t="shared" si="41"/>
        <v>83600</v>
      </c>
      <c r="N680" s="17">
        <f t="shared" si="43"/>
        <v>83600</v>
      </c>
      <c r="O680" s="282" t="s">
        <v>23</v>
      </c>
      <c r="P680" s="20"/>
      <c r="Q680" s="10" t="s">
        <v>54</v>
      </c>
    </row>
    <row r="681" spans="1:17" s="364" customFormat="1" ht="15.6">
      <c r="A681" s="991">
        <v>44523</v>
      </c>
      <c r="B681" s="282" t="s">
        <v>23</v>
      </c>
      <c r="C681" s="283" t="s">
        <v>7981</v>
      </c>
      <c r="D681" s="29" t="s">
        <v>7982</v>
      </c>
      <c r="E681" s="984" t="s">
        <v>8337</v>
      </c>
      <c r="F681" s="987" t="s">
        <v>7759</v>
      </c>
      <c r="G681" s="319">
        <v>2</v>
      </c>
      <c r="H681" s="999">
        <v>250000</v>
      </c>
      <c r="I681" s="86">
        <f t="shared" si="42"/>
        <v>500000</v>
      </c>
      <c r="J681" s="20">
        <f t="shared" ref="J681:J744" si="44">I681*45%</f>
        <v>225000</v>
      </c>
      <c r="K681" s="171">
        <f t="shared" si="41"/>
        <v>275000</v>
      </c>
      <c r="N681" s="17">
        <f t="shared" si="43"/>
        <v>275000</v>
      </c>
      <c r="O681" s="282" t="s">
        <v>23</v>
      </c>
      <c r="P681" s="20"/>
      <c r="Q681" s="10" t="s">
        <v>54</v>
      </c>
    </row>
    <row r="682" spans="1:17" s="364" customFormat="1" ht="15.6">
      <c r="A682" s="991">
        <v>44523</v>
      </c>
      <c r="B682" s="282" t="s">
        <v>23</v>
      </c>
      <c r="C682" s="283" t="s">
        <v>7981</v>
      </c>
      <c r="D682" s="29" t="s">
        <v>7982</v>
      </c>
      <c r="E682" s="984" t="s">
        <v>8338</v>
      </c>
      <c r="F682" s="987" t="s">
        <v>8339</v>
      </c>
      <c r="G682" s="319">
        <v>2</v>
      </c>
      <c r="H682" s="999">
        <v>86000</v>
      </c>
      <c r="I682" s="86">
        <f t="shared" si="42"/>
        <v>172000</v>
      </c>
      <c r="J682" s="20">
        <f t="shared" si="44"/>
        <v>77400</v>
      </c>
      <c r="K682" s="171">
        <f t="shared" si="41"/>
        <v>94600</v>
      </c>
      <c r="N682" s="17">
        <f t="shared" si="43"/>
        <v>94600</v>
      </c>
      <c r="O682" s="282" t="s">
        <v>23</v>
      </c>
      <c r="P682" s="20"/>
      <c r="Q682" s="10" t="s">
        <v>54</v>
      </c>
    </row>
    <row r="683" spans="1:17" s="364" customFormat="1" ht="15.6">
      <c r="A683" s="991">
        <v>44523</v>
      </c>
      <c r="B683" s="282" t="s">
        <v>23</v>
      </c>
      <c r="C683" s="283" t="s">
        <v>7981</v>
      </c>
      <c r="D683" s="29" t="s">
        <v>7982</v>
      </c>
      <c r="E683" s="984" t="s">
        <v>5569</v>
      </c>
      <c r="F683" s="987" t="s">
        <v>5570</v>
      </c>
      <c r="G683" s="319">
        <v>2</v>
      </c>
      <c r="H683" s="999">
        <v>97000</v>
      </c>
      <c r="I683" s="86">
        <f t="shared" si="42"/>
        <v>194000</v>
      </c>
      <c r="J683" s="20">
        <f t="shared" si="44"/>
        <v>87300</v>
      </c>
      <c r="K683" s="171">
        <f t="shared" si="41"/>
        <v>106700</v>
      </c>
      <c r="N683" s="17">
        <f t="shared" si="43"/>
        <v>106700</v>
      </c>
      <c r="O683" s="282" t="s">
        <v>23</v>
      </c>
      <c r="P683" s="20"/>
      <c r="Q683" s="10" t="s">
        <v>54</v>
      </c>
    </row>
    <row r="684" spans="1:17" s="364" customFormat="1" ht="15.6">
      <c r="A684" s="991">
        <v>44523</v>
      </c>
      <c r="B684" s="282" t="s">
        <v>23</v>
      </c>
      <c r="C684" s="283" t="s">
        <v>7981</v>
      </c>
      <c r="D684" s="29" t="s">
        <v>7982</v>
      </c>
      <c r="E684" s="984" t="s">
        <v>8340</v>
      </c>
      <c r="F684" s="984" t="s">
        <v>8341</v>
      </c>
      <c r="G684" s="319">
        <v>2</v>
      </c>
      <c r="H684" s="1001">
        <v>84000</v>
      </c>
      <c r="I684" s="86">
        <f t="shared" si="42"/>
        <v>168000</v>
      </c>
      <c r="J684" s="20">
        <f t="shared" si="44"/>
        <v>75600</v>
      </c>
      <c r="K684" s="171">
        <f t="shared" si="41"/>
        <v>92400</v>
      </c>
      <c r="N684" s="17">
        <f t="shared" si="43"/>
        <v>92400</v>
      </c>
      <c r="O684" s="282" t="s">
        <v>23</v>
      </c>
      <c r="P684" s="20"/>
      <c r="Q684" s="10" t="s">
        <v>54</v>
      </c>
    </row>
    <row r="685" spans="1:17" s="364" customFormat="1" ht="15.6">
      <c r="A685" s="991">
        <v>44523</v>
      </c>
      <c r="B685" s="282" t="s">
        <v>23</v>
      </c>
      <c r="C685" s="283" t="s">
        <v>7981</v>
      </c>
      <c r="D685" s="29" t="s">
        <v>7982</v>
      </c>
      <c r="E685" s="984" t="s">
        <v>8342</v>
      </c>
      <c r="F685" s="987" t="s">
        <v>6935</v>
      </c>
      <c r="G685" s="319">
        <v>2</v>
      </c>
      <c r="H685" s="1001">
        <v>158000</v>
      </c>
      <c r="I685" s="86">
        <f t="shared" si="42"/>
        <v>316000</v>
      </c>
      <c r="J685" s="20">
        <f t="shared" si="44"/>
        <v>142200</v>
      </c>
      <c r="K685" s="171">
        <f t="shared" si="41"/>
        <v>173800</v>
      </c>
      <c r="N685" s="17">
        <f t="shared" si="43"/>
        <v>173800</v>
      </c>
      <c r="O685" s="282" t="s">
        <v>23</v>
      </c>
      <c r="P685" s="20"/>
      <c r="Q685" s="10" t="s">
        <v>54</v>
      </c>
    </row>
    <row r="686" spans="1:17" s="364" customFormat="1" ht="15.6">
      <c r="A686" s="991">
        <v>44523</v>
      </c>
      <c r="B686" s="282" t="s">
        <v>23</v>
      </c>
      <c r="C686" s="283" t="s">
        <v>7981</v>
      </c>
      <c r="D686" s="29" t="s">
        <v>7982</v>
      </c>
      <c r="E686" s="984" t="s">
        <v>8343</v>
      </c>
      <c r="F686" s="984" t="s">
        <v>8344</v>
      </c>
      <c r="G686" s="319">
        <v>2</v>
      </c>
      <c r="H686" s="999">
        <v>67000</v>
      </c>
      <c r="I686" s="86">
        <f t="shared" si="42"/>
        <v>134000</v>
      </c>
      <c r="J686" s="20">
        <f t="shared" si="44"/>
        <v>60300</v>
      </c>
      <c r="K686" s="171">
        <f t="shared" si="41"/>
        <v>73700</v>
      </c>
      <c r="N686" s="17">
        <f t="shared" si="43"/>
        <v>73700</v>
      </c>
      <c r="O686" s="282" t="s">
        <v>23</v>
      </c>
      <c r="P686" s="20"/>
      <c r="Q686" s="10" t="s">
        <v>54</v>
      </c>
    </row>
    <row r="687" spans="1:17" s="364" customFormat="1" ht="15.6">
      <c r="A687" s="991">
        <v>44523</v>
      </c>
      <c r="B687" s="282" t="s">
        <v>23</v>
      </c>
      <c r="C687" s="283" t="s">
        <v>7981</v>
      </c>
      <c r="D687" s="29" t="s">
        <v>7982</v>
      </c>
      <c r="E687" s="984" t="s">
        <v>8345</v>
      </c>
      <c r="F687" s="984" t="s">
        <v>8346</v>
      </c>
      <c r="G687" s="319">
        <v>2</v>
      </c>
      <c r="H687" s="999">
        <v>110000</v>
      </c>
      <c r="I687" s="86">
        <f t="shared" si="42"/>
        <v>220000</v>
      </c>
      <c r="J687" s="20">
        <f t="shared" si="44"/>
        <v>99000</v>
      </c>
      <c r="K687" s="171">
        <f t="shared" si="41"/>
        <v>121000</v>
      </c>
      <c r="N687" s="17">
        <f t="shared" si="43"/>
        <v>121000</v>
      </c>
      <c r="O687" s="282" t="s">
        <v>23</v>
      </c>
      <c r="P687" s="20"/>
      <c r="Q687" s="10" t="s">
        <v>54</v>
      </c>
    </row>
    <row r="688" spans="1:17" s="364" customFormat="1" ht="15.6">
      <c r="A688" s="991">
        <v>44523</v>
      </c>
      <c r="B688" s="282" t="s">
        <v>23</v>
      </c>
      <c r="C688" s="283" t="s">
        <v>7981</v>
      </c>
      <c r="D688" s="29" t="s">
        <v>7982</v>
      </c>
      <c r="E688" s="984" t="s">
        <v>8345</v>
      </c>
      <c r="F688" s="984" t="s">
        <v>8347</v>
      </c>
      <c r="G688" s="319">
        <v>2</v>
      </c>
      <c r="H688" s="999">
        <v>179000</v>
      </c>
      <c r="I688" s="86">
        <f t="shared" si="42"/>
        <v>358000</v>
      </c>
      <c r="J688" s="20">
        <f t="shared" si="44"/>
        <v>161100</v>
      </c>
      <c r="K688" s="171">
        <f t="shared" si="41"/>
        <v>196900</v>
      </c>
      <c r="N688" s="17">
        <f t="shared" si="43"/>
        <v>196900</v>
      </c>
      <c r="O688" s="282" t="s">
        <v>23</v>
      </c>
      <c r="P688" s="20"/>
      <c r="Q688" s="10" t="s">
        <v>54</v>
      </c>
    </row>
    <row r="689" spans="1:17" s="364" customFormat="1" ht="15.6">
      <c r="A689" s="991">
        <v>44523</v>
      </c>
      <c r="B689" s="282" t="s">
        <v>23</v>
      </c>
      <c r="C689" s="283" t="s">
        <v>7981</v>
      </c>
      <c r="D689" s="29" t="s">
        <v>7982</v>
      </c>
      <c r="E689" s="984" t="s">
        <v>8348</v>
      </c>
      <c r="F689" s="987" t="s">
        <v>8349</v>
      </c>
      <c r="G689" s="319">
        <v>2</v>
      </c>
      <c r="H689" s="1000">
        <v>74000</v>
      </c>
      <c r="I689" s="86">
        <f t="shared" si="42"/>
        <v>148000</v>
      </c>
      <c r="J689" s="20">
        <f t="shared" si="44"/>
        <v>66600</v>
      </c>
      <c r="K689" s="171">
        <f t="shared" si="41"/>
        <v>81400</v>
      </c>
      <c r="N689" s="17">
        <f t="shared" si="43"/>
        <v>81400</v>
      </c>
      <c r="O689" s="282" t="s">
        <v>23</v>
      </c>
      <c r="P689" s="20"/>
      <c r="Q689" s="10" t="s">
        <v>54</v>
      </c>
    </row>
    <row r="690" spans="1:17" s="364" customFormat="1" ht="15.6">
      <c r="A690" s="991">
        <v>44523</v>
      </c>
      <c r="B690" s="282" t="s">
        <v>23</v>
      </c>
      <c r="C690" s="283" t="s">
        <v>7981</v>
      </c>
      <c r="D690" s="29" t="s">
        <v>7982</v>
      </c>
      <c r="E690" s="984" t="s">
        <v>8350</v>
      </c>
      <c r="F690" s="987" t="s">
        <v>1981</v>
      </c>
      <c r="G690" s="319">
        <v>2</v>
      </c>
      <c r="H690" s="1001">
        <v>197000</v>
      </c>
      <c r="I690" s="86">
        <f t="shared" si="42"/>
        <v>394000</v>
      </c>
      <c r="J690" s="20">
        <f t="shared" si="44"/>
        <v>177300</v>
      </c>
      <c r="K690" s="171">
        <f t="shared" si="41"/>
        <v>216700</v>
      </c>
      <c r="N690" s="17">
        <f t="shared" si="43"/>
        <v>216700</v>
      </c>
      <c r="O690" s="282" t="s">
        <v>23</v>
      </c>
      <c r="P690" s="20"/>
      <c r="Q690" s="10" t="s">
        <v>54</v>
      </c>
    </row>
    <row r="691" spans="1:17" s="364" customFormat="1" ht="15.6">
      <c r="A691" s="991">
        <v>44523</v>
      </c>
      <c r="B691" s="282" t="s">
        <v>23</v>
      </c>
      <c r="C691" s="283" t="s">
        <v>7981</v>
      </c>
      <c r="D691" s="29" t="s">
        <v>7982</v>
      </c>
      <c r="E691" s="984" t="s">
        <v>8351</v>
      </c>
      <c r="F691" s="984" t="s">
        <v>8352</v>
      </c>
      <c r="G691" s="319">
        <v>2</v>
      </c>
      <c r="H691" s="1001">
        <v>64000</v>
      </c>
      <c r="I691" s="86">
        <f t="shared" si="42"/>
        <v>128000</v>
      </c>
      <c r="J691" s="20">
        <f t="shared" si="44"/>
        <v>57600</v>
      </c>
      <c r="K691" s="171">
        <f t="shared" si="41"/>
        <v>70400</v>
      </c>
      <c r="N691" s="17">
        <f t="shared" si="43"/>
        <v>70400</v>
      </c>
      <c r="O691" s="282" t="s">
        <v>23</v>
      </c>
      <c r="P691" s="20"/>
      <c r="Q691" s="10" t="s">
        <v>54</v>
      </c>
    </row>
    <row r="692" spans="1:17" s="364" customFormat="1">
      <c r="A692" s="991">
        <v>44523</v>
      </c>
      <c r="B692" s="282" t="s">
        <v>23</v>
      </c>
      <c r="C692" s="283" t="s">
        <v>7981</v>
      </c>
      <c r="D692" s="29" t="s">
        <v>7982</v>
      </c>
      <c r="E692" s="984" t="s">
        <v>8353</v>
      </c>
      <c r="F692" s="984" t="s">
        <v>8354</v>
      </c>
      <c r="G692" s="319">
        <v>2</v>
      </c>
      <c r="H692" s="998">
        <v>213000</v>
      </c>
      <c r="I692" s="86">
        <f t="shared" si="42"/>
        <v>426000</v>
      </c>
      <c r="J692" s="20">
        <f t="shared" si="44"/>
        <v>191700</v>
      </c>
      <c r="K692" s="171">
        <f t="shared" si="41"/>
        <v>234300</v>
      </c>
      <c r="N692" s="17">
        <f t="shared" si="43"/>
        <v>234300</v>
      </c>
      <c r="O692" s="282" t="s">
        <v>23</v>
      </c>
      <c r="P692" s="20"/>
      <c r="Q692" s="10" t="s">
        <v>54</v>
      </c>
    </row>
    <row r="693" spans="1:17" s="364" customFormat="1">
      <c r="A693" s="991">
        <v>44523</v>
      </c>
      <c r="B693" s="282" t="s">
        <v>23</v>
      </c>
      <c r="C693" s="283" t="s">
        <v>7981</v>
      </c>
      <c r="D693" s="29" t="s">
        <v>7982</v>
      </c>
      <c r="E693" s="984" t="s">
        <v>8355</v>
      </c>
      <c r="F693" s="987" t="s">
        <v>8356</v>
      </c>
      <c r="G693" s="319">
        <v>2</v>
      </c>
      <c r="H693" s="998">
        <v>64000</v>
      </c>
      <c r="I693" s="86">
        <f t="shared" si="42"/>
        <v>128000</v>
      </c>
      <c r="J693" s="20">
        <f t="shared" si="44"/>
        <v>57600</v>
      </c>
      <c r="K693" s="171">
        <f t="shared" si="41"/>
        <v>70400</v>
      </c>
      <c r="N693" s="17">
        <f t="shared" si="43"/>
        <v>70400</v>
      </c>
      <c r="O693" s="282" t="s">
        <v>23</v>
      </c>
      <c r="P693" s="20"/>
      <c r="Q693" s="10" t="s">
        <v>54</v>
      </c>
    </row>
    <row r="694" spans="1:17" s="364" customFormat="1">
      <c r="A694" s="991">
        <v>44523</v>
      </c>
      <c r="B694" s="282" t="s">
        <v>23</v>
      </c>
      <c r="C694" s="283" t="s">
        <v>7981</v>
      </c>
      <c r="D694" s="29" t="s">
        <v>7982</v>
      </c>
      <c r="E694" s="984" t="s">
        <v>8357</v>
      </c>
      <c r="F694" s="984" t="s">
        <v>8358</v>
      </c>
      <c r="G694" s="319">
        <v>2</v>
      </c>
      <c r="H694" s="1013">
        <v>57000</v>
      </c>
      <c r="I694" s="86">
        <f t="shared" si="42"/>
        <v>114000</v>
      </c>
      <c r="J694" s="20">
        <f t="shared" si="44"/>
        <v>51300</v>
      </c>
      <c r="K694" s="171">
        <f t="shared" si="41"/>
        <v>62700</v>
      </c>
      <c r="N694" s="17">
        <f t="shared" si="43"/>
        <v>62700</v>
      </c>
      <c r="O694" s="282" t="s">
        <v>23</v>
      </c>
      <c r="P694" s="20"/>
      <c r="Q694" s="10" t="s">
        <v>54</v>
      </c>
    </row>
    <row r="695" spans="1:17" s="364" customFormat="1">
      <c r="A695" s="991">
        <v>44523</v>
      </c>
      <c r="B695" s="282" t="s">
        <v>23</v>
      </c>
      <c r="C695" s="283" t="s">
        <v>7981</v>
      </c>
      <c r="D695" s="29" t="s">
        <v>7982</v>
      </c>
      <c r="E695" s="984" t="s">
        <v>8359</v>
      </c>
      <c r="F695" s="984" t="s">
        <v>4466</v>
      </c>
      <c r="G695" s="319">
        <v>2</v>
      </c>
      <c r="H695" s="998">
        <v>142000</v>
      </c>
      <c r="I695" s="86">
        <f t="shared" si="42"/>
        <v>284000</v>
      </c>
      <c r="J695" s="20">
        <f t="shared" si="44"/>
        <v>127800</v>
      </c>
      <c r="K695" s="171">
        <f t="shared" si="41"/>
        <v>156200</v>
      </c>
      <c r="N695" s="17">
        <f t="shared" si="43"/>
        <v>156200</v>
      </c>
      <c r="O695" s="282" t="s">
        <v>23</v>
      </c>
      <c r="P695" s="20"/>
      <c r="Q695" s="10" t="s">
        <v>54</v>
      </c>
    </row>
    <row r="696" spans="1:17" s="364" customFormat="1">
      <c r="A696" s="991">
        <v>44523</v>
      </c>
      <c r="B696" s="282" t="s">
        <v>23</v>
      </c>
      <c r="C696" s="283" t="s">
        <v>7981</v>
      </c>
      <c r="D696" s="29" t="s">
        <v>7982</v>
      </c>
      <c r="E696" s="984" t="s">
        <v>8360</v>
      </c>
      <c r="F696" s="987" t="s">
        <v>8361</v>
      </c>
      <c r="G696" s="319">
        <v>2</v>
      </c>
      <c r="H696" s="998">
        <v>83000</v>
      </c>
      <c r="I696" s="86">
        <f t="shared" si="42"/>
        <v>166000</v>
      </c>
      <c r="J696" s="20">
        <f t="shared" si="44"/>
        <v>74700</v>
      </c>
      <c r="K696" s="171">
        <f t="shared" si="41"/>
        <v>91300</v>
      </c>
      <c r="N696" s="17">
        <f t="shared" si="43"/>
        <v>91300</v>
      </c>
      <c r="O696" s="282" t="s">
        <v>23</v>
      </c>
      <c r="P696" s="20"/>
      <c r="Q696" s="10" t="s">
        <v>54</v>
      </c>
    </row>
    <row r="697" spans="1:17" s="364" customFormat="1">
      <c r="A697" s="991">
        <v>44523</v>
      </c>
      <c r="B697" s="282" t="s">
        <v>23</v>
      </c>
      <c r="C697" s="283" t="s">
        <v>7981</v>
      </c>
      <c r="D697" s="29" t="s">
        <v>7982</v>
      </c>
      <c r="E697" s="984" t="s">
        <v>8362</v>
      </c>
      <c r="F697" s="987" t="s">
        <v>8363</v>
      </c>
      <c r="G697" s="319">
        <v>2</v>
      </c>
      <c r="H697" s="1014">
        <v>128000</v>
      </c>
      <c r="I697" s="86">
        <f t="shared" si="42"/>
        <v>256000</v>
      </c>
      <c r="J697" s="20">
        <f t="shared" si="44"/>
        <v>115200</v>
      </c>
      <c r="K697" s="171">
        <f t="shared" si="41"/>
        <v>140800</v>
      </c>
      <c r="N697" s="17">
        <f t="shared" si="43"/>
        <v>140800</v>
      </c>
      <c r="O697" s="282" t="s">
        <v>23</v>
      </c>
      <c r="P697" s="20"/>
      <c r="Q697" s="10" t="s">
        <v>54</v>
      </c>
    </row>
    <row r="698" spans="1:17" s="364" customFormat="1">
      <c r="A698" s="991">
        <v>44523</v>
      </c>
      <c r="B698" s="282" t="s">
        <v>23</v>
      </c>
      <c r="C698" s="283" t="s">
        <v>7981</v>
      </c>
      <c r="D698" s="29" t="s">
        <v>7982</v>
      </c>
      <c r="E698" s="1015" t="s">
        <v>1630</v>
      </c>
      <c r="F698" s="1016" t="s">
        <v>1631</v>
      </c>
      <c r="G698" s="319">
        <v>2</v>
      </c>
      <c r="H698" s="998">
        <v>109000</v>
      </c>
      <c r="I698" s="86">
        <f t="shared" si="42"/>
        <v>218000</v>
      </c>
      <c r="J698" s="20">
        <f t="shared" si="44"/>
        <v>98100</v>
      </c>
      <c r="K698" s="171">
        <f t="shared" si="41"/>
        <v>119900</v>
      </c>
      <c r="N698" s="17">
        <f t="shared" si="43"/>
        <v>119900</v>
      </c>
      <c r="O698" s="282" t="s">
        <v>23</v>
      </c>
      <c r="P698" s="20"/>
      <c r="Q698" s="10" t="s">
        <v>54</v>
      </c>
    </row>
    <row r="699" spans="1:17" s="364" customFormat="1">
      <c r="A699" s="991">
        <v>44523</v>
      </c>
      <c r="B699" s="282" t="s">
        <v>23</v>
      </c>
      <c r="C699" s="283" t="s">
        <v>7981</v>
      </c>
      <c r="D699" s="29" t="s">
        <v>7982</v>
      </c>
      <c r="E699" s="984" t="s">
        <v>3150</v>
      </c>
      <c r="F699" s="984" t="s">
        <v>3151</v>
      </c>
      <c r="G699" s="319">
        <v>2</v>
      </c>
      <c r="H699" s="998">
        <v>142000</v>
      </c>
      <c r="I699" s="86">
        <f t="shared" si="42"/>
        <v>284000</v>
      </c>
      <c r="J699" s="20">
        <f t="shared" si="44"/>
        <v>127800</v>
      </c>
      <c r="K699" s="171">
        <f t="shared" si="41"/>
        <v>156200</v>
      </c>
      <c r="N699" s="17">
        <f t="shared" si="43"/>
        <v>156200</v>
      </c>
      <c r="O699" s="282" t="s">
        <v>23</v>
      </c>
      <c r="P699" s="20"/>
      <c r="Q699" s="10" t="s">
        <v>54</v>
      </c>
    </row>
    <row r="700" spans="1:17" s="364" customFormat="1">
      <c r="A700" s="991">
        <v>44523</v>
      </c>
      <c r="B700" s="282" t="s">
        <v>23</v>
      </c>
      <c r="C700" s="283" t="s">
        <v>7981</v>
      </c>
      <c r="D700" s="29" t="s">
        <v>7982</v>
      </c>
      <c r="E700" s="984" t="s">
        <v>3381</v>
      </c>
      <c r="F700" s="984" t="s">
        <v>3382</v>
      </c>
      <c r="G700" s="319">
        <v>2</v>
      </c>
      <c r="H700" s="998">
        <v>72000</v>
      </c>
      <c r="I700" s="86">
        <f t="shared" si="42"/>
        <v>144000</v>
      </c>
      <c r="J700" s="20">
        <f t="shared" si="44"/>
        <v>64800</v>
      </c>
      <c r="K700" s="171">
        <f t="shared" si="41"/>
        <v>79200</v>
      </c>
      <c r="N700" s="17">
        <f t="shared" si="43"/>
        <v>79200</v>
      </c>
      <c r="O700" s="282" t="s">
        <v>23</v>
      </c>
      <c r="P700" s="20"/>
      <c r="Q700" s="10" t="s">
        <v>54</v>
      </c>
    </row>
    <row r="701" spans="1:17" s="364" customFormat="1">
      <c r="A701" s="991">
        <v>44523</v>
      </c>
      <c r="B701" s="282" t="s">
        <v>23</v>
      </c>
      <c r="C701" s="283" t="s">
        <v>7981</v>
      </c>
      <c r="D701" s="29" t="s">
        <v>7982</v>
      </c>
      <c r="E701" s="1015" t="s">
        <v>4471</v>
      </c>
      <c r="F701" s="984" t="s">
        <v>4472</v>
      </c>
      <c r="G701" s="319">
        <v>2</v>
      </c>
      <c r="H701" s="998">
        <v>65200</v>
      </c>
      <c r="I701" s="86">
        <f t="shared" si="42"/>
        <v>130400</v>
      </c>
      <c r="J701" s="20">
        <f t="shared" si="44"/>
        <v>58680</v>
      </c>
      <c r="K701" s="171">
        <f t="shared" si="41"/>
        <v>71720</v>
      </c>
      <c r="N701" s="17">
        <f t="shared" si="43"/>
        <v>71720</v>
      </c>
      <c r="O701" s="282" t="s">
        <v>23</v>
      </c>
      <c r="P701" s="20"/>
      <c r="Q701" s="10" t="s">
        <v>54</v>
      </c>
    </row>
    <row r="702" spans="1:17" s="364" customFormat="1">
      <c r="A702" s="991">
        <v>44523</v>
      </c>
      <c r="B702" s="282" t="s">
        <v>23</v>
      </c>
      <c r="C702" s="283" t="s">
        <v>7981</v>
      </c>
      <c r="D702" s="29" t="s">
        <v>7982</v>
      </c>
      <c r="E702" s="984" t="s">
        <v>3682</v>
      </c>
      <c r="F702" s="984" t="s">
        <v>3683</v>
      </c>
      <c r="G702" s="319">
        <v>2</v>
      </c>
      <c r="H702" s="998">
        <v>114000</v>
      </c>
      <c r="I702" s="86">
        <f t="shared" si="42"/>
        <v>228000</v>
      </c>
      <c r="J702" s="20">
        <f t="shared" si="44"/>
        <v>102600</v>
      </c>
      <c r="K702" s="171">
        <f t="shared" si="41"/>
        <v>125400</v>
      </c>
      <c r="N702" s="17">
        <f t="shared" si="43"/>
        <v>125400</v>
      </c>
      <c r="O702" s="282" t="s">
        <v>23</v>
      </c>
      <c r="P702" s="20"/>
      <c r="Q702" s="10" t="s">
        <v>54</v>
      </c>
    </row>
    <row r="703" spans="1:17" s="364" customFormat="1">
      <c r="A703" s="991">
        <v>44523</v>
      </c>
      <c r="B703" s="282" t="s">
        <v>23</v>
      </c>
      <c r="C703" s="283" t="s">
        <v>7981</v>
      </c>
      <c r="D703" s="29" t="s">
        <v>7982</v>
      </c>
      <c r="E703" s="984" t="s">
        <v>5598</v>
      </c>
      <c r="F703" s="987" t="s">
        <v>5599</v>
      </c>
      <c r="G703" s="319">
        <v>2</v>
      </c>
      <c r="H703" s="998">
        <v>185000</v>
      </c>
      <c r="I703" s="86">
        <f t="shared" si="42"/>
        <v>370000</v>
      </c>
      <c r="J703" s="20">
        <f t="shared" si="44"/>
        <v>166500</v>
      </c>
      <c r="K703" s="171">
        <f t="shared" si="41"/>
        <v>203500</v>
      </c>
      <c r="N703" s="17">
        <f t="shared" si="43"/>
        <v>203500</v>
      </c>
      <c r="O703" s="282" t="s">
        <v>23</v>
      </c>
      <c r="P703" s="20"/>
      <c r="Q703" s="10" t="s">
        <v>54</v>
      </c>
    </row>
    <row r="704" spans="1:17" s="364" customFormat="1">
      <c r="A704" s="991">
        <v>44523</v>
      </c>
      <c r="B704" s="282" t="s">
        <v>23</v>
      </c>
      <c r="C704" s="283" t="s">
        <v>7981</v>
      </c>
      <c r="D704" s="29" t="s">
        <v>7982</v>
      </c>
      <c r="E704" s="984" t="s">
        <v>8364</v>
      </c>
      <c r="F704" s="984" t="s">
        <v>8365</v>
      </c>
      <c r="G704" s="319">
        <v>2</v>
      </c>
      <c r="H704" s="998">
        <v>151000</v>
      </c>
      <c r="I704" s="86">
        <f t="shared" si="42"/>
        <v>302000</v>
      </c>
      <c r="J704" s="20">
        <f t="shared" si="44"/>
        <v>135900</v>
      </c>
      <c r="K704" s="171">
        <f t="shared" si="41"/>
        <v>166100</v>
      </c>
      <c r="N704" s="17">
        <f t="shared" si="43"/>
        <v>166100</v>
      </c>
      <c r="O704" s="282" t="s">
        <v>23</v>
      </c>
      <c r="P704" s="20"/>
      <c r="Q704" s="10" t="s">
        <v>54</v>
      </c>
    </row>
    <row r="705" spans="1:17" s="364" customFormat="1">
      <c r="A705" s="991">
        <v>44523</v>
      </c>
      <c r="B705" s="282" t="s">
        <v>23</v>
      </c>
      <c r="C705" s="283" t="s">
        <v>7981</v>
      </c>
      <c r="D705" s="29" t="s">
        <v>7982</v>
      </c>
      <c r="E705" s="984" t="s">
        <v>7817</v>
      </c>
      <c r="F705" s="984" t="s">
        <v>4718</v>
      </c>
      <c r="G705" s="319">
        <v>2</v>
      </c>
      <c r="H705" s="998">
        <v>55000</v>
      </c>
      <c r="I705" s="86">
        <f t="shared" si="42"/>
        <v>110000</v>
      </c>
      <c r="J705" s="20">
        <f t="shared" si="44"/>
        <v>49500</v>
      </c>
      <c r="K705" s="171">
        <f t="shared" si="41"/>
        <v>60500</v>
      </c>
      <c r="N705" s="17">
        <f t="shared" si="43"/>
        <v>60500</v>
      </c>
      <c r="O705" s="282" t="s">
        <v>23</v>
      </c>
      <c r="P705" s="20"/>
      <c r="Q705" s="10" t="s">
        <v>54</v>
      </c>
    </row>
    <row r="706" spans="1:17" s="364" customFormat="1">
      <c r="A706" s="991">
        <v>44523</v>
      </c>
      <c r="B706" s="282" t="s">
        <v>23</v>
      </c>
      <c r="C706" s="283" t="s">
        <v>7981</v>
      </c>
      <c r="D706" s="29" t="s">
        <v>7982</v>
      </c>
      <c r="E706" s="984" t="s">
        <v>8366</v>
      </c>
      <c r="F706" s="987" t="s">
        <v>8367</v>
      </c>
      <c r="G706" s="319">
        <v>2</v>
      </c>
      <c r="H706" s="998">
        <v>150000</v>
      </c>
      <c r="I706" s="86">
        <f t="shared" si="42"/>
        <v>300000</v>
      </c>
      <c r="J706" s="20">
        <f t="shared" si="44"/>
        <v>135000</v>
      </c>
      <c r="K706" s="171">
        <f t="shared" si="41"/>
        <v>165000</v>
      </c>
      <c r="N706" s="17">
        <f t="shared" si="43"/>
        <v>165000</v>
      </c>
      <c r="O706" s="282" t="s">
        <v>23</v>
      </c>
      <c r="P706" s="20"/>
      <c r="Q706" s="10" t="s">
        <v>54</v>
      </c>
    </row>
    <row r="707" spans="1:17" s="364" customFormat="1">
      <c r="A707" s="991">
        <v>44523</v>
      </c>
      <c r="B707" s="282" t="s">
        <v>23</v>
      </c>
      <c r="C707" s="283" t="s">
        <v>7981</v>
      </c>
      <c r="D707" s="29" t="s">
        <v>7982</v>
      </c>
      <c r="E707" s="984" t="s">
        <v>8368</v>
      </c>
      <c r="F707" s="984" t="s">
        <v>8369</v>
      </c>
      <c r="G707" s="319">
        <v>2</v>
      </c>
      <c r="H707" s="998">
        <v>130000</v>
      </c>
      <c r="I707" s="86">
        <f t="shared" si="42"/>
        <v>260000</v>
      </c>
      <c r="J707" s="20">
        <f t="shared" si="44"/>
        <v>117000</v>
      </c>
      <c r="K707" s="171">
        <f t="shared" si="41"/>
        <v>143000</v>
      </c>
      <c r="N707" s="17">
        <f t="shared" si="43"/>
        <v>143000</v>
      </c>
      <c r="O707" s="282" t="s">
        <v>23</v>
      </c>
      <c r="P707" s="20"/>
      <c r="Q707" s="10" t="s">
        <v>54</v>
      </c>
    </row>
    <row r="708" spans="1:17" s="364" customFormat="1">
      <c r="A708" s="991">
        <v>44523</v>
      </c>
      <c r="B708" s="282" t="s">
        <v>23</v>
      </c>
      <c r="C708" s="283" t="s">
        <v>7981</v>
      </c>
      <c r="D708" s="29" t="s">
        <v>7982</v>
      </c>
      <c r="E708" s="984" t="s">
        <v>8370</v>
      </c>
      <c r="F708" s="987" t="s">
        <v>8371</v>
      </c>
      <c r="G708" s="319">
        <v>2</v>
      </c>
      <c r="H708" s="998">
        <v>142000</v>
      </c>
      <c r="I708" s="86">
        <f t="shared" si="42"/>
        <v>284000</v>
      </c>
      <c r="J708" s="20">
        <f t="shared" si="44"/>
        <v>127800</v>
      </c>
      <c r="K708" s="171">
        <f t="shared" ref="K708:K771" si="45">I708-J708</f>
        <v>156200</v>
      </c>
      <c r="N708" s="17">
        <f t="shared" si="43"/>
        <v>156200</v>
      </c>
      <c r="O708" s="282" t="s">
        <v>23</v>
      </c>
      <c r="P708" s="20"/>
      <c r="Q708" s="10" t="s">
        <v>54</v>
      </c>
    </row>
    <row r="709" spans="1:17" s="364" customFormat="1">
      <c r="A709" s="991">
        <v>44523</v>
      </c>
      <c r="B709" s="282" t="s">
        <v>23</v>
      </c>
      <c r="C709" s="283" t="s">
        <v>7981</v>
      </c>
      <c r="D709" s="29" t="s">
        <v>7982</v>
      </c>
      <c r="E709" s="984" t="s">
        <v>8372</v>
      </c>
      <c r="F709" s="987" t="s">
        <v>8373</v>
      </c>
      <c r="G709" s="319">
        <v>2</v>
      </c>
      <c r="H709" s="998">
        <v>163000</v>
      </c>
      <c r="I709" s="86">
        <f t="shared" ref="I709:I772" si="46">H709*G709</f>
        <v>326000</v>
      </c>
      <c r="J709" s="20">
        <f t="shared" si="44"/>
        <v>146700</v>
      </c>
      <c r="K709" s="171">
        <f t="shared" si="45"/>
        <v>179300</v>
      </c>
      <c r="N709" s="17">
        <f t="shared" si="43"/>
        <v>179300</v>
      </c>
      <c r="O709" s="282" t="s">
        <v>23</v>
      </c>
      <c r="P709" s="20"/>
      <c r="Q709" s="10" t="s">
        <v>54</v>
      </c>
    </row>
    <row r="710" spans="1:17" s="364" customFormat="1">
      <c r="A710" s="991">
        <v>44523</v>
      </c>
      <c r="B710" s="282" t="s">
        <v>23</v>
      </c>
      <c r="C710" s="283" t="s">
        <v>7981</v>
      </c>
      <c r="D710" s="29" t="s">
        <v>7982</v>
      </c>
      <c r="E710" s="1015" t="s">
        <v>8374</v>
      </c>
      <c r="F710" s="987" t="s">
        <v>8375</v>
      </c>
      <c r="G710" s="319">
        <v>2</v>
      </c>
      <c r="H710" s="998">
        <v>58000</v>
      </c>
      <c r="I710" s="86">
        <f t="shared" si="46"/>
        <v>116000</v>
      </c>
      <c r="J710" s="20">
        <f t="shared" si="44"/>
        <v>52200</v>
      </c>
      <c r="K710" s="171">
        <f t="shared" si="45"/>
        <v>63800</v>
      </c>
      <c r="N710" s="17">
        <f t="shared" si="43"/>
        <v>63800</v>
      </c>
      <c r="O710" s="282" t="s">
        <v>23</v>
      </c>
      <c r="P710" s="20"/>
      <c r="Q710" s="10" t="s">
        <v>54</v>
      </c>
    </row>
    <row r="711" spans="1:17" s="364" customFormat="1">
      <c r="A711" s="991">
        <v>44523</v>
      </c>
      <c r="B711" s="282" t="s">
        <v>23</v>
      </c>
      <c r="C711" s="283" t="s">
        <v>7981</v>
      </c>
      <c r="D711" s="29" t="s">
        <v>7982</v>
      </c>
      <c r="E711" s="984" t="s">
        <v>8345</v>
      </c>
      <c r="F711" s="984" t="s">
        <v>8376</v>
      </c>
      <c r="G711" s="319">
        <v>2</v>
      </c>
      <c r="H711" s="998">
        <v>105000</v>
      </c>
      <c r="I711" s="86">
        <f t="shared" si="46"/>
        <v>210000</v>
      </c>
      <c r="J711" s="20">
        <f t="shared" si="44"/>
        <v>94500</v>
      </c>
      <c r="K711" s="171">
        <f t="shared" si="45"/>
        <v>115500</v>
      </c>
      <c r="N711" s="17">
        <f t="shared" si="43"/>
        <v>115500</v>
      </c>
      <c r="O711" s="282" t="s">
        <v>23</v>
      </c>
      <c r="P711" s="20"/>
      <c r="Q711" s="10" t="s">
        <v>54</v>
      </c>
    </row>
    <row r="712" spans="1:17" s="364" customFormat="1">
      <c r="A712" s="991">
        <v>44523</v>
      </c>
      <c r="B712" s="282" t="s">
        <v>23</v>
      </c>
      <c r="C712" s="283" t="s">
        <v>7981</v>
      </c>
      <c r="D712" s="29" t="s">
        <v>7982</v>
      </c>
      <c r="E712" s="984" t="s">
        <v>5981</v>
      </c>
      <c r="F712" s="984" t="s">
        <v>4122</v>
      </c>
      <c r="G712" s="319">
        <v>2</v>
      </c>
      <c r="H712" s="998">
        <v>176000</v>
      </c>
      <c r="I712" s="86">
        <f t="shared" si="46"/>
        <v>352000</v>
      </c>
      <c r="J712" s="20">
        <f t="shared" si="44"/>
        <v>158400</v>
      </c>
      <c r="K712" s="171">
        <f t="shared" si="45"/>
        <v>193600</v>
      </c>
      <c r="N712" s="17">
        <f t="shared" si="43"/>
        <v>193600</v>
      </c>
      <c r="O712" s="282" t="s">
        <v>23</v>
      </c>
      <c r="P712" s="20"/>
      <c r="Q712" s="10" t="s">
        <v>54</v>
      </c>
    </row>
    <row r="713" spans="1:17" s="364" customFormat="1">
      <c r="A713" s="991">
        <v>44523</v>
      </c>
      <c r="B713" s="282" t="s">
        <v>23</v>
      </c>
      <c r="C713" s="283" t="s">
        <v>7981</v>
      </c>
      <c r="D713" s="29" t="s">
        <v>7982</v>
      </c>
      <c r="E713" s="984" t="s">
        <v>7689</v>
      </c>
      <c r="F713" s="984" t="s">
        <v>7678</v>
      </c>
      <c r="G713" s="319">
        <v>2</v>
      </c>
      <c r="H713" s="998">
        <v>163000</v>
      </c>
      <c r="I713" s="86">
        <f t="shared" si="46"/>
        <v>326000</v>
      </c>
      <c r="J713" s="20">
        <f t="shared" si="44"/>
        <v>146700</v>
      </c>
      <c r="K713" s="171">
        <f t="shared" si="45"/>
        <v>179300</v>
      </c>
      <c r="N713" s="17">
        <f t="shared" si="43"/>
        <v>179300</v>
      </c>
      <c r="O713" s="282" t="s">
        <v>23</v>
      </c>
      <c r="P713" s="20"/>
      <c r="Q713" s="10" t="s">
        <v>54</v>
      </c>
    </row>
    <row r="714" spans="1:17" s="364" customFormat="1">
      <c r="A714" s="991">
        <v>44523</v>
      </c>
      <c r="B714" s="282" t="s">
        <v>23</v>
      </c>
      <c r="C714" s="283" t="s">
        <v>7981</v>
      </c>
      <c r="D714" s="29" t="s">
        <v>7982</v>
      </c>
      <c r="E714" s="984" t="s">
        <v>7677</v>
      </c>
      <c r="F714" s="984" t="s">
        <v>7678</v>
      </c>
      <c r="G714" s="319">
        <v>2</v>
      </c>
      <c r="H714" s="998">
        <v>133000</v>
      </c>
      <c r="I714" s="86">
        <f t="shared" si="46"/>
        <v>266000</v>
      </c>
      <c r="J714" s="20">
        <f t="shared" si="44"/>
        <v>119700</v>
      </c>
      <c r="K714" s="171">
        <f t="shared" si="45"/>
        <v>146300</v>
      </c>
      <c r="N714" s="17">
        <f t="shared" si="43"/>
        <v>146300</v>
      </c>
      <c r="O714" s="282" t="s">
        <v>23</v>
      </c>
      <c r="P714" s="20"/>
      <c r="Q714" s="10" t="s">
        <v>54</v>
      </c>
    </row>
    <row r="715" spans="1:17" s="364" customFormat="1">
      <c r="A715" s="991">
        <v>44523</v>
      </c>
      <c r="B715" s="282" t="s">
        <v>23</v>
      </c>
      <c r="C715" s="283" t="s">
        <v>7981</v>
      </c>
      <c r="D715" s="29" t="s">
        <v>7982</v>
      </c>
      <c r="E715" s="984" t="s">
        <v>8377</v>
      </c>
      <c r="F715" s="987" t="s">
        <v>8378</v>
      </c>
      <c r="G715" s="319">
        <v>2</v>
      </c>
      <c r="H715" s="998">
        <v>127000</v>
      </c>
      <c r="I715" s="86">
        <f t="shared" si="46"/>
        <v>254000</v>
      </c>
      <c r="J715" s="20">
        <f t="shared" si="44"/>
        <v>114300</v>
      </c>
      <c r="K715" s="171">
        <f t="shared" si="45"/>
        <v>139700</v>
      </c>
      <c r="N715" s="17">
        <f t="shared" si="43"/>
        <v>139700</v>
      </c>
      <c r="O715" s="282" t="s">
        <v>23</v>
      </c>
      <c r="P715" s="20"/>
      <c r="Q715" s="10" t="s">
        <v>54</v>
      </c>
    </row>
    <row r="716" spans="1:17" s="364" customFormat="1" ht="15.6">
      <c r="A716" s="991">
        <v>44523</v>
      </c>
      <c r="B716" s="282" t="s">
        <v>23</v>
      </c>
      <c r="C716" s="283" t="s">
        <v>7981</v>
      </c>
      <c r="D716" s="29" t="s">
        <v>7982</v>
      </c>
      <c r="E716" s="984" t="s">
        <v>3208</v>
      </c>
      <c r="F716" s="987" t="s">
        <v>3209</v>
      </c>
      <c r="G716" s="319">
        <v>2</v>
      </c>
      <c r="H716" s="999">
        <v>195000</v>
      </c>
      <c r="I716" s="86">
        <f t="shared" si="46"/>
        <v>390000</v>
      </c>
      <c r="J716" s="20">
        <f t="shared" si="44"/>
        <v>175500</v>
      </c>
      <c r="K716" s="171">
        <f t="shared" si="45"/>
        <v>214500</v>
      </c>
      <c r="N716" s="17">
        <f t="shared" si="43"/>
        <v>214500</v>
      </c>
      <c r="O716" s="282" t="s">
        <v>23</v>
      </c>
      <c r="P716" s="20"/>
      <c r="Q716" s="10" t="s">
        <v>54</v>
      </c>
    </row>
    <row r="717" spans="1:17" s="364" customFormat="1" ht="15.6">
      <c r="A717" s="991">
        <v>44523</v>
      </c>
      <c r="B717" s="282" t="s">
        <v>23</v>
      </c>
      <c r="C717" s="283" t="s">
        <v>7981</v>
      </c>
      <c r="D717" s="29" t="s">
        <v>7982</v>
      </c>
      <c r="E717" s="984" t="s">
        <v>8379</v>
      </c>
      <c r="F717" s="987" t="s">
        <v>8380</v>
      </c>
      <c r="G717" s="319">
        <v>2</v>
      </c>
      <c r="H717" s="996">
        <v>107000</v>
      </c>
      <c r="I717" s="86">
        <f t="shared" si="46"/>
        <v>214000</v>
      </c>
      <c r="J717" s="20">
        <f t="shared" si="44"/>
        <v>96300</v>
      </c>
      <c r="K717" s="171">
        <f t="shared" si="45"/>
        <v>117700</v>
      </c>
      <c r="N717" s="17">
        <f t="shared" si="43"/>
        <v>117700</v>
      </c>
      <c r="O717" s="282" t="s">
        <v>23</v>
      </c>
      <c r="P717" s="20"/>
      <c r="Q717" s="10" t="s">
        <v>54</v>
      </c>
    </row>
    <row r="718" spans="1:17" s="364" customFormat="1" ht="15.6">
      <c r="A718" s="991">
        <v>44523</v>
      </c>
      <c r="B718" s="282" t="s">
        <v>23</v>
      </c>
      <c r="C718" s="283" t="s">
        <v>7981</v>
      </c>
      <c r="D718" s="29" t="s">
        <v>7982</v>
      </c>
      <c r="E718" s="984" t="s">
        <v>8381</v>
      </c>
      <c r="F718" s="987" t="s">
        <v>8382</v>
      </c>
      <c r="G718" s="319">
        <v>2</v>
      </c>
      <c r="H718" s="999">
        <v>96000</v>
      </c>
      <c r="I718" s="86">
        <f t="shared" si="46"/>
        <v>192000</v>
      </c>
      <c r="J718" s="20">
        <f t="shared" si="44"/>
        <v>86400</v>
      </c>
      <c r="K718" s="171">
        <f t="shared" si="45"/>
        <v>105600</v>
      </c>
      <c r="N718" s="17">
        <f t="shared" si="43"/>
        <v>105600</v>
      </c>
      <c r="O718" s="282" t="s">
        <v>23</v>
      </c>
      <c r="P718" s="20"/>
      <c r="Q718" s="10" t="s">
        <v>54</v>
      </c>
    </row>
    <row r="719" spans="1:17" s="364" customFormat="1" ht="15.6">
      <c r="A719" s="991">
        <v>44523</v>
      </c>
      <c r="B719" s="282" t="s">
        <v>23</v>
      </c>
      <c r="C719" s="283" t="s">
        <v>7981</v>
      </c>
      <c r="D719" s="29" t="s">
        <v>7982</v>
      </c>
      <c r="E719" s="984" t="s">
        <v>8383</v>
      </c>
      <c r="F719" s="984" t="s">
        <v>6400</v>
      </c>
      <c r="G719" s="319">
        <v>2</v>
      </c>
      <c r="H719" s="1001">
        <v>60000</v>
      </c>
      <c r="I719" s="86">
        <f t="shared" si="46"/>
        <v>120000</v>
      </c>
      <c r="J719" s="20">
        <f t="shared" si="44"/>
        <v>54000</v>
      </c>
      <c r="K719" s="171">
        <f t="shared" si="45"/>
        <v>66000</v>
      </c>
      <c r="N719" s="17">
        <f t="shared" si="43"/>
        <v>66000</v>
      </c>
      <c r="O719" s="282" t="s">
        <v>23</v>
      </c>
      <c r="P719" s="20"/>
      <c r="Q719" s="10" t="s">
        <v>54</v>
      </c>
    </row>
    <row r="720" spans="1:17" s="364" customFormat="1" ht="15.6">
      <c r="A720" s="991">
        <v>44523</v>
      </c>
      <c r="B720" s="282" t="s">
        <v>23</v>
      </c>
      <c r="C720" s="283" t="s">
        <v>7981</v>
      </c>
      <c r="D720" s="29" t="s">
        <v>7982</v>
      </c>
      <c r="E720" s="984" t="s">
        <v>8384</v>
      </c>
      <c r="F720" s="987" t="s">
        <v>8385</v>
      </c>
      <c r="G720" s="319">
        <v>2</v>
      </c>
      <c r="H720" s="999">
        <v>100500</v>
      </c>
      <c r="I720" s="86">
        <f t="shared" si="46"/>
        <v>201000</v>
      </c>
      <c r="J720" s="20">
        <f t="shared" si="44"/>
        <v>90450</v>
      </c>
      <c r="K720" s="171">
        <f t="shared" si="45"/>
        <v>110550</v>
      </c>
      <c r="N720" s="17">
        <f t="shared" si="43"/>
        <v>110550</v>
      </c>
      <c r="O720" s="282" t="s">
        <v>23</v>
      </c>
      <c r="P720" s="20"/>
      <c r="Q720" s="10" t="s">
        <v>54</v>
      </c>
    </row>
    <row r="721" spans="1:17" s="364" customFormat="1" ht="15.6">
      <c r="A721" s="991">
        <v>44523</v>
      </c>
      <c r="B721" s="282" t="s">
        <v>23</v>
      </c>
      <c r="C721" s="283" t="s">
        <v>7981</v>
      </c>
      <c r="D721" s="29" t="s">
        <v>7982</v>
      </c>
      <c r="E721" s="984" t="s">
        <v>8386</v>
      </c>
      <c r="F721" s="984" t="s">
        <v>8387</v>
      </c>
      <c r="G721" s="319">
        <v>2</v>
      </c>
      <c r="H721" s="999">
        <v>85500</v>
      </c>
      <c r="I721" s="86">
        <f t="shared" si="46"/>
        <v>171000</v>
      </c>
      <c r="J721" s="20">
        <f t="shared" si="44"/>
        <v>76950</v>
      </c>
      <c r="K721" s="171">
        <f t="shared" si="45"/>
        <v>94050</v>
      </c>
      <c r="N721" s="17">
        <f t="shared" si="43"/>
        <v>94050</v>
      </c>
      <c r="O721" s="282" t="s">
        <v>23</v>
      </c>
      <c r="P721" s="20"/>
      <c r="Q721" s="10" t="s">
        <v>54</v>
      </c>
    </row>
    <row r="722" spans="1:17" s="364" customFormat="1" ht="15.6">
      <c r="A722" s="991">
        <v>44523</v>
      </c>
      <c r="B722" s="282" t="s">
        <v>23</v>
      </c>
      <c r="C722" s="283" t="s">
        <v>7981</v>
      </c>
      <c r="D722" s="29" t="s">
        <v>7982</v>
      </c>
      <c r="E722" s="984" t="s">
        <v>8388</v>
      </c>
      <c r="F722" s="987" t="s">
        <v>8389</v>
      </c>
      <c r="G722" s="319">
        <v>2</v>
      </c>
      <c r="H722" s="996">
        <v>75000</v>
      </c>
      <c r="I722" s="86">
        <f t="shared" si="46"/>
        <v>150000</v>
      </c>
      <c r="J722" s="20">
        <f t="shared" si="44"/>
        <v>67500</v>
      </c>
      <c r="K722" s="171">
        <f t="shared" si="45"/>
        <v>82500</v>
      </c>
      <c r="N722" s="17">
        <f t="shared" si="43"/>
        <v>82500</v>
      </c>
      <c r="O722" s="282" t="s">
        <v>23</v>
      </c>
      <c r="P722" s="20"/>
      <c r="Q722" s="10" t="s">
        <v>54</v>
      </c>
    </row>
    <row r="723" spans="1:17" s="364" customFormat="1" ht="15.6">
      <c r="A723" s="991">
        <v>44523</v>
      </c>
      <c r="B723" s="282" t="s">
        <v>23</v>
      </c>
      <c r="C723" s="283" t="s">
        <v>7981</v>
      </c>
      <c r="D723" s="29" t="s">
        <v>7982</v>
      </c>
      <c r="E723" s="984" t="s">
        <v>8390</v>
      </c>
      <c r="F723" s="987" t="s">
        <v>8391</v>
      </c>
      <c r="G723" s="319">
        <v>2</v>
      </c>
      <c r="H723" s="996">
        <v>104000</v>
      </c>
      <c r="I723" s="86">
        <f t="shared" si="46"/>
        <v>208000</v>
      </c>
      <c r="J723" s="20">
        <f t="shared" si="44"/>
        <v>93600</v>
      </c>
      <c r="K723" s="171">
        <f t="shared" si="45"/>
        <v>114400</v>
      </c>
      <c r="N723" s="17">
        <f t="shared" si="43"/>
        <v>114400</v>
      </c>
      <c r="O723" s="282" t="s">
        <v>23</v>
      </c>
      <c r="P723" s="20"/>
      <c r="Q723" s="10" t="s">
        <v>54</v>
      </c>
    </row>
    <row r="724" spans="1:17" s="364" customFormat="1" ht="15.6">
      <c r="A724" s="991">
        <v>44523</v>
      </c>
      <c r="B724" s="282" t="s">
        <v>23</v>
      </c>
      <c r="C724" s="283" t="s">
        <v>7981</v>
      </c>
      <c r="D724" s="29" t="s">
        <v>7982</v>
      </c>
      <c r="E724" s="984" t="s">
        <v>8392</v>
      </c>
      <c r="F724" s="987" t="s">
        <v>8393</v>
      </c>
      <c r="G724" s="319">
        <v>2</v>
      </c>
      <c r="H724" s="996">
        <v>106000</v>
      </c>
      <c r="I724" s="86">
        <f t="shared" si="46"/>
        <v>212000</v>
      </c>
      <c r="J724" s="20">
        <f t="shared" si="44"/>
        <v>95400</v>
      </c>
      <c r="K724" s="171">
        <f t="shared" si="45"/>
        <v>116600</v>
      </c>
      <c r="N724" s="17">
        <f t="shared" si="43"/>
        <v>116600</v>
      </c>
      <c r="O724" s="282" t="s">
        <v>23</v>
      </c>
      <c r="P724" s="20"/>
      <c r="Q724" s="10" t="s">
        <v>54</v>
      </c>
    </row>
    <row r="725" spans="1:17" s="364" customFormat="1" ht="15.6">
      <c r="A725" s="991">
        <v>44523</v>
      </c>
      <c r="B725" s="282" t="s">
        <v>23</v>
      </c>
      <c r="C725" s="283" t="s">
        <v>7981</v>
      </c>
      <c r="D725" s="29" t="s">
        <v>7982</v>
      </c>
      <c r="E725" s="984" t="s">
        <v>8394</v>
      </c>
      <c r="F725" s="987" t="s">
        <v>8395</v>
      </c>
      <c r="G725" s="319">
        <v>2</v>
      </c>
      <c r="H725" s="1001">
        <v>86000</v>
      </c>
      <c r="I725" s="86">
        <f t="shared" si="46"/>
        <v>172000</v>
      </c>
      <c r="J725" s="20">
        <f t="shared" si="44"/>
        <v>77400</v>
      </c>
      <c r="K725" s="171">
        <f t="shared" si="45"/>
        <v>94600</v>
      </c>
      <c r="N725" s="17">
        <f t="shared" si="43"/>
        <v>94600</v>
      </c>
      <c r="O725" s="282" t="s">
        <v>23</v>
      </c>
      <c r="P725" s="20"/>
      <c r="Q725" s="10" t="s">
        <v>54</v>
      </c>
    </row>
    <row r="726" spans="1:17" s="364" customFormat="1" ht="15.6">
      <c r="A726" s="991">
        <v>44523</v>
      </c>
      <c r="B726" s="282" t="s">
        <v>23</v>
      </c>
      <c r="C726" s="283" t="s">
        <v>7981</v>
      </c>
      <c r="D726" s="29" t="s">
        <v>7982</v>
      </c>
      <c r="E726" s="984" t="s">
        <v>8396</v>
      </c>
      <c r="F726" s="984" t="s">
        <v>8397</v>
      </c>
      <c r="G726" s="319">
        <v>2</v>
      </c>
      <c r="H726" s="999">
        <v>100000</v>
      </c>
      <c r="I726" s="86">
        <f t="shared" si="46"/>
        <v>200000</v>
      </c>
      <c r="J726" s="20">
        <f t="shared" si="44"/>
        <v>90000</v>
      </c>
      <c r="K726" s="171">
        <f t="shared" si="45"/>
        <v>110000</v>
      </c>
      <c r="N726" s="17">
        <f t="shared" si="43"/>
        <v>110000</v>
      </c>
      <c r="O726" s="282" t="s">
        <v>23</v>
      </c>
      <c r="P726" s="20"/>
      <c r="Q726" s="10" t="s">
        <v>54</v>
      </c>
    </row>
    <row r="727" spans="1:17" s="364" customFormat="1" ht="15.6">
      <c r="A727" s="991">
        <v>44523</v>
      </c>
      <c r="B727" s="282" t="s">
        <v>23</v>
      </c>
      <c r="C727" s="283" t="s">
        <v>7981</v>
      </c>
      <c r="D727" s="29" t="s">
        <v>7982</v>
      </c>
      <c r="E727" s="984" t="s">
        <v>8398</v>
      </c>
      <c r="F727" s="987" t="s">
        <v>8399</v>
      </c>
      <c r="G727" s="319">
        <v>2</v>
      </c>
      <c r="H727" s="1001">
        <v>88000</v>
      </c>
      <c r="I727" s="86">
        <f t="shared" si="46"/>
        <v>176000</v>
      </c>
      <c r="J727" s="20">
        <f t="shared" si="44"/>
        <v>79200</v>
      </c>
      <c r="K727" s="171">
        <f t="shared" si="45"/>
        <v>96800</v>
      </c>
      <c r="N727" s="17">
        <f t="shared" si="43"/>
        <v>96800</v>
      </c>
      <c r="O727" s="282" t="s">
        <v>23</v>
      </c>
      <c r="P727" s="20"/>
      <c r="Q727" s="10" t="s">
        <v>54</v>
      </c>
    </row>
    <row r="728" spans="1:17" s="364" customFormat="1" ht="15.6">
      <c r="A728" s="991">
        <v>44523</v>
      </c>
      <c r="B728" s="282" t="s">
        <v>23</v>
      </c>
      <c r="C728" s="283" t="s">
        <v>7981</v>
      </c>
      <c r="D728" s="29" t="s">
        <v>7982</v>
      </c>
      <c r="E728" s="984" t="s">
        <v>3003</v>
      </c>
      <c r="F728" s="987" t="s">
        <v>3004</v>
      </c>
      <c r="G728" s="319">
        <v>2</v>
      </c>
      <c r="H728" s="999">
        <v>151000</v>
      </c>
      <c r="I728" s="86">
        <f t="shared" si="46"/>
        <v>302000</v>
      </c>
      <c r="J728" s="20">
        <f t="shared" si="44"/>
        <v>135900</v>
      </c>
      <c r="K728" s="171">
        <f t="shared" si="45"/>
        <v>166100</v>
      </c>
      <c r="N728" s="17">
        <f t="shared" si="43"/>
        <v>166100</v>
      </c>
      <c r="O728" s="282" t="s">
        <v>23</v>
      </c>
      <c r="P728" s="20"/>
      <c r="Q728" s="10" t="s">
        <v>54</v>
      </c>
    </row>
    <row r="729" spans="1:17" s="364" customFormat="1" ht="15.6">
      <c r="A729" s="991">
        <v>44523</v>
      </c>
      <c r="B729" s="282" t="s">
        <v>23</v>
      </c>
      <c r="C729" s="283" t="s">
        <v>7981</v>
      </c>
      <c r="D729" s="29" t="s">
        <v>7982</v>
      </c>
      <c r="E729" s="984" t="s">
        <v>8400</v>
      </c>
      <c r="F729" s="984" t="s">
        <v>8401</v>
      </c>
      <c r="G729" s="319">
        <v>2</v>
      </c>
      <c r="H729" s="999">
        <v>208000</v>
      </c>
      <c r="I729" s="86">
        <f t="shared" si="46"/>
        <v>416000</v>
      </c>
      <c r="J729" s="20">
        <f t="shared" si="44"/>
        <v>187200</v>
      </c>
      <c r="K729" s="171">
        <f t="shared" si="45"/>
        <v>228800</v>
      </c>
      <c r="N729" s="17">
        <f t="shared" si="43"/>
        <v>228800</v>
      </c>
      <c r="O729" s="282" t="s">
        <v>23</v>
      </c>
      <c r="P729" s="20"/>
      <c r="Q729" s="10" t="s">
        <v>54</v>
      </c>
    </row>
    <row r="730" spans="1:17" s="364" customFormat="1" ht="15.6">
      <c r="A730" s="991">
        <v>44523</v>
      </c>
      <c r="B730" s="282" t="s">
        <v>23</v>
      </c>
      <c r="C730" s="283" t="s">
        <v>7981</v>
      </c>
      <c r="D730" s="29" t="s">
        <v>7982</v>
      </c>
      <c r="E730" s="984" t="s">
        <v>8402</v>
      </c>
      <c r="F730" s="984" t="s">
        <v>8403</v>
      </c>
      <c r="G730" s="319">
        <v>2</v>
      </c>
      <c r="H730" s="996">
        <v>91000</v>
      </c>
      <c r="I730" s="86">
        <f t="shared" si="46"/>
        <v>182000</v>
      </c>
      <c r="J730" s="20">
        <f t="shared" si="44"/>
        <v>81900</v>
      </c>
      <c r="K730" s="171">
        <f t="shared" si="45"/>
        <v>100100</v>
      </c>
      <c r="N730" s="17">
        <f t="shared" si="43"/>
        <v>100100</v>
      </c>
      <c r="O730" s="282" t="s">
        <v>23</v>
      </c>
      <c r="P730" s="20"/>
      <c r="Q730" s="10" t="s">
        <v>54</v>
      </c>
    </row>
    <row r="731" spans="1:17" s="364" customFormat="1" ht="15.6">
      <c r="A731" s="991">
        <v>44523</v>
      </c>
      <c r="B731" s="282" t="s">
        <v>23</v>
      </c>
      <c r="C731" s="283" t="s">
        <v>7981</v>
      </c>
      <c r="D731" s="29" t="s">
        <v>7982</v>
      </c>
      <c r="E731" s="984" t="s">
        <v>8404</v>
      </c>
      <c r="F731" s="984" t="s">
        <v>8405</v>
      </c>
      <c r="G731" s="319">
        <v>2</v>
      </c>
      <c r="H731" s="996">
        <v>208000</v>
      </c>
      <c r="I731" s="86">
        <f t="shared" si="46"/>
        <v>416000</v>
      </c>
      <c r="J731" s="20">
        <f t="shared" si="44"/>
        <v>187200</v>
      </c>
      <c r="K731" s="171">
        <f t="shared" si="45"/>
        <v>228800</v>
      </c>
      <c r="N731" s="17">
        <f t="shared" ref="N731:N794" si="47">K731+L731+M731</f>
        <v>228800</v>
      </c>
      <c r="O731" s="282" t="s">
        <v>23</v>
      </c>
      <c r="P731" s="20"/>
      <c r="Q731" s="10" t="s">
        <v>54</v>
      </c>
    </row>
    <row r="732" spans="1:17" s="364" customFormat="1" ht="15.6">
      <c r="A732" s="991">
        <v>44523</v>
      </c>
      <c r="B732" s="282" t="s">
        <v>23</v>
      </c>
      <c r="C732" s="283" t="s">
        <v>7981</v>
      </c>
      <c r="D732" s="29" t="s">
        <v>7982</v>
      </c>
      <c r="E732" s="984" t="s">
        <v>8406</v>
      </c>
      <c r="F732" s="987" t="s">
        <v>8407</v>
      </c>
      <c r="G732" s="319">
        <v>2</v>
      </c>
      <c r="H732" s="996">
        <v>77000</v>
      </c>
      <c r="I732" s="86">
        <f t="shared" si="46"/>
        <v>154000</v>
      </c>
      <c r="J732" s="20">
        <f t="shared" si="44"/>
        <v>69300</v>
      </c>
      <c r="K732" s="171">
        <f t="shared" si="45"/>
        <v>84700</v>
      </c>
      <c r="N732" s="17">
        <f t="shared" si="47"/>
        <v>84700</v>
      </c>
      <c r="O732" s="282" t="s">
        <v>23</v>
      </c>
      <c r="P732" s="20"/>
      <c r="Q732" s="10" t="s">
        <v>54</v>
      </c>
    </row>
    <row r="733" spans="1:17" s="364" customFormat="1" ht="15.6">
      <c r="A733" s="991">
        <v>44523</v>
      </c>
      <c r="B733" s="282" t="s">
        <v>23</v>
      </c>
      <c r="C733" s="283" t="s">
        <v>7981</v>
      </c>
      <c r="D733" s="29" t="s">
        <v>7982</v>
      </c>
      <c r="E733" s="984" t="s">
        <v>2985</v>
      </c>
      <c r="F733" s="984" t="s">
        <v>2986</v>
      </c>
      <c r="G733" s="319">
        <v>2</v>
      </c>
      <c r="H733" s="999">
        <v>157000</v>
      </c>
      <c r="I733" s="86">
        <f t="shared" si="46"/>
        <v>314000</v>
      </c>
      <c r="J733" s="20">
        <f t="shared" si="44"/>
        <v>141300</v>
      </c>
      <c r="K733" s="171">
        <f t="shared" si="45"/>
        <v>172700</v>
      </c>
      <c r="N733" s="17">
        <f t="shared" si="47"/>
        <v>172700</v>
      </c>
      <c r="O733" s="282" t="s">
        <v>23</v>
      </c>
      <c r="P733" s="20"/>
      <c r="Q733" s="10" t="s">
        <v>54</v>
      </c>
    </row>
    <row r="734" spans="1:17" s="364" customFormat="1" ht="15.6">
      <c r="A734" s="991">
        <v>44523</v>
      </c>
      <c r="B734" s="282" t="s">
        <v>23</v>
      </c>
      <c r="C734" s="283" t="s">
        <v>7981</v>
      </c>
      <c r="D734" s="29" t="s">
        <v>7982</v>
      </c>
      <c r="E734" s="984" t="s">
        <v>8408</v>
      </c>
      <c r="F734" s="987" t="s">
        <v>8409</v>
      </c>
      <c r="G734" s="319">
        <v>2</v>
      </c>
      <c r="H734" s="999">
        <v>81000</v>
      </c>
      <c r="I734" s="86">
        <f t="shared" si="46"/>
        <v>162000</v>
      </c>
      <c r="J734" s="20">
        <f t="shared" si="44"/>
        <v>72900</v>
      </c>
      <c r="K734" s="171">
        <f t="shared" si="45"/>
        <v>89100</v>
      </c>
      <c r="N734" s="17">
        <f t="shared" si="47"/>
        <v>89100</v>
      </c>
      <c r="O734" s="282" t="s">
        <v>23</v>
      </c>
      <c r="P734" s="20"/>
      <c r="Q734" s="10" t="s">
        <v>54</v>
      </c>
    </row>
    <row r="735" spans="1:17" s="364" customFormat="1" ht="15.6">
      <c r="A735" s="991">
        <v>44523</v>
      </c>
      <c r="B735" s="282" t="s">
        <v>23</v>
      </c>
      <c r="C735" s="283" t="s">
        <v>7981</v>
      </c>
      <c r="D735" s="29" t="s">
        <v>7982</v>
      </c>
      <c r="E735" s="984" t="s">
        <v>8410</v>
      </c>
      <c r="F735" s="987" t="s">
        <v>8411</v>
      </c>
      <c r="G735" s="319">
        <v>2</v>
      </c>
      <c r="H735" s="996">
        <v>85000</v>
      </c>
      <c r="I735" s="86">
        <f t="shared" si="46"/>
        <v>170000</v>
      </c>
      <c r="J735" s="20">
        <f t="shared" si="44"/>
        <v>76500</v>
      </c>
      <c r="K735" s="171">
        <f t="shared" si="45"/>
        <v>93500</v>
      </c>
      <c r="N735" s="17">
        <f t="shared" si="47"/>
        <v>93500</v>
      </c>
      <c r="O735" s="282" t="s">
        <v>23</v>
      </c>
      <c r="P735" s="20"/>
      <c r="Q735" s="10" t="s">
        <v>54</v>
      </c>
    </row>
    <row r="736" spans="1:17" s="364" customFormat="1" ht="15.6">
      <c r="A736" s="991">
        <v>44523</v>
      </c>
      <c r="B736" s="282" t="s">
        <v>23</v>
      </c>
      <c r="C736" s="283" t="s">
        <v>7981</v>
      </c>
      <c r="D736" s="29" t="s">
        <v>7982</v>
      </c>
      <c r="E736" s="984" t="s">
        <v>8412</v>
      </c>
      <c r="F736" s="987" t="s">
        <v>8413</v>
      </c>
      <c r="G736" s="319">
        <v>2</v>
      </c>
      <c r="H736" s="1011">
        <v>66000</v>
      </c>
      <c r="I736" s="86">
        <f t="shared" si="46"/>
        <v>132000</v>
      </c>
      <c r="J736" s="20">
        <f t="shared" si="44"/>
        <v>59400</v>
      </c>
      <c r="K736" s="171">
        <f t="shared" si="45"/>
        <v>72600</v>
      </c>
      <c r="N736" s="17">
        <f t="shared" si="47"/>
        <v>72600</v>
      </c>
      <c r="O736" s="282" t="s">
        <v>23</v>
      </c>
      <c r="P736" s="20"/>
      <c r="Q736" s="10" t="s">
        <v>54</v>
      </c>
    </row>
    <row r="737" spans="1:17" s="364" customFormat="1" ht="15.6">
      <c r="A737" s="991">
        <v>44523</v>
      </c>
      <c r="B737" s="282" t="s">
        <v>23</v>
      </c>
      <c r="C737" s="283" t="s">
        <v>7981</v>
      </c>
      <c r="D737" s="29" t="s">
        <v>7982</v>
      </c>
      <c r="E737" s="984" t="s">
        <v>8414</v>
      </c>
      <c r="F737" s="984" t="s">
        <v>8415</v>
      </c>
      <c r="G737" s="319">
        <v>2</v>
      </c>
      <c r="H737" s="999">
        <v>109000</v>
      </c>
      <c r="I737" s="86">
        <f t="shared" si="46"/>
        <v>218000</v>
      </c>
      <c r="J737" s="20">
        <f t="shared" si="44"/>
        <v>98100</v>
      </c>
      <c r="K737" s="171">
        <f t="shared" si="45"/>
        <v>119900</v>
      </c>
      <c r="N737" s="17">
        <f t="shared" si="47"/>
        <v>119900</v>
      </c>
      <c r="O737" s="282" t="s">
        <v>23</v>
      </c>
      <c r="P737" s="20"/>
      <c r="Q737" s="10" t="s">
        <v>54</v>
      </c>
    </row>
    <row r="738" spans="1:17" s="364" customFormat="1" ht="15.6">
      <c r="A738" s="991">
        <v>44523</v>
      </c>
      <c r="B738" s="282" t="s">
        <v>23</v>
      </c>
      <c r="C738" s="283" t="s">
        <v>7981</v>
      </c>
      <c r="D738" s="29" t="s">
        <v>7982</v>
      </c>
      <c r="E738" s="984" t="s">
        <v>8416</v>
      </c>
      <c r="F738" s="987" t="s">
        <v>226</v>
      </c>
      <c r="G738" s="319">
        <v>2</v>
      </c>
      <c r="H738" s="1001">
        <v>94000</v>
      </c>
      <c r="I738" s="86">
        <f t="shared" si="46"/>
        <v>188000</v>
      </c>
      <c r="J738" s="20">
        <f t="shared" si="44"/>
        <v>84600</v>
      </c>
      <c r="K738" s="171">
        <f t="shared" si="45"/>
        <v>103400</v>
      </c>
      <c r="N738" s="17">
        <f t="shared" si="47"/>
        <v>103400</v>
      </c>
      <c r="O738" s="282" t="s">
        <v>23</v>
      </c>
      <c r="P738" s="20"/>
      <c r="Q738" s="10" t="s">
        <v>54</v>
      </c>
    </row>
    <row r="739" spans="1:17" s="364" customFormat="1" ht="15.6">
      <c r="A739" s="991">
        <v>44523</v>
      </c>
      <c r="B739" s="282" t="s">
        <v>23</v>
      </c>
      <c r="C739" s="283" t="s">
        <v>7981</v>
      </c>
      <c r="D739" s="29" t="s">
        <v>7982</v>
      </c>
      <c r="E739" s="984" t="s">
        <v>141</v>
      </c>
      <c r="F739" s="987" t="s">
        <v>142</v>
      </c>
      <c r="G739" s="319">
        <v>2</v>
      </c>
      <c r="H739" s="1001">
        <v>68000</v>
      </c>
      <c r="I739" s="86">
        <f t="shared" si="46"/>
        <v>136000</v>
      </c>
      <c r="J739" s="20">
        <f t="shared" si="44"/>
        <v>61200</v>
      </c>
      <c r="K739" s="171">
        <f t="shared" si="45"/>
        <v>74800</v>
      </c>
      <c r="N739" s="17">
        <f t="shared" si="47"/>
        <v>74800</v>
      </c>
      <c r="O739" s="282" t="s">
        <v>23</v>
      </c>
      <c r="P739" s="20"/>
      <c r="Q739" s="10" t="s">
        <v>54</v>
      </c>
    </row>
    <row r="740" spans="1:17" s="364" customFormat="1" ht="15.6">
      <c r="A740" s="991">
        <v>44523</v>
      </c>
      <c r="B740" s="282" t="s">
        <v>23</v>
      </c>
      <c r="C740" s="283" t="s">
        <v>7981</v>
      </c>
      <c r="D740" s="29" t="s">
        <v>7982</v>
      </c>
      <c r="E740" s="984" t="s">
        <v>8417</v>
      </c>
      <c r="F740" s="984" t="s">
        <v>8418</v>
      </c>
      <c r="G740" s="319">
        <v>2</v>
      </c>
      <c r="H740" s="999">
        <v>167000</v>
      </c>
      <c r="I740" s="86">
        <f t="shared" si="46"/>
        <v>334000</v>
      </c>
      <c r="J740" s="20">
        <f t="shared" si="44"/>
        <v>150300</v>
      </c>
      <c r="K740" s="171">
        <f t="shared" si="45"/>
        <v>183700</v>
      </c>
      <c r="N740" s="17">
        <f t="shared" si="47"/>
        <v>183700</v>
      </c>
      <c r="O740" s="282" t="s">
        <v>23</v>
      </c>
      <c r="P740" s="20"/>
      <c r="Q740" s="10" t="s">
        <v>54</v>
      </c>
    </row>
    <row r="741" spans="1:17" s="364" customFormat="1" ht="15.6">
      <c r="A741" s="991">
        <v>44523</v>
      </c>
      <c r="B741" s="282" t="s">
        <v>23</v>
      </c>
      <c r="C741" s="283" t="s">
        <v>7981</v>
      </c>
      <c r="D741" s="29" t="s">
        <v>7982</v>
      </c>
      <c r="E741" s="984" t="s">
        <v>8419</v>
      </c>
      <c r="F741" s="987" t="s">
        <v>8420</v>
      </c>
      <c r="G741" s="319">
        <v>2</v>
      </c>
      <c r="H741" s="999">
        <v>97000</v>
      </c>
      <c r="I741" s="86">
        <f t="shared" si="46"/>
        <v>194000</v>
      </c>
      <c r="J741" s="20">
        <f t="shared" si="44"/>
        <v>87300</v>
      </c>
      <c r="K741" s="171">
        <f t="shared" si="45"/>
        <v>106700</v>
      </c>
      <c r="N741" s="17">
        <f t="shared" si="47"/>
        <v>106700</v>
      </c>
      <c r="O741" s="282" t="s">
        <v>23</v>
      </c>
      <c r="P741" s="20"/>
      <c r="Q741" s="10" t="s">
        <v>54</v>
      </c>
    </row>
    <row r="742" spans="1:17" s="364" customFormat="1" ht="15.6">
      <c r="A742" s="991">
        <v>44523</v>
      </c>
      <c r="B742" s="282" t="s">
        <v>23</v>
      </c>
      <c r="C742" s="283" t="s">
        <v>7981</v>
      </c>
      <c r="D742" s="29" t="s">
        <v>7982</v>
      </c>
      <c r="E742" s="984" t="s">
        <v>3215</v>
      </c>
      <c r="F742" s="987" t="s">
        <v>2208</v>
      </c>
      <c r="G742" s="319">
        <v>2</v>
      </c>
      <c r="H742" s="999">
        <v>94000</v>
      </c>
      <c r="I742" s="86">
        <f t="shared" si="46"/>
        <v>188000</v>
      </c>
      <c r="J742" s="20">
        <f t="shared" si="44"/>
        <v>84600</v>
      </c>
      <c r="K742" s="171">
        <f t="shared" si="45"/>
        <v>103400</v>
      </c>
      <c r="N742" s="17">
        <f t="shared" si="47"/>
        <v>103400</v>
      </c>
      <c r="O742" s="282" t="s">
        <v>23</v>
      </c>
      <c r="P742" s="20"/>
      <c r="Q742" s="10" t="s">
        <v>54</v>
      </c>
    </row>
    <row r="743" spans="1:17" s="364" customFormat="1" ht="15.6">
      <c r="A743" s="991">
        <v>44523</v>
      </c>
      <c r="B743" s="282" t="s">
        <v>23</v>
      </c>
      <c r="C743" s="283" t="s">
        <v>7981</v>
      </c>
      <c r="D743" s="29" t="s">
        <v>7982</v>
      </c>
      <c r="E743" s="984" t="s">
        <v>8421</v>
      </c>
      <c r="F743" s="984" t="s">
        <v>1051</v>
      </c>
      <c r="G743" s="319">
        <v>2</v>
      </c>
      <c r="H743" s="1001">
        <v>61000</v>
      </c>
      <c r="I743" s="86">
        <f t="shared" si="46"/>
        <v>122000</v>
      </c>
      <c r="J743" s="20">
        <f t="shared" si="44"/>
        <v>54900</v>
      </c>
      <c r="K743" s="171">
        <f t="shared" si="45"/>
        <v>67100</v>
      </c>
      <c r="N743" s="17">
        <f t="shared" si="47"/>
        <v>67100</v>
      </c>
      <c r="O743" s="282" t="s">
        <v>23</v>
      </c>
      <c r="P743" s="20"/>
      <c r="Q743" s="10" t="s">
        <v>54</v>
      </c>
    </row>
    <row r="744" spans="1:17" s="364" customFormat="1" ht="15.6">
      <c r="A744" s="991">
        <v>44523</v>
      </c>
      <c r="B744" s="282" t="s">
        <v>23</v>
      </c>
      <c r="C744" s="283" t="s">
        <v>7981</v>
      </c>
      <c r="D744" s="29" t="s">
        <v>7982</v>
      </c>
      <c r="E744" s="984" t="s">
        <v>8422</v>
      </c>
      <c r="F744" s="987" t="s">
        <v>4146</v>
      </c>
      <c r="G744" s="319">
        <v>2</v>
      </c>
      <c r="H744" s="999">
        <v>71500</v>
      </c>
      <c r="I744" s="86">
        <f t="shared" si="46"/>
        <v>143000</v>
      </c>
      <c r="J744" s="20">
        <f t="shared" si="44"/>
        <v>64350</v>
      </c>
      <c r="K744" s="171">
        <f t="shared" si="45"/>
        <v>78650</v>
      </c>
      <c r="N744" s="17">
        <f t="shared" si="47"/>
        <v>78650</v>
      </c>
      <c r="O744" s="282" t="s">
        <v>23</v>
      </c>
      <c r="P744" s="20"/>
      <c r="Q744" s="10" t="s">
        <v>54</v>
      </c>
    </row>
    <row r="745" spans="1:17" s="364" customFormat="1" ht="15.6">
      <c r="A745" s="991">
        <v>44523</v>
      </c>
      <c r="B745" s="282" t="s">
        <v>23</v>
      </c>
      <c r="C745" s="283" t="s">
        <v>7981</v>
      </c>
      <c r="D745" s="29" t="s">
        <v>7982</v>
      </c>
      <c r="E745" s="984" t="s">
        <v>8423</v>
      </c>
      <c r="F745" s="987" t="s">
        <v>8291</v>
      </c>
      <c r="G745" s="319">
        <v>2</v>
      </c>
      <c r="H745" s="999">
        <v>163000</v>
      </c>
      <c r="I745" s="86">
        <f t="shared" si="46"/>
        <v>326000</v>
      </c>
      <c r="J745" s="20">
        <f t="shared" ref="J745:J808" si="48">I745*45%</f>
        <v>146700</v>
      </c>
      <c r="K745" s="171">
        <f t="shared" si="45"/>
        <v>179300</v>
      </c>
      <c r="N745" s="17">
        <f t="shared" si="47"/>
        <v>179300</v>
      </c>
      <c r="O745" s="282" t="s">
        <v>23</v>
      </c>
      <c r="P745" s="20"/>
      <c r="Q745" s="10" t="s">
        <v>54</v>
      </c>
    </row>
    <row r="746" spans="1:17" s="364" customFormat="1" ht="15.6">
      <c r="A746" s="991">
        <v>44523</v>
      </c>
      <c r="B746" s="282" t="s">
        <v>23</v>
      </c>
      <c r="C746" s="283" t="s">
        <v>7981</v>
      </c>
      <c r="D746" s="29" t="s">
        <v>7982</v>
      </c>
      <c r="E746" s="984" t="s">
        <v>8424</v>
      </c>
      <c r="F746" s="984" t="s">
        <v>8425</v>
      </c>
      <c r="G746" s="319">
        <v>2</v>
      </c>
      <c r="H746" s="999">
        <v>152000</v>
      </c>
      <c r="I746" s="86">
        <f t="shared" si="46"/>
        <v>304000</v>
      </c>
      <c r="J746" s="20">
        <f t="shared" si="48"/>
        <v>136800</v>
      </c>
      <c r="K746" s="171">
        <f t="shared" si="45"/>
        <v>167200</v>
      </c>
      <c r="N746" s="17">
        <f t="shared" si="47"/>
        <v>167200</v>
      </c>
      <c r="O746" s="282" t="s">
        <v>23</v>
      </c>
      <c r="P746" s="20"/>
      <c r="Q746" s="10" t="s">
        <v>54</v>
      </c>
    </row>
    <row r="747" spans="1:17" s="364" customFormat="1" ht="15.6">
      <c r="A747" s="991">
        <v>44523</v>
      </c>
      <c r="B747" s="282" t="s">
        <v>23</v>
      </c>
      <c r="C747" s="283" t="s">
        <v>7981</v>
      </c>
      <c r="D747" s="29" t="s">
        <v>7982</v>
      </c>
      <c r="E747" s="984" t="s">
        <v>8426</v>
      </c>
      <c r="F747" s="987" t="s">
        <v>8427</v>
      </c>
      <c r="G747" s="319">
        <v>2</v>
      </c>
      <c r="H747" s="996">
        <v>61000</v>
      </c>
      <c r="I747" s="86">
        <f t="shared" si="46"/>
        <v>122000</v>
      </c>
      <c r="J747" s="20">
        <f t="shared" si="48"/>
        <v>54900</v>
      </c>
      <c r="K747" s="171">
        <f t="shared" si="45"/>
        <v>67100</v>
      </c>
      <c r="N747" s="17">
        <f t="shared" si="47"/>
        <v>67100</v>
      </c>
      <c r="O747" s="282" t="s">
        <v>23</v>
      </c>
      <c r="P747" s="20"/>
      <c r="Q747" s="10" t="s">
        <v>54</v>
      </c>
    </row>
    <row r="748" spans="1:17" s="364" customFormat="1" ht="15.6">
      <c r="A748" s="991">
        <v>44523</v>
      </c>
      <c r="B748" s="282" t="s">
        <v>23</v>
      </c>
      <c r="C748" s="283" t="s">
        <v>7981</v>
      </c>
      <c r="D748" s="29" t="s">
        <v>7982</v>
      </c>
      <c r="E748" s="984" t="s">
        <v>8428</v>
      </c>
      <c r="F748" s="984" t="s">
        <v>8299</v>
      </c>
      <c r="G748" s="319">
        <v>2</v>
      </c>
      <c r="H748" s="996">
        <v>78000</v>
      </c>
      <c r="I748" s="86">
        <f t="shared" si="46"/>
        <v>156000</v>
      </c>
      <c r="J748" s="20">
        <f t="shared" si="48"/>
        <v>70200</v>
      </c>
      <c r="K748" s="171">
        <f t="shared" si="45"/>
        <v>85800</v>
      </c>
      <c r="N748" s="17">
        <f t="shared" si="47"/>
        <v>85800</v>
      </c>
      <c r="O748" s="282" t="s">
        <v>23</v>
      </c>
      <c r="P748" s="20"/>
      <c r="Q748" s="10" t="s">
        <v>54</v>
      </c>
    </row>
    <row r="749" spans="1:17" s="364" customFormat="1" ht="15.6">
      <c r="A749" s="991">
        <v>44523</v>
      </c>
      <c r="B749" s="282" t="s">
        <v>23</v>
      </c>
      <c r="C749" s="283" t="s">
        <v>7981</v>
      </c>
      <c r="D749" s="29" t="s">
        <v>7982</v>
      </c>
      <c r="E749" s="984" t="s">
        <v>8429</v>
      </c>
      <c r="F749" s="987" t="s">
        <v>8389</v>
      </c>
      <c r="G749" s="319">
        <v>2</v>
      </c>
      <c r="H749" s="996">
        <v>76000</v>
      </c>
      <c r="I749" s="86">
        <f t="shared" si="46"/>
        <v>152000</v>
      </c>
      <c r="J749" s="20">
        <f t="shared" si="48"/>
        <v>68400</v>
      </c>
      <c r="K749" s="171">
        <f t="shared" si="45"/>
        <v>83600</v>
      </c>
      <c r="N749" s="17">
        <f t="shared" si="47"/>
        <v>83600</v>
      </c>
      <c r="O749" s="282" t="s">
        <v>23</v>
      </c>
      <c r="P749" s="20"/>
      <c r="Q749" s="10" t="s">
        <v>54</v>
      </c>
    </row>
    <row r="750" spans="1:17" s="364" customFormat="1" ht="15.6">
      <c r="A750" s="991">
        <v>44523</v>
      </c>
      <c r="B750" s="282" t="s">
        <v>23</v>
      </c>
      <c r="C750" s="283" t="s">
        <v>7981</v>
      </c>
      <c r="D750" s="29" t="s">
        <v>7982</v>
      </c>
      <c r="E750" s="984" t="s">
        <v>728</v>
      </c>
      <c r="F750" s="987" t="s">
        <v>729</v>
      </c>
      <c r="G750" s="319">
        <v>2</v>
      </c>
      <c r="H750" s="999">
        <v>70000</v>
      </c>
      <c r="I750" s="86">
        <f t="shared" si="46"/>
        <v>140000</v>
      </c>
      <c r="J750" s="20">
        <f t="shared" si="48"/>
        <v>63000</v>
      </c>
      <c r="K750" s="171">
        <f t="shared" si="45"/>
        <v>77000</v>
      </c>
      <c r="N750" s="17">
        <f t="shared" si="47"/>
        <v>77000</v>
      </c>
      <c r="O750" s="282" t="s">
        <v>23</v>
      </c>
      <c r="P750" s="20"/>
      <c r="Q750" s="10" t="s">
        <v>54</v>
      </c>
    </row>
    <row r="751" spans="1:17" s="364" customFormat="1" ht="15.6">
      <c r="A751" s="991">
        <v>44523</v>
      </c>
      <c r="B751" s="282" t="s">
        <v>23</v>
      </c>
      <c r="C751" s="283" t="s">
        <v>7981</v>
      </c>
      <c r="D751" s="29" t="s">
        <v>7982</v>
      </c>
      <c r="E751" s="984" t="s">
        <v>8430</v>
      </c>
      <c r="F751" s="987" t="s">
        <v>6620</v>
      </c>
      <c r="G751" s="319">
        <v>2</v>
      </c>
      <c r="H751" s="996">
        <v>116000</v>
      </c>
      <c r="I751" s="86">
        <f t="shared" si="46"/>
        <v>232000</v>
      </c>
      <c r="J751" s="20">
        <f t="shared" si="48"/>
        <v>104400</v>
      </c>
      <c r="K751" s="171">
        <f t="shared" si="45"/>
        <v>127600</v>
      </c>
      <c r="N751" s="17">
        <f t="shared" si="47"/>
        <v>127600</v>
      </c>
      <c r="O751" s="282" t="s">
        <v>23</v>
      </c>
      <c r="P751" s="20"/>
      <c r="Q751" s="10" t="s">
        <v>54</v>
      </c>
    </row>
    <row r="752" spans="1:17" s="364" customFormat="1" ht="15.6">
      <c r="A752" s="991">
        <v>44523</v>
      </c>
      <c r="B752" s="282" t="s">
        <v>23</v>
      </c>
      <c r="C752" s="283" t="s">
        <v>7981</v>
      </c>
      <c r="D752" s="29" t="s">
        <v>7982</v>
      </c>
      <c r="E752" s="984" t="s">
        <v>1725</v>
      </c>
      <c r="F752" s="987" t="s">
        <v>1726</v>
      </c>
      <c r="G752" s="319">
        <v>2</v>
      </c>
      <c r="H752" s="1001">
        <v>96000</v>
      </c>
      <c r="I752" s="86">
        <f t="shared" si="46"/>
        <v>192000</v>
      </c>
      <c r="J752" s="20">
        <f t="shared" si="48"/>
        <v>86400</v>
      </c>
      <c r="K752" s="171">
        <f t="shared" si="45"/>
        <v>105600</v>
      </c>
      <c r="N752" s="17">
        <f t="shared" si="47"/>
        <v>105600</v>
      </c>
      <c r="O752" s="282" t="s">
        <v>23</v>
      </c>
      <c r="P752" s="20"/>
      <c r="Q752" s="10" t="s">
        <v>54</v>
      </c>
    </row>
    <row r="753" spans="1:17" s="364" customFormat="1" ht="15.6">
      <c r="A753" s="991">
        <v>44523</v>
      </c>
      <c r="B753" s="282" t="s">
        <v>23</v>
      </c>
      <c r="C753" s="283" t="s">
        <v>7981</v>
      </c>
      <c r="D753" s="29" t="s">
        <v>7982</v>
      </c>
      <c r="E753" s="984" t="s">
        <v>5553</v>
      </c>
      <c r="F753" s="987" t="s">
        <v>8431</v>
      </c>
      <c r="G753" s="319">
        <v>2</v>
      </c>
      <c r="H753" s="996">
        <v>72500</v>
      </c>
      <c r="I753" s="86">
        <f t="shared" si="46"/>
        <v>145000</v>
      </c>
      <c r="J753" s="20">
        <f t="shared" si="48"/>
        <v>65250</v>
      </c>
      <c r="K753" s="171">
        <f t="shared" si="45"/>
        <v>79750</v>
      </c>
      <c r="N753" s="17">
        <f t="shared" si="47"/>
        <v>79750</v>
      </c>
      <c r="O753" s="282" t="s">
        <v>23</v>
      </c>
      <c r="P753" s="20"/>
      <c r="Q753" s="10" t="s">
        <v>54</v>
      </c>
    </row>
    <row r="754" spans="1:17" s="364" customFormat="1" ht="15.6">
      <c r="A754" s="991">
        <v>44523</v>
      </c>
      <c r="B754" s="282" t="s">
        <v>23</v>
      </c>
      <c r="C754" s="283" t="s">
        <v>7981</v>
      </c>
      <c r="D754" s="29" t="s">
        <v>7982</v>
      </c>
      <c r="E754" s="984" t="s">
        <v>8432</v>
      </c>
      <c r="F754" s="984" t="s">
        <v>7753</v>
      </c>
      <c r="G754" s="319">
        <v>2</v>
      </c>
      <c r="H754" s="1001">
        <v>158000</v>
      </c>
      <c r="I754" s="86">
        <f t="shared" si="46"/>
        <v>316000</v>
      </c>
      <c r="J754" s="20">
        <f t="shared" si="48"/>
        <v>142200</v>
      </c>
      <c r="K754" s="171">
        <f t="shared" si="45"/>
        <v>173800</v>
      </c>
      <c r="N754" s="17">
        <f t="shared" si="47"/>
        <v>173800</v>
      </c>
      <c r="O754" s="282" t="s">
        <v>23</v>
      </c>
      <c r="P754" s="20"/>
      <c r="Q754" s="10" t="s">
        <v>54</v>
      </c>
    </row>
    <row r="755" spans="1:17" s="364" customFormat="1" ht="15.6">
      <c r="A755" s="991">
        <v>44523</v>
      </c>
      <c r="B755" s="282" t="s">
        <v>23</v>
      </c>
      <c r="C755" s="283" t="s">
        <v>7981</v>
      </c>
      <c r="D755" s="29" t="s">
        <v>7982</v>
      </c>
      <c r="E755" s="984" t="s">
        <v>8433</v>
      </c>
      <c r="F755" s="987" t="s">
        <v>8434</v>
      </c>
      <c r="G755" s="319">
        <v>2</v>
      </c>
      <c r="H755" s="999">
        <v>121000</v>
      </c>
      <c r="I755" s="86">
        <f t="shared" si="46"/>
        <v>242000</v>
      </c>
      <c r="J755" s="20">
        <f t="shared" si="48"/>
        <v>108900</v>
      </c>
      <c r="K755" s="171">
        <f t="shared" si="45"/>
        <v>133100</v>
      </c>
      <c r="N755" s="17">
        <f t="shared" si="47"/>
        <v>133100</v>
      </c>
      <c r="O755" s="282" t="s">
        <v>23</v>
      </c>
      <c r="P755" s="20"/>
      <c r="Q755" s="10" t="s">
        <v>54</v>
      </c>
    </row>
    <row r="756" spans="1:17" s="364" customFormat="1" ht="15.6">
      <c r="A756" s="991">
        <v>44523</v>
      </c>
      <c r="B756" s="282" t="s">
        <v>23</v>
      </c>
      <c r="C756" s="283" t="s">
        <v>7981</v>
      </c>
      <c r="D756" s="29" t="s">
        <v>7982</v>
      </c>
      <c r="E756" s="984" t="s">
        <v>2114</v>
      </c>
      <c r="F756" s="984" t="s">
        <v>1858</v>
      </c>
      <c r="G756" s="319">
        <v>2</v>
      </c>
      <c r="H756" s="1001">
        <v>58000</v>
      </c>
      <c r="I756" s="86">
        <f t="shared" si="46"/>
        <v>116000</v>
      </c>
      <c r="J756" s="20">
        <f t="shared" si="48"/>
        <v>52200</v>
      </c>
      <c r="K756" s="171">
        <f t="shared" si="45"/>
        <v>63800</v>
      </c>
      <c r="N756" s="17">
        <f t="shared" si="47"/>
        <v>63800</v>
      </c>
      <c r="O756" s="282" t="s">
        <v>23</v>
      </c>
      <c r="P756" s="20"/>
      <c r="Q756" s="10" t="s">
        <v>54</v>
      </c>
    </row>
    <row r="757" spans="1:17" s="364" customFormat="1" ht="15.6">
      <c r="A757" s="991">
        <v>44523</v>
      </c>
      <c r="B757" s="282" t="s">
        <v>23</v>
      </c>
      <c r="C757" s="283" t="s">
        <v>7981</v>
      </c>
      <c r="D757" s="29" t="s">
        <v>7982</v>
      </c>
      <c r="E757" s="984" t="s">
        <v>4408</v>
      </c>
      <c r="F757" s="987" t="s">
        <v>4409</v>
      </c>
      <c r="G757" s="319">
        <v>2</v>
      </c>
      <c r="H757" s="999">
        <v>62000</v>
      </c>
      <c r="I757" s="86">
        <f t="shared" si="46"/>
        <v>124000</v>
      </c>
      <c r="J757" s="20">
        <f t="shared" si="48"/>
        <v>55800</v>
      </c>
      <c r="K757" s="171">
        <f t="shared" si="45"/>
        <v>68200</v>
      </c>
      <c r="N757" s="17">
        <f t="shared" si="47"/>
        <v>68200</v>
      </c>
      <c r="O757" s="282" t="s">
        <v>23</v>
      </c>
      <c r="P757" s="20"/>
      <c r="Q757" s="10" t="s">
        <v>54</v>
      </c>
    </row>
    <row r="758" spans="1:17" s="364" customFormat="1" ht="15.6">
      <c r="A758" s="991">
        <v>44523</v>
      </c>
      <c r="B758" s="282" t="s">
        <v>23</v>
      </c>
      <c r="C758" s="283" t="s">
        <v>7981</v>
      </c>
      <c r="D758" s="29" t="s">
        <v>7982</v>
      </c>
      <c r="E758" s="984" t="s">
        <v>8435</v>
      </c>
      <c r="F758" s="987" t="s">
        <v>8436</v>
      </c>
      <c r="G758" s="319">
        <v>2</v>
      </c>
      <c r="H758" s="1001">
        <v>67000</v>
      </c>
      <c r="I758" s="86">
        <f t="shared" si="46"/>
        <v>134000</v>
      </c>
      <c r="J758" s="20">
        <f t="shared" si="48"/>
        <v>60300</v>
      </c>
      <c r="K758" s="171">
        <f t="shared" si="45"/>
        <v>73700</v>
      </c>
      <c r="N758" s="17">
        <f t="shared" si="47"/>
        <v>73700</v>
      </c>
      <c r="O758" s="282" t="s">
        <v>23</v>
      </c>
      <c r="P758" s="20"/>
      <c r="Q758" s="10" t="s">
        <v>54</v>
      </c>
    </row>
    <row r="759" spans="1:17" s="364" customFormat="1" ht="15.6">
      <c r="A759" s="991">
        <v>44523</v>
      </c>
      <c r="B759" s="282" t="s">
        <v>23</v>
      </c>
      <c r="C759" s="283" t="s">
        <v>7981</v>
      </c>
      <c r="D759" s="29" t="s">
        <v>7982</v>
      </c>
      <c r="E759" s="984" t="s">
        <v>6934</v>
      </c>
      <c r="F759" s="987" t="s">
        <v>6935</v>
      </c>
      <c r="G759" s="319">
        <v>2</v>
      </c>
      <c r="H759" s="1001">
        <v>175000</v>
      </c>
      <c r="I759" s="86">
        <f t="shared" si="46"/>
        <v>350000</v>
      </c>
      <c r="J759" s="20">
        <f t="shared" si="48"/>
        <v>157500</v>
      </c>
      <c r="K759" s="171">
        <f t="shared" si="45"/>
        <v>192500</v>
      </c>
      <c r="N759" s="17">
        <f t="shared" si="47"/>
        <v>192500</v>
      </c>
      <c r="O759" s="282" t="s">
        <v>23</v>
      </c>
      <c r="P759" s="20"/>
      <c r="Q759" s="10" t="s">
        <v>54</v>
      </c>
    </row>
    <row r="760" spans="1:17" s="364" customFormat="1" ht="15.6">
      <c r="A760" s="991">
        <v>44523</v>
      </c>
      <c r="B760" s="282" t="s">
        <v>23</v>
      </c>
      <c r="C760" s="283" t="s">
        <v>7981</v>
      </c>
      <c r="D760" s="29" t="s">
        <v>7982</v>
      </c>
      <c r="E760" s="984" t="s">
        <v>8437</v>
      </c>
      <c r="F760" s="987" t="s">
        <v>8438</v>
      </c>
      <c r="G760" s="319">
        <v>2</v>
      </c>
      <c r="H760" s="999">
        <v>90000</v>
      </c>
      <c r="I760" s="86">
        <f t="shared" si="46"/>
        <v>180000</v>
      </c>
      <c r="J760" s="20">
        <f t="shared" si="48"/>
        <v>81000</v>
      </c>
      <c r="K760" s="171">
        <f t="shared" si="45"/>
        <v>99000</v>
      </c>
      <c r="N760" s="17">
        <f t="shared" si="47"/>
        <v>99000</v>
      </c>
      <c r="O760" s="282" t="s">
        <v>23</v>
      </c>
      <c r="P760" s="20"/>
      <c r="Q760" s="10" t="s">
        <v>54</v>
      </c>
    </row>
    <row r="761" spans="1:17" s="364" customFormat="1" ht="15.6">
      <c r="A761" s="991">
        <v>44523</v>
      </c>
      <c r="B761" s="282" t="s">
        <v>23</v>
      </c>
      <c r="C761" s="283" t="s">
        <v>7981</v>
      </c>
      <c r="D761" s="29" t="s">
        <v>7982</v>
      </c>
      <c r="E761" s="984" t="s">
        <v>7262</v>
      </c>
      <c r="F761" s="984" t="s">
        <v>7263</v>
      </c>
      <c r="G761" s="319">
        <v>2</v>
      </c>
      <c r="H761" s="1001">
        <v>93000</v>
      </c>
      <c r="I761" s="86">
        <f t="shared" si="46"/>
        <v>186000</v>
      </c>
      <c r="J761" s="20">
        <f t="shared" si="48"/>
        <v>83700</v>
      </c>
      <c r="K761" s="171">
        <f t="shared" si="45"/>
        <v>102300</v>
      </c>
      <c r="N761" s="17">
        <f t="shared" si="47"/>
        <v>102300</v>
      </c>
      <c r="O761" s="282" t="s">
        <v>23</v>
      </c>
      <c r="P761" s="20"/>
      <c r="Q761" s="10" t="s">
        <v>54</v>
      </c>
    </row>
    <row r="762" spans="1:17" s="364" customFormat="1" ht="15.6">
      <c r="A762" s="991">
        <v>44523</v>
      </c>
      <c r="B762" s="282" t="s">
        <v>23</v>
      </c>
      <c r="C762" s="283" t="s">
        <v>7981</v>
      </c>
      <c r="D762" s="29" t="s">
        <v>7982</v>
      </c>
      <c r="E762" s="984" t="s">
        <v>8439</v>
      </c>
      <c r="F762" s="984" t="s">
        <v>8440</v>
      </c>
      <c r="G762" s="319">
        <v>2</v>
      </c>
      <c r="H762" s="999">
        <v>168000</v>
      </c>
      <c r="I762" s="86">
        <f t="shared" si="46"/>
        <v>336000</v>
      </c>
      <c r="J762" s="20">
        <f t="shared" si="48"/>
        <v>151200</v>
      </c>
      <c r="K762" s="171">
        <f t="shared" si="45"/>
        <v>184800</v>
      </c>
      <c r="N762" s="17">
        <f t="shared" si="47"/>
        <v>184800</v>
      </c>
      <c r="O762" s="282" t="s">
        <v>23</v>
      </c>
      <c r="P762" s="20"/>
      <c r="Q762" s="10" t="s">
        <v>54</v>
      </c>
    </row>
    <row r="763" spans="1:17" s="364" customFormat="1" ht="15.6">
      <c r="A763" s="991">
        <v>44523</v>
      </c>
      <c r="B763" s="282" t="s">
        <v>23</v>
      </c>
      <c r="C763" s="283" t="s">
        <v>7981</v>
      </c>
      <c r="D763" s="29" t="s">
        <v>7982</v>
      </c>
      <c r="E763" s="984" t="s">
        <v>8441</v>
      </c>
      <c r="F763" s="984" t="s">
        <v>8442</v>
      </c>
      <c r="G763" s="319">
        <v>2</v>
      </c>
      <c r="H763" s="999">
        <v>122000</v>
      </c>
      <c r="I763" s="86">
        <f t="shared" si="46"/>
        <v>244000</v>
      </c>
      <c r="J763" s="20">
        <f t="shared" si="48"/>
        <v>109800</v>
      </c>
      <c r="K763" s="171">
        <f t="shared" si="45"/>
        <v>134200</v>
      </c>
      <c r="N763" s="17">
        <f t="shared" si="47"/>
        <v>134200</v>
      </c>
      <c r="O763" s="282" t="s">
        <v>23</v>
      </c>
      <c r="P763" s="20"/>
      <c r="Q763" s="10" t="s">
        <v>54</v>
      </c>
    </row>
    <row r="764" spans="1:17" s="364" customFormat="1" ht="15.6">
      <c r="A764" s="991">
        <v>44523</v>
      </c>
      <c r="B764" s="282" t="s">
        <v>23</v>
      </c>
      <c r="C764" s="283" t="s">
        <v>7981</v>
      </c>
      <c r="D764" s="29" t="s">
        <v>7982</v>
      </c>
      <c r="E764" s="984" t="s">
        <v>3729</v>
      </c>
      <c r="F764" s="987" t="s">
        <v>3730</v>
      </c>
      <c r="G764" s="319">
        <v>2</v>
      </c>
      <c r="H764" s="999">
        <v>84000</v>
      </c>
      <c r="I764" s="86">
        <f t="shared" si="46"/>
        <v>168000</v>
      </c>
      <c r="J764" s="20">
        <f t="shared" si="48"/>
        <v>75600</v>
      </c>
      <c r="K764" s="171">
        <f t="shared" si="45"/>
        <v>92400</v>
      </c>
      <c r="N764" s="17">
        <f t="shared" si="47"/>
        <v>92400</v>
      </c>
      <c r="O764" s="282" t="s">
        <v>23</v>
      </c>
      <c r="P764" s="20"/>
      <c r="Q764" s="10" t="s">
        <v>54</v>
      </c>
    </row>
    <row r="765" spans="1:17" s="364" customFormat="1" ht="15.6">
      <c r="A765" s="991">
        <v>44523</v>
      </c>
      <c r="B765" s="282" t="s">
        <v>23</v>
      </c>
      <c r="C765" s="283" t="s">
        <v>7981</v>
      </c>
      <c r="D765" s="29" t="s">
        <v>7982</v>
      </c>
      <c r="E765" s="984" t="s">
        <v>8443</v>
      </c>
      <c r="F765" s="984" t="s">
        <v>6553</v>
      </c>
      <c r="G765" s="319">
        <v>2</v>
      </c>
      <c r="H765" s="996">
        <v>86000</v>
      </c>
      <c r="I765" s="86">
        <f t="shared" si="46"/>
        <v>172000</v>
      </c>
      <c r="J765" s="20">
        <f t="shared" si="48"/>
        <v>77400</v>
      </c>
      <c r="K765" s="171">
        <f t="shared" si="45"/>
        <v>94600</v>
      </c>
      <c r="N765" s="17">
        <f t="shared" si="47"/>
        <v>94600</v>
      </c>
      <c r="O765" s="282" t="s">
        <v>23</v>
      </c>
      <c r="P765" s="20"/>
      <c r="Q765" s="10" t="s">
        <v>54</v>
      </c>
    </row>
    <row r="766" spans="1:17" s="364" customFormat="1" ht="15.6">
      <c r="A766" s="991">
        <v>44523</v>
      </c>
      <c r="B766" s="282" t="s">
        <v>23</v>
      </c>
      <c r="C766" s="283" t="s">
        <v>7981</v>
      </c>
      <c r="D766" s="29" t="s">
        <v>7982</v>
      </c>
      <c r="E766" s="984" t="s">
        <v>8444</v>
      </c>
      <c r="F766" s="984" t="s">
        <v>8445</v>
      </c>
      <c r="G766" s="319">
        <v>2</v>
      </c>
      <c r="H766" s="1011">
        <v>101000</v>
      </c>
      <c r="I766" s="86">
        <f t="shared" si="46"/>
        <v>202000</v>
      </c>
      <c r="J766" s="20">
        <f t="shared" si="48"/>
        <v>90900</v>
      </c>
      <c r="K766" s="171">
        <f t="shared" si="45"/>
        <v>111100</v>
      </c>
      <c r="N766" s="17">
        <f t="shared" si="47"/>
        <v>111100</v>
      </c>
      <c r="O766" s="282" t="s">
        <v>23</v>
      </c>
      <c r="P766" s="20"/>
      <c r="Q766" s="10" t="s">
        <v>54</v>
      </c>
    </row>
    <row r="767" spans="1:17" s="364" customFormat="1" ht="15.6">
      <c r="A767" s="991">
        <v>44523</v>
      </c>
      <c r="B767" s="282" t="s">
        <v>23</v>
      </c>
      <c r="C767" s="283" t="s">
        <v>7981</v>
      </c>
      <c r="D767" s="29" t="s">
        <v>7982</v>
      </c>
      <c r="E767" s="984" t="s">
        <v>8446</v>
      </c>
      <c r="F767" s="987" t="s">
        <v>8447</v>
      </c>
      <c r="G767" s="319">
        <v>2</v>
      </c>
      <c r="H767" s="999">
        <v>135000</v>
      </c>
      <c r="I767" s="86">
        <f t="shared" si="46"/>
        <v>270000</v>
      </c>
      <c r="J767" s="20">
        <f t="shared" si="48"/>
        <v>121500</v>
      </c>
      <c r="K767" s="171">
        <f t="shared" si="45"/>
        <v>148500</v>
      </c>
      <c r="N767" s="17">
        <f t="shared" si="47"/>
        <v>148500</v>
      </c>
      <c r="O767" s="282" t="s">
        <v>23</v>
      </c>
      <c r="P767" s="20"/>
      <c r="Q767" s="10" t="s">
        <v>54</v>
      </c>
    </row>
    <row r="768" spans="1:17" s="364" customFormat="1" ht="15.6">
      <c r="A768" s="991">
        <v>44523</v>
      </c>
      <c r="B768" s="282" t="s">
        <v>23</v>
      </c>
      <c r="C768" s="283" t="s">
        <v>7981</v>
      </c>
      <c r="D768" s="29" t="s">
        <v>7982</v>
      </c>
      <c r="E768" s="984" t="s">
        <v>8448</v>
      </c>
      <c r="F768" s="987" t="s">
        <v>8449</v>
      </c>
      <c r="G768" s="319">
        <v>2</v>
      </c>
      <c r="H768" s="999">
        <v>118000</v>
      </c>
      <c r="I768" s="86">
        <f t="shared" si="46"/>
        <v>236000</v>
      </c>
      <c r="J768" s="20">
        <f t="shared" si="48"/>
        <v>106200</v>
      </c>
      <c r="K768" s="171">
        <f t="shared" si="45"/>
        <v>129800</v>
      </c>
      <c r="N768" s="17">
        <f t="shared" si="47"/>
        <v>129800</v>
      </c>
      <c r="O768" s="282" t="s">
        <v>23</v>
      </c>
      <c r="P768" s="20"/>
      <c r="Q768" s="10" t="s">
        <v>54</v>
      </c>
    </row>
    <row r="769" spans="1:17" s="364" customFormat="1" ht="15.6">
      <c r="A769" s="991">
        <v>44523</v>
      </c>
      <c r="B769" s="282" t="s">
        <v>23</v>
      </c>
      <c r="C769" s="283" t="s">
        <v>7981</v>
      </c>
      <c r="D769" s="29" t="s">
        <v>7982</v>
      </c>
      <c r="E769" s="984" t="s">
        <v>1747</v>
      </c>
      <c r="F769" s="984" t="s">
        <v>1748</v>
      </c>
      <c r="G769" s="319">
        <v>2</v>
      </c>
      <c r="H769" s="999">
        <v>86000</v>
      </c>
      <c r="I769" s="86">
        <f t="shared" si="46"/>
        <v>172000</v>
      </c>
      <c r="J769" s="20">
        <f t="shared" si="48"/>
        <v>77400</v>
      </c>
      <c r="K769" s="171">
        <f t="shared" si="45"/>
        <v>94600</v>
      </c>
      <c r="N769" s="17">
        <f t="shared" si="47"/>
        <v>94600</v>
      </c>
      <c r="O769" s="282" t="s">
        <v>23</v>
      </c>
      <c r="P769" s="20"/>
      <c r="Q769" s="10" t="s">
        <v>54</v>
      </c>
    </row>
    <row r="770" spans="1:17" s="364" customFormat="1" ht="15.6">
      <c r="A770" s="991">
        <v>44523</v>
      </c>
      <c r="B770" s="282" t="s">
        <v>23</v>
      </c>
      <c r="C770" s="283" t="s">
        <v>7981</v>
      </c>
      <c r="D770" s="29" t="s">
        <v>7982</v>
      </c>
      <c r="E770" s="984" t="s">
        <v>8450</v>
      </c>
      <c r="F770" s="987" t="s">
        <v>8451</v>
      </c>
      <c r="G770" s="319">
        <v>2</v>
      </c>
      <c r="H770" s="999">
        <v>61000</v>
      </c>
      <c r="I770" s="86">
        <f t="shared" si="46"/>
        <v>122000</v>
      </c>
      <c r="J770" s="20">
        <f t="shared" si="48"/>
        <v>54900</v>
      </c>
      <c r="K770" s="171">
        <f t="shared" si="45"/>
        <v>67100</v>
      </c>
      <c r="N770" s="17">
        <f t="shared" si="47"/>
        <v>67100</v>
      </c>
      <c r="O770" s="282" t="s">
        <v>23</v>
      </c>
      <c r="P770" s="20"/>
      <c r="Q770" s="10" t="s">
        <v>54</v>
      </c>
    </row>
    <row r="771" spans="1:17" s="364" customFormat="1" ht="15.6">
      <c r="A771" s="991">
        <v>44523</v>
      </c>
      <c r="B771" s="282" t="s">
        <v>23</v>
      </c>
      <c r="C771" s="283" t="s">
        <v>7981</v>
      </c>
      <c r="D771" s="29" t="s">
        <v>7982</v>
      </c>
      <c r="E771" s="984" t="s">
        <v>8452</v>
      </c>
      <c r="F771" s="984" t="s">
        <v>8453</v>
      </c>
      <c r="G771" s="319">
        <v>2</v>
      </c>
      <c r="H771" s="1001">
        <v>64500</v>
      </c>
      <c r="I771" s="86">
        <f t="shared" si="46"/>
        <v>129000</v>
      </c>
      <c r="J771" s="20">
        <f t="shared" si="48"/>
        <v>58050</v>
      </c>
      <c r="K771" s="171">
        <f t="shared" si="45"/>
        <v>70950</v>
      </c>
      <c r="N771" s="17">
        <f t="shared" si="47"/>
        <v>70950</v>
      </c>
      <c r="O771" s="282" t="s">
        <v>23</v>
      </c>
      <c r="P771" s="20"/>
      <c r="Q771" s="10" t="s">
        <v>54</v>
      </c>
    </row>
    <row r="772" spans="1:17" s="364" customFormat="1" ht="15.6">
      <c r="A772" s="991">
        <v>44523</v>
      </c>
      <c r="B772" s="282" t="s">
        <v>23</v>
      </c>
      <c r="C772" s="283" t="s">
        <v>7981</v>
      </c>
      <c r="D772" s="29" t="s">
        <v>7982</v>
      </c>
      <c r="E772" s="984" t="s">
        <v>8454</v>
      </c>
      <c r="F772" s="987" t="s">
        <v>8455</v>
      </c>
      <c r="G772" s="319">
        <v>2</v>
      </c>
      <c r="H772" s="996">
        <v>60000</v>
      </c>
      <c r="I772" s="86">
        <f t="shared" si="46"/>
        <v>120000</v>
      </c>
      <c r="J772" s="20">
        <f t="shared" si="48"/>
        <v>54000</v>
      </c>
      <c r="K772" s="171">
        <f t="shared" ref="K772:K835" si="49">I772-J772</f>
        <v>66000</v>
      </c>
      <c r="N772" s="17">
        <f t="shared" si="47"/>
        <v>66000</v>
      </c>
      <c r="O772" s="282" t="s">
        <v>23</v>
      </c>
      <c r="P772" s="20"/>
      <c r="Q772" s="10" t="s">
        <v>54</v>
      </c>
    </row>
    <row r="773" spans="1:17" s="364" customFormat="1" ht="15.6">
      <c r="A773" s="991">
        <v>44523</v>
      </c>
      <c r="B773" s="282" t="s">
        <v>23</v>
      </c>
      <c r="C773" s="283" t="s">
        <v>7981</v>
      </c>
      <c r="D773" s="29" t="s">
        <v>7982</v>
      </c>
      <c r="E773" s="984" t="s">
        <v>8456</v>
      </c>
      <c r="F773" s="984" t="s">
        <v>8457</v>
      </c>
      <c r="G773" s="319">
        <v>2</v>
      </c>
      <c r="H773" s="999">
        <v>99000</v>
      </c>
      <c r="I773" s="86">
        <f t="shared" ref="I773:I836" si="50">H773*G773</f>
        <v>198000</v>
      </c>
      <c r="J773" s="20">
        <f t="shared" si="48"/>
        <v>89100</v>
      </c>
      <c r="K773" s="171">
        <f t="shared" si="49"/>
        <v>108900</v>
      </c>
      <c r="N773" s="17">
        <f t="shared" si="47"/>
        <v>108900</v>
      </c>
      <c r="O773" s="282" t="s">
        <v>23</v>
      </c>
      <c r="P773" s="20"/>
      <c r="Q773" s="10" t="s">
        <v>54</v>
      </c>
    </row>
    <row r="774" spans="1:17" s="364" customFormat="1" ht="15.6">
      <c r="A774" s="991">
        <v>44523</v>
      </c>
      <c r="B774" s="282" t="s">
        <v>23</v>
      </c>
      <c r="C774" s="283" t="s">
        <v>7981</v>
      </c>
      <c r="D774" s="29" t="s">
        <v>7982</v>
      </c>
      <c r="E774" s="984" t="s">
        <v>8458</v>
      </c>
      <c r="F774" s="984" t="s">
        <v>8459</v>
      </c>
      <c r="G774" s="319">
        <v>2</v>
      </c>
      <c r="H774" s="1001">
        <v>106000</v>
      </c>
      <c r="I774" s="86">
        <f t="shared" si="50"/>
        <v>212000</v>
      </c>
      <c r="J774" s="20">
        <f t="shared" si="48"/>
        <v>95400</v>
      </c>
      <c r="K774" s="171">
        <f t="shared" si="49"/>
        <v>116600</v>
      </c>
      <c r="N774" s="17">
        <f t="shared" si="47"/>
        <v>116600</v>
      </c>
      <c r="O774" s="282" t="s">
        <v>23</v>
      </c>
      <c r="P774" s="20"/>
      <c r="Q774" s="10" t="s">
        <v>54</v>
      </c>
    </row>
    <row r="775" spans="1:17" s="364" customFormat="1" ht="15.6">
      <c r="A775" s="991">
        <v>44523</v>
      </c>
      <c r="B775" s="282" t="s">
        <v>23</v>
      </c>
      <c r="C775" s="283" t="s">
        <v>7981</v>
      </c>
      <c r="D775" s="29" t="s">
        <v>7982</v>
      </c>
      <c r="E775" s="984" t="s">
        <v>8460</v>
      </c>
      <c r="F775" s="987" t="s">
        <v>8461</v>
      </c>
      <c r="G775" s="319">
        <v>2</v>
      </c>
      <c r="H775" s="999">
        <v>95000</v>
      </c>
      <c r="I775" s="86">
        <f t="shared" si="50"/>
        <v>190000</v>
      </c>
      <c r="J775" s="20">
        <f t="shared" si="48"/>
        <v>85500</v>
      </c>
      <c r="K775" s="171">
        <f t="shared" si="49"/>
        <v>104500</v>
      </c>
      <c r="N775" s="17">
        <f t="shared" si="47"/>
        <v>104500</v>
      </c>
      <c r="O775" s="282" t="s">
        <v>23</v>
      </c>
      <c r="P775" s="20"/>
      <c r="Q775" s="10" t="s">
        <v>54</v>
      </c>
    </row>
    <row r="776" spans="1:17" s="364" customFormat="1" ht="15.6">
      <c r="A776" s="991">
        <v>44523</v>
      </c>
      <c r="B776" s="282" t="s">
        <v>23</v>
      </c>
      <c r="C776" s="283" t="s">
        <v>7981</v>
      </c>
      <c r="D776" s="29" t="s">
        <v>7982</v>
      </c>
      <c r="E776" s="984" t="s">
        <v>8462</v>
      </c>
      <c r="F776" s="987" t="s">
        <v>8463</v>
      </c>
      <c r="G776" s="319">
        <v>2</v>
      </c>
      <c r="H776" s="999">
        <v>114000</v>
      </c>
      <c r="I776" s="86">
        <f t="shared" si="50"/>
        <v>228000</v>
      </c>
      <c r="J776" s="20">
        <f t="shared" si="48"/>
        <v>102600</v>
      </c>
      <c r="K776" s="171">
        <f t="shared" si="49"/>
        <v>125400</v>
      </c>
      <c r="N776" s="17">
        <f t="shared" si="47"/>
        <v>125400</v>
      </c>
      <c r="O776" s="282" t="s">
        <v>23</v>
      </c>
      <c r="P776" s="20"/>
      <c r="Q776" s="10" t="s">
        <v>54</v>
      </c>
    </row>
    <row r="777" spans="1:17" s="364" customFormat="1" ht="15.6">
      <c r="A777" s="991">
        <v>44523</v>
      </c>
      <c r="B777" s="282" t="s">
        <v>23</v>
      </c>
      <c r="C777" s="283" t="s">
        <v>7981</v>
      </c>
      <c r="D777" s="29" t="s">
        <v>7982</v>
      </c>
      <c r="E777" s="984" t="s">
        <v>8464</v>
      </c>
      <c r="F777" s="987" t="s">
        <v>8465</v>
      </c>
      <c r="G777" s="319">
        <v>2</v>
      </c>
      <c r="H777" s="999">
        <v>55500</v>
      </c>
      <c r="I777" s="86">
        <f t="shared" si="50"/>
        <v>111000</v>
      </c>
      <c r="J777" s="20">
        <f t="shared" si="48"/>
        <v>49950</v>
      </c>
      <c r="K777" s="171">
        <f t="shared" si="49"/>
        <v>61050</v>
      </c>
      <c r="N777" s="17">
        <f t="shared" si="47"/>
        <v>61050</v>
      </c>
      <c r="O777" s="282" t="s">
        <v>23</v>
      </c>
      <c r="P777" s="20"/>
      <c r="Q777" s="10" t="s">
        <v>54</v>
      </c>
    </row>
    <row r="778" spans="1:17" s="364" customFormat="1" ht="15.6">
      <c r="A778" s="991">
        <v>44523</v>
      </c>
      <c r="B778" s="282" t="s">
        <v>23</v>
      </c>
      <c r="C778" s="283" t="s">
        <v>7981</v>
      </c>
      <c r="D778" s="29" t="s">
        <v>7982</v>
      </c>
      <c r="E778" s="984" t="s">
        <v>8466</v>
      </c>
      <c r="F778" s="984" t="s">
        <v>8467</v>
      </c>
      <c r="G778" s="319">
        <v>2</v>
      </c>
      <c r="H778" s="999">
        <v>106000</v>
      </c>
      <c r="I778" s="86">
        <f t="shared" si="50"/>
        <v>212000</v>
      </c>
      <c r="J778" s="20">
        <f t="shared" si="48"/>
        <v>95400</v>
      </c>
      <c r="K778" s="171">
        <f t="shared" si="49"/>
        <v>116600</v>
      </c>
      <c r="N778" s="17">
        <f t="shared" si="47"/>
        <v>116600</v>
      </c>
      <c r="O778" s="282" t="s">
        <v>23</v>
      </c>
      <c r="P778" s="20"/>
      <c r="Q778" s="10" t="s">
        <v>54</v>
      </c>
    </row>
    <row r="779" spans="1:17" s="364" customFormat="1" ht="15.6">
      <c r="A779" s="991">
        <v>44523</v>
      </c>
      <c r="B779" s="282" t="s">
        <v>23</v>
      </c>
      <c r="C779" s="283" t="s">
        <v>7981</v>
      </c>
      <c r="D779" s="29" t="s">
        <v>7982</v>
      </c>
      <c r="E779" s="984" t="s">
        <v>8468</v>
      </c>
      <c r="F779" s="984"/>
      <c r="G779" s="319">
        <v>2</v>
      </c>
      <c r="H779" s="999">
        <v>74000</v>
      </c>
      <c r="I779" s="86">
        <f t="shared" si="50"/>
        <v>148000</v>
      </c>
      <c r="J779" s="20">
        <f t="shared" si="48"/>
        <v>66600</v>
      </c>
      <c r="K779" s="171">
        <f t="shared" si="49"/>
        <v>81400</v>
      </c>
      <c r="N779" s="17">
        <f t="shared" si="47"/>
        <v>81400</v>
      </c>
      <c r="O779" s="282" t="s">
        <v>23</v>
      </c>
      <c r="P779" s="20"/>
      <c r="Q779" s="10" t="s">
        <v>54</v>
      </c>
    </row>
    <row r="780" spans="1:17" s="364" customFormat="1" ht="15.6">
      <c r="A780" s="991">
        <v>44523</v>
      </c>
      <c r="B780" s="282" t="s">
        <v>23</v>
      </c>
      <c r="C780" s="283" t="s">
        <v>7981</v>
      </c>
      <c r="D780" s="29" t="s">
        <v>7982</v>
      </c>
      <c r="E780" s="984" t="s">
        <v>8469</v>
      </c>
      <c r="F780" s="987" t="s">
        <v>8470</v>
      </c>
      <c r="G780" s="319">
        <v>2</v>
      </c>
      <c r="H780" s="999">
        <v>101000</v>
      </c>
      <c r="I780" s="86">
        <f t="shared" si="50"/>
        <v>202000</v>
      </c>
      <c r="J780" s="20">
        <f t="shared" si="48"/>
        <v>90900</v>
      </c>
      <c r="K780" s="171">
        <f t="shared" si="49"/>
        <v>111100</v>
      </c>
      <c r="N780" s="17">
        <f t="shared" si="47"/>
        <v>111100</v>
      </c>
      <c r="O780" s="282" t="s">
        <v>23</v>
      </c>
      <c r="P780" s="20"/>
      <c r="Q780" s="10" t="s">
        <v>54</v>
      </c>
    </row>
    <row r="781" spans="1:17" s="364" customFormat="1" ht="15.6">
      <c r="A781" s="991">
        <v>44523</v>
      </c>
      <c r="B781" s="282" t="s">
        <v>23</v>
      </c>
      <c r="C781" s="283" t="s">
        <v>7981</v>
      </c>
      <c r="D781" s="29" t="s">
        <v>7982</v>
      </c>
      <c r="E781" s="984" t="s">
        <v>3954</v>
      </c>
      <c r="F781" s="987" t="s">
        <v>3955</v>
      </c>
      <c r="G781" s="319">
        <v>2</v>
      </c>
      <c r="H781" s="1001">
        <v>102000</v>
      </c>
      <c r="I781" s="86">
        <f t="shared" si="50"/>
        <v>204000</v>
      </c>
      <c r="J781" s="20">
        <f t="shared" si="48"/>
        <v>91800</v>
      </c>
      <c r="K781" s="171">
        <f t="shared" si="49"/>
        <v>112200</v>
      </c>
      <c r="N781" s="17">
        <f t="shared" si="47"/>
        <v>112200</v>
      </c>
      <c r="O781" s="282" t="s">
        <v>23</v>
      </c>
      <c r="P781" s="20"/>
      <c r="Q781" s="10" t="s">
        <v>54</v>
      </c>
    </row>
    <row r="782" spans="1:17" s="364" customFormat="1" ht="15.6">
      <c r="A782" s="991">
        <v>44523</v>
      </c>
      <c r="B782" s="282" t="s">
        <v>23</v>
      </c>
      <c r="C782" s="283" t="s">
        <v>7981</v>
      </c>
      <c r="D782" s="29" t="s">
        <v>7982</v>
      </c>
      <c r="E782" s="984" t="s">
        <v>8471</v>
      </c>
      <c r="F782" s="984" t="s">
        <v>8472</v>
      </c>
      <c r="G782" s="319">
        <v>2</v>
      </c>
      <c r="H782" s="999">
        <v>135000</v>
      </c>
      <c r="I782" s="86">
        <f t="shared" si="50"/>
        <v>270000</v>
      </c>
      <c r="J782" s="20">
        <f t="shared" si="48"/>
        <v>121500</v>
      </c>
      <c r="K782" s="171">
        <f t="shared" si="49"/>
        <v>148500</v>
      </c>
      <c r="N782" s="17">
        <f t="shared" si="47"/>
        <v>148500</v>
      </c>
      <c r="O782" s="282" t="s">
        <v>23</v>
      </c>
      <c r="P782" s="20"/>
      <c r="Q782" s="10" t="s">
        <v>54</v>
      </c>
    </row>
    <row r="783" spans="1:17" s="364" customFormat="1" ht="15.6">
      <c r="A783" s="991">
        <v>44523</v>
      </c>
      <c r="B783" s="282" t="s">
        <v>23</v>
      </c>
      <c r="C783" s="283" t="s">
        <v>7981</v>
      </c>
      <c r="D783" s="29" t="s">
        <v>7982</v>
      </c>
      <c r="E783" s="984" t="s">
        <v>8473</v>
      </c>
      <c r="F783" s="987" t="s">
        <v>6935</v>
      </c>
      <c r="G783" s="319">
        <v>2</v>
      </c>
      <c r="H783" s="996">
        <v>159000</v>
      </c>
      <c r="I783" s="86">
        <f t="shared" si="50"/>
        <v>318000</v>
      </c>
      <c r="J783" s="20">
        <f t="shared" si="48"/>
        <v>143100</v>
      </c>
      <c r="K783" s="171">
        <f t="shared" si="49"/>
        <v>174900</v>
      </c>
      <c r="N783" s="17">
        <f t="shared" si="47"/>
        <v>174900</v>
      </c>
      <c r="O783" s="282" t="s">
        <v>23</v>
      </c>
      <c r="P783" s="20"/>
      <c r="Q783" s="10" t="s">
        <v>54</v>
      </c>
    </row>
    <row r="784" spans="1:17" s="364" customFormat="1" ht="15.6">
      <c r="A784" s="991">
        <v>44523</v>
      </c>
      <c r="B784" s="282" t="s">
        <v>23</v>
      </c>
      <c r="C784" s="283" t="s">
        <v>7981</v>
      </c>
      <c r="D784" s="29" t="s">
        <v>7982</v>
      </c>
      <c r="E784" s="984" t="s">
        <v>2112</v>
      </c>
      <c r="F784" s="984" t="s">
        <v>1113</v>
      </c>
      <c r="G784" s="319">
        <v>2</v>
      </c>
      <c r="H784" s="996">
        <v>61000</v>
      </c>
      <c r="I784" s="86">
        <f t="shared" si="50"/>
        <v>122000</v>
      </c>
      <c r="J784" s="20">
        <f t="shared" si="48"/>
        <v>54900</v>
      </c>
      <c r="K784" s="171">
        <f t="shared" si="49"/>
        <v>67100</v>
      </c>
      <c r="N784" s="17">
        <f t="shared" si="47"/>
        <v>67100</v>
      </c>
      <c r="O784" s="282" t="s">
        <v>23</v>
      </c>
      <c r="P784" s="20"/>
      <c r="Q784" s="10" t="s">
        <v>54</v>
      </c>
    </row>
    <row r="785" spans="1:17" s="364" customFormat="1" ht="15.6">
      <c r="A785" s="991">
        <v>44523</v>
      </c>
      <c r="B785" s="282" t="s">
        <v>23</v>
      </c>
      <c r="C785" s="283" t="s">
        <v>7981</v>
      </c>
      <c r="D785" s="29" t="s">
        <v>7982</v>
      </c>
      <c r="E785" s="984" t="s">
        <v>8474</v>
      </c>
      <c r="F785" s="987" t="s">
        <v>8475</v>
      </c>
      <c r="G785" s="319">
        <v>2</v>
      </c>
      <c r="H785" s="999">
        <v>75500</v>
      </c>
      <c r="I785" s="86">
        <f t="shared" si="50"/>
        <v>151000</v>
      </c>
      <c r="J785" s="20">
        <f t="shared" si="48"/>
        <v>67950</v>
      </c>
      <c r="K785" s="171">
        <f t="shared" si="49"/>
        <v>83050</v>
      </c>
      <c r="N785" s="17">
        <f t="shared" si="47"/>
        <v>83050</v>
      </c>
      <c r="O785" s="282" t="s">
        <v>23</v>
      </c>
      <c r="P785" s="20"/>
      <c r="Q785" s="10" t="s">
        <v>54</v>
      </c>
    </row>
    <row r="786" spans="1:17" s="364" customFormat="1" ht="15.6">
      <c r="A786" s="991">
        <v>44523</v>
      </c>
      <c r="B786" s="282" t="s">
        <v>23</v>
      </c>
      <c r="C786" s="283" t="s">
        <v>7981</v>
      </c>
      <c r="D786" s="29" t="s">
        <v>7982</v>
      </c>
      <c r="E786" s="984" t="s">
        <v>8476</v>
      </c>
      <c r="F786" s="987" t="s">
        <v>8477</v>
      </c>
      <c r="G786" s="319">
        <v>2</v>
      </c>
      <c r="H786" s="999">
        <v>141000</v>
      </c>
      <c r="I786" s="86">
        <f t="shared" si="50"/>
        <v>282000</v>
      </c>
      <c r="J786" s="20">
        <f t="shared" si="48"/>
        <v>126900</v>
      </c>
      <c r="K786" s="171">
        <f t="shared" si="49"/>
        <v>155100</v>
      </c>
      <c r="N786" s="17">
        <f t="shared" si="47"/>
        <v>155100</v>
      </c>
      <c r="O786" s="282" t="s">
        <v>23</v>
      </c>
      <c r="P786" s="20"/>
      <c r="Q786" s="10" t="s">
        <v>54</v>
      </c>
    </row>
    <row r="787" spans="1:17" s="364" customFormat="1" ht="15.6">
      <c r="A787" s="991">
        <v>44523</v>
      </c>
      <c r="B787" s="282" t="s">
        <v>23</v>
      </c>
      <c r="C787" s="283" t="s">
        <v>7981</v>
      </c>
      <c r="D787" s="29" t="s">
        <v>7982</v>
      </c>
      <c r="E787" s="984" t="s">
        <v>8478</v>
      </c>
      <c r="F787" s="987" t="s">
        <v>8479</v>
      </c>
      <c r="G787" s="319">
        <v>2</v>
      </c>
      <c r="H787" s="999">
        <v>453000</v>
      </c>
      <c r="I787" s="86">
        <f t="shared" si="50"/>
        <v>906000</v>
      </c>
      <c r="J787" s="20">
        <f t="shared" si="48"/>
        <v>407700</v>
      </c>
      <c r="K787" s="171">
        <f t="shared" si="49"/>
        <v>498300</v>
      </c>
      <c r="N787" s="17">
        <f t="shared" si="47"/>
        <v>498300</v>
      </c>
      <c r="O787" s="282" t="s">
        <v>23</v>
      </c>
      <c r="P787" s="20"/>
      <c r="Q787" s="10" t="s">
        <v>54</v>
      </c>
    </row>
    <row r="788" spans="1:17" s="364" customFormat="1" ht="15.6">
      <c r="A788" s="991">
        <v>44523</v>
      </c>
      <c r="B788" s="282" t="s">
        <v>23</v>
      </c>
      <c r="C788" s="283" t="s">
        <v>7981</v>
      </c>
      <c r="D788" s="29" t="s">
        <v>7982</v>
      </c>
      <c r="E788" s="984" t="s">
        <v>8480</v>
      </c>
      <c r="F788" s="984" t="s">
        <v>976</v>
      </c>
      <c r="G788" s="319">
        <v>2</v>
      </c>
      <c r="H788" s="999">
        <v>64000</v>
      </c>
      <c r="I788" s="86">
        <f t="shared" si="50"/>
        <v>128000</v>
      </c>
      <c r="J788" s="20">
        <f t="shared" si="48"/>
        <v>57600</v>
      </c>
      <c r="K788" s="171">
        <f t="shared" si="49"/>
        <v>70400</v>
      </c>
      <c r="N788" s="17">
        <f t="shared" si="47"/>
        <v>70400</v>
      </c>
      <c r="O788" s="282" t="s">
        <v>23</v>
      </c>
      <c r="P788" s="20"/>
      <c r="Q788" s="10" t="s">
        <v>54</v>
      </c>
    </row>
    <row r="789" spans="1:17" s="364" customFormat="1" ht="15.6">
      <c r="A789" s="991">
        <v>44523</v>
      </c>
      <c r="B789" s="282" t="s">
        <v>23</v>
      </c>
      <c r="C789" s="283" t="s">
        <v>7981</v>
      </c>
      <c r="D789" s="29" t="s">
        <v>7982</v>
      </c>
      <c r="E789" s="984" t="s">
        <v>8481</v>
      </c>
      <c r="F789" s="984" t="s">
        <v>8482</v>
      </c>
      <c r="G789" s="319">
        <v>2</v>
      </c>
      <c r="H789" s="1002">
        <v>71000</v>
      </c>
      <c r="I789" s="86">
        <f t="shared" si="50"/>
        <v>142000</v>
      </c>
      <c r="J789" s="20">
        <f t="shared" si="48"/>
        <v>63900</v>
      </c>
      <c r="K789" s="171">
        <f t="shared" si="49"/>
        <v>78100</v>
      </c>
      <c r="N789" s="17">
        <f t="shared" si="47"/>
        <v>78100</v>
      </c>
      <c r="O789" s="282" t="s">
        <v>23</v>
      </c>
      <c r="P789" s="20"/>
      <c r="Q789" s="10" t="s">
        <v>54</v>
      </c>
    </row>
    <row r="790" spans="1:17" s="364" customFormat="1" ht="15.6">
      <c r="A790" s="991">
        <v>44523</v>
      </c>
      <c r="B790" s="282" t="s">
        <v>23</v>
      </c>
      <c r="C790" s="283" t="s">
        <v>7981</v>
      </c>
      <c r="D790" s="29" t="s">
        <v>7982</v>
      </c>
      <c r="E790" s="984" t="s">
        <v>872</v>
      </c>
      <c r="F790" s="984" t="s">
        <v>873</v>
      </c>
      <c r="G790" s="319">
        <v>2</v>
      </c>
      <c r="H790" s="1001">
        <v>136000</v>
      </c>
      <c r="I790" s="86">
        <f t="shared" si="50"/>
        <v>272000</v>
      </c>
      <c r="J790" s="20">
        <f t="shared" si="48"/>
        <v>122400</v>
      </c>
      <c r="K790" s="171">
        <f t="shared" si="49"/>
        <v>149600</v>
      </c>
      <c r="N790" s="17">
        <f t="shared" si="47"/>
        <v>149600</v>
      </c>
      <c r="O790" s="282" t="s">
        <v>23</v>
      </c>
      <c r="P790" s="20"/>
      <c r="Q790" s="10" t="s">
        <v>54</v>
      </c>
    </row>
    <row r="791" spans="1:17" s="364" customFormat="1" ht="15.6">
      <c r="A791" s="991">
        <v>44523</v>
      </c>
      <c r="B791" s="282" t="s">
        <v>23</v>
      </c>
      <c r="C791" s="283" t="s">
        <v>7981</v>
      </c>
      <c r="D791" s="29" t="s">
        <v>7982</v>
      </c>
      <c r="E791" s="984" t="s">
        <v>1911</v>
      </c>
      <c r="F791" s="987" t="s">
        <v>1912</v>
      </c>
      <c r="G791" s="319">
        <v>2</v>
      </c>
      <c r="H791" s="1002">
        <v>98000</v>
      </c>
      <c r="I791" s="86">
        <f t="shared" si="50"/>
        <v>196000</v>
      </c>
      <c r="J791" s="20">
        <f t="shared" si="48"/>
        <v>88200</v>
      </c>
      <c r="K791" s="171">
        <f t="shared" si="49"/>
        <v>107800</v>
      </c>
      <c r="N791" s="17">
        <f t="shared" si="47"/>
        <v>107800</v>
      </c>
      <c r="O791" s="282" t="s">
        <v>23</v>
      </c>
      <c r="P791" s="20"/>
      <c r="Q791" s="10" t="s">
        <v>54</v>
      </c>
    </row>
    <row r="792" spans="1:17" s="364" customFormat="1" ht="15.6">
      <c r="A792" s="991">
        <v>44523</v>
      </c>
      <c r="B792" s="282" t="s">
        <v>23</v>
      </c>
      <c r="C792" s="283" t="s">
        <v>7981</v>
      </c>
      <c r="D792" s="29" t="s">
        <v>7982</v>
      </c>
      <c r="E792" s="984" t="s">
        <v>8483</v>
      </c>
      <c r="F792" s="984" t="s">
        <v>8484</v>
      </c>
      <c r="G792" s="319">
        <v>2</v>
      </c>
      <c r="H792" s="1002">
        <v>106000</v>
      </c>
      <c r="I792" s="86">
        <f t="shared" si="50"/>
        <v>212000</v>
      </c>
      <c r="J792" s="20">
        <f t="shared" si="48"/>
        <v>95400</v>
      </c>
      <c r="K792" s="171">
        <f t="shared" si="49"/>
        <v>116600</v>
      </c>
      <c r="N792" s="17">
        <f t="shared" si="47"/>
        <v>116600</v>
      </c>
      <c r="O792" s="282" t="s">
        <v>23</v>
      </c>
      <c r="P792" s="20"/>
      <c r="Q792" s="10" t="s">
        <v>54</v>
      </c>
    </row>
    <row r="793" spans="1:17" s="364" customFormat="1" ht="15.6">
      <c r="A793" s="991">
        <v>44523</v>
      </c>
      <c r="B793" s="282" t="s">
        <v>23</v>
      </c>
      <c r="C793" s="283" t="s">
        <v>7981</v>
      </c>
      <c r="D793" s="29" t="s">
        <v>7982</v>
      </c>
      <c r="E793" s="984" t="s">
        <v>8485</v>
      </c>
      <c r="F793" s="984" t="s">
        <v>8486</v>
      </c>
      <c r="G793" s="319">
        <v>2</v>
      </c>
      <c r="H793" s="1002">
        <v>87500</v>
      </c>
      <c r="I793" s="86">
        <f t="shared" si="50"/>
        <v>175000</v>
      </c>
      <c r="J793" s="20">
        <f t="shared" si="48"/>
        <v>78750</v>
      </c>
      <c r="K793" s="171">
        <f t="shared" si="49"/>
        <v>96250</v>
      </c>
      <c r="N793" s="17">
        <f t="shared" si="47"/>
        <v>96250</v>
      </c>
      <c r="O793" s="282" t="s">
        <v>23</v>
      </c>
      <c r="P793" s="20"/>
      <c r="Q793" s="10" t="s">
        <v>54</v>
      </c>
    </row>
    <row r="794" spans="1:17" s="364" customFormat="1" ht="15.6">
      <c r="A794" s="991">
        <v>44523</v>
      </c>
      <c r="B794" s="282" t="s">
        <v>23</v>
      </c>
      <c r="C794" s="283" t="s">
        <v>7981</v>
      </c>
      <c r="D794" s="29" t="s">
        <v>7982</v>
      </c>
      <c r="E794" s="984" t="s">
        <v>8487</v>
      </c>
      <c r="F794" s="987" t="s">
        <v>8488</v>
      </c>
      <c r="G794" s="319">
        <v>2</v>
      </c>
      <c r="H794" s="1002">
        <v>84000</v>
      </c>
      <c r="I794" s="86">
        <f t="shared" si="50"/>
        <v>168000</v>
      </c>
      <c r="J794" s="20">
        <f t="shared" si="48"/>
        <v>75600</v>
      </c>
      <c r="K794" s="171">
        <f t="shared" si="49"/>
        <v>92400</v>
      </c>
      <c r="N794" s="17">
        <f t="shared" si="47"/>
        <v>92400</v>
      </c>
      <c r="O794" s="282" t="s">
        <v>23</v>
      </c>
      <c r="P794" s="20"/>
      <c r="Q794" s="10" t="s">
        <v>54</v>
      </c>
    </row>
    <row r="795" spans="1:17" s="364" customFormat="1" ht="15.6">
      <c r="A795" s="991">
        <v>44523</v>
      </c>
      <c r="B795" s="282" t="s">
        <v>23</v>
      </c>
      <c r="C795" s="283" t="s">
        <v>7981</v>
      </c>
      <c r="D795" s="29" t="s">
        <v>7982</v>
      </c>
      <c r="E795" s="984" t="s">
        <v>8489</v>
      </c>
      <c r="F795" s="984" t="s">
        <v>8490</v>
      </c>
      <c r="G795" s="319">
        <v>2</v>
      </c>
      <c r="H795" s="1002">
        <v>86500</v>
      </c>
      <c r="I795" s="86">
        <f t="shared" si="50"/>
        <v>173000</v>
      </c>
      <c r="J795" s="20">
        <f t="shared" si="48"/>
        <v>77850</v>
      </c>
      <c r="K795" s="171">
        <f t="shared" si="49"/>
        <v>95150</v>
      </c>
      <c r="N795" s="17">
        <f t="shared" ref="N795:N858" si="51">K795+L795+M795</f>
        <v>95150</v>
      </c>
      <c r="O795" s="282" t="s">
        <v>23</v>
      </c>
      <c r="P795" s="20"/>
      <c r="Q795" s="10" t="s">
        <v>54</v>
      </c>
    </row>
    <row r="796" spans="1:17" s="364" customFormat="1" ht="15.6">
      <c r="A796" s="991">
        <v>44523</v>
      </c>
      <c r="B796" s="282" t="s">
        <v>23</v>
      </c>
      <c r="C796" s="283" t="s">
        <v>7981</v>
      </c>
      <c r="D796" s="29" t="s">
        <v>7982</v>
      </c>
      <c r="E796" s="984" t="s">
        <v>8491</v>
      </c>
      <c r="F796" s="987" t="s">
        <v>8492</v>
      </c>
      <c r="G796" s="319">
        <v>2</v>
      </c>
      <c r="H796" s="1002">
        <v>101000</v>
      </c>
      <c r="I796" s="86">
        <f t="shared" si="50"/>
        <v>202000</v>
      </c>
      <c r="J796" s="20">
        <f t="shared" si="48"/>
        <v>90900</v>
      </c>
      <c r="K796" s="171">
        <f t="shared" si="49"/>
        <v>111100</v>
      </c>
      <c r="N796" s="17">
        <f t="shared" si="51"/>
        <v>111100</v>
      </c>
      <c r="O796" s="282" t="s">
        <v>23</v>
      </c>
      <c r="P796" s="20"/>
      <c r="Q796" s="10" t="s">
        <v>54</v>
      </c>
    </row>
    <row r="797" spans="1:17" s="364" customFormat="1" ht="15.6">
      <c r="A797" s="991">
        <v>44523</v>
      </c>
      <c r="B797" s="282" t="s">
        <v>23</v>
      </c>
      <c r="C797" s="283" t="s">
        <v>7981</v>
      </c>
      <c r="D797" s="29" t="s">
        <v>7982</v>
      </c>
      <c r="E797" s="984" t="s">
        <v>8493</v>
      </c>
      <c r="F797" s="987" t="s">
        <v>8494</v>
      </c>
      <c r="G797" s="319">
        <v>2</v>
      </c>
      <c r="H797" s="1001">
        <v>67000</v>
      </c>
      <c r="I797" s="86">
        <f t="shared" si="50"/>
        <v>134000</v>
      </c>
      <c r="J797" s="20">
        <f t="shared" si="48"/>
        <v>60300</v>
      </c>
      <c r="K797" s="171">
        <f t="shared" si="49"/>
        <v>73700</v>
      </c>
      <c r="N797" s="17">
        <f t="shared" si="51"/>
        <v>73700</v>
      </c>
      <c r="O797" s="282" t="s">
        <v>23</v>
      </c>
      <c r="P797" s="20"/>
      <c r="Q797" s="10" t="s">
        <v>54</v>
      </c>
    </row>
    <row r="798" spans="1:17" s="364" customFormat="1">
      <c r="A798" s="991">
        <v>44523</v>
      </c>
      <c r="B798" s="282" t="s">
        <v>23</v>
      </c>
      <c r="C798" s="283" t="s">
        <v>7981</v>
      </c>
      <c r="D798" s="29" t="s">
        <v>7982</v>
      </c>
      <c r="E798" s="984" t="s">
        <v>2402</v>
      </c>
      <c r="F798" s="984" t="s">
        <v>2403</v>
      </c>
      <c r="G798" s="319">
        <v>2</v>
      </c>
      <c r="H798" s="998">
        <v>55000</v>
      </c>
      <c r="I798" s="86">
        <f t="shared" si="50"/>
        <v>110000</v>
      </c>
      <c r="J798" s="20">
        <f t="shared" si="48"/>
        <v>49500</v>
      </c>
      <c r="K798" s="171">
        <f t="shared" si="49"/>
        <v>60500</v>
      </c>
      <c r="N798" s="17">
        <f t="shared" si="51"/>
        <v>60500</v>
      </c>
      <c r="O798" s="282" t="s">
        <v>23</v>
      </c>
      <c r="P798" s="20"/>
      <c r="Q798" s="10" t="s">
        <v>54</v>
      </c>
    </row>
    <row r="799" spans="1:17" s="364" customFormat="1">
      <c r="A799" s="991">
        <v>44523</v>
      </c>
      <c r="B799" s="282" t="s">
        <v>23</v>
      </c>
      <c r="C799" s="283" t="s">
        <v>7981</v>
      </c>
      <c r="D799" s="29" t="s">
        <v>7982</v>
      </c>
      <c r="E799" s="1015" t="s">
        <v>8495</v>
      </c>
      <c r="F799" s="984" t="s">
        <v>8496</v>
      </c>
      <c r="G799" s="319">
        <v>2</v>
      </c>
      <c r="H799" s="998">
        <v>66000</v>
      </c>
      <c r="I799" s="86">
        <f t="shared" si="50"/>
        <v>132000</v>
      </c>
      <c r="J799" s="20">
        <f t="shared" si="48"/>
        <v>59400</v>
      </c>
      <c r="K799" s="171">
        <f t="shared" si="49"/>
        <v>72600</v>
      </c>
      <c r="N799" s="17">
        <f t="shared" si="51"/>
        <v>72600</v>
      </c>
      <c r="O799" s="282" t="s">
        <v>23</v>
      </c>
      <c r="P799" s="20"/>
      <c r="Q799" s="10" t="s">
        <v>54</v>
      </c>
    </row>
    <row r="800" spans="1:17" s="364" customFormat="1">
      <c r="A800" s="991">
        <v>44523</v>
      </c>
      <c r="B800" s="282" t="s">
        <v>23</v>
      </c>
      <c r="C800" s="283" t="s">
        <v>7981</v>
      </c>
      <c r="D800" s="29" t="s">
        <v>7982</v>
      </c>
      <c r="E800" s="984" t="s">
        <v>6337</v>
      </c>
      <c r="F800" s="984" t="s">
        <v>6338</v>
      </c>
      <c r="G800" s="319">
        <v>2</v>
      </c>
      <c r="H800" s="998">
        <v>90000</v>
      </c>
      <c r="I800" s="86">
        <f t="shared" si="50"/>
        <v>180000</v>
      </c>
      <c r="J800" s="20">
        <f t="shared" si="48"/>
        <v>81000</v>
      </c>
      <c r="K800" s="171">
        <f t="shared" si="49"/>
        <v>99000</v>
      </c>
      <c r="N800" s="17">
        <f t="shared" si="51"/>
        <v>99000</v>
      </c>
      <c r="O800" s="282" t="s">
        <v>23</v>
      </c>
      <c r="P800" s="20"/>
      <c r="Q800" s="10" t="s">
        <v>54</v>
      </c>
    </row>
    <row r="801" spans="1:17" s="364" customFormat="1">
      <c r="A801" s="991">
        <v>44523</v>
      </c>
      <c r="B801" s="282" t="s">
        <v>23</v>
      </c>
      <c r="C801" s="283" t="s">
        <v>7981</v>
      </c>
      <c r="D801" s="29" t="s">
        <v>7982</v>
      </c>
      <c r="E801" s="984" t="s">
        <v>4734</v>
      </c>
      <c r="F801" s="984" t="s">
        <v>4735</v>
      </c>
      <c r="G801" s="319">
        <v>2</v>
      </c>
      <c r="H801" s="998">
        <v>43000</v>
      </c>
      <c r="I801" s="86">
        <f t="shared" si="50"/>
        <v>86000</v>
      </c>
      <c r="J801" s="20">
        <f t="shared" si="48"/>
        <v>38700</v>
      </c>
      <c r="K801" s="171">
        <f t="shared" si="49"/>
        <v>47300</v>
      </c>
      <c r="N801" s="17">
        <f t="shared" si="51"/>
        <v>47300</v>
      </c>
      <c r="O801" s="282" t="s">
        <v>23</v>
      </c>
      <c r="P801" s="20"/>
      <c r="Q801" s="10" t="s">
        <v>54</v>
      </c>
    </row>
    <row r="802" spans="1:17" s="364" customFormat="1">
      <c r="A802" s="991">
        <v>44523</v>
      </c>
      <c r="B802" s="282" t="s">
        <v>23</v>
      </c>
      <c r="C802" s="283" t="s">
        <v>7981</v>
      </c>
      <c r="D802" s="29" t="s">
        <v>7982</v>
      </c>
      <c r="E802" s="984" t="s">
        <v>5627</v>
      </c>
      <c r="F802" s="984" t="s">
        <v>5628</v>
      </c>
      <c r="G802" s="319">
        <v>2</v>
      </c>
      <c r="H802" s="998">
        <v>37000</v>
      </c>
      <c r="I802" s="86">
        <f t="shared" si="50"/>
        <v>74000</v>
      </c>
      <c r="J802" s="20">
        <f t="shared" si="48"/>
        <v>33300</v>
      </c>
      <c r="K802" s="171">
        <f t="shared" si="49"/>
        <v>40700</v>
      </c>
      <c r="N802" s="17">
        <f t="shared" si="51"/>
        <v>40700</v>
      </c>
      <c r="O802" s="282" t="s">
        <v>23</v>
      </c>
      <c r="P802" s="20"/>
      <c r="Q802" s="10" t="s">
        <v>54</v>
      </c>
    </row>
    <row r="803" spans="1:17" s="364" customFormat="1">
      <c r="A803" s="991">
        <v>44523</v>
      </c>
      <c r="B803" s="282" t="s">
        <v>23</v>
      </c>
      <c r="C803" s="283" t="s">
        <v>7981</v>
      </c>
      <c r="D803" s="29" t="s">
        <v>7982</v>
      </c>
      <c r="E803" s="984" t="s">
        <v>8497</v>
      </c>
      <c r="F803" s="987" t="s">
        <v>8498</v>
      </c>
      <c r="G803" s="319">
        <v>2</v>
      </c>
      <c r="H803" s="998">
        <v>155000</v>
      </c>
      <c r="I803" s="86">
        <f t="shared" si="50"/>
        <v>310000</v>
      </c>
      <c r="J803" s="20">
        <f t="shared" si="48"/>
        <v>139500</v>
      </c>
      <c r="K803" s="171">
        <f t="shared" si="49"/>
        <v>170500</v>
      </c>
      <c r="N803" s="17">
        <f t="shared" si="51"/>
        <v>170500</v>
      </c>
      <c r="O803" s="282" t="s">
        <v>23</v>
      </c>
      <c r="P803" s="20"/>
      <c r="Q803" s="10" t="s">
        <v>54</v>
      </c>
    </row>
    <row r="804" spans="1:17" s="364" customFormat="1">
      <c r="A804" s="991">
        <v>44523</v>
      </c>
      <c r="B804" s="282" t="s">
        <v>23</v>
      </c>
      <c r="C804" s="283" t="s">
        <v>7981</v>
      </c>
      <c r="D804" s="29" t="s">
        <v>7982</v>
      </c>
      <c r="E804" s="1015" t="s">
        <v>4492</v>
      </c>
      <c r="F804" s="984" t="s">
        <v>4493</v>
      </c>
      <c r="G804" s="319">
        <v>2</v>
      </c>
      <c r="H804" s="998">
        <v>337000</v>
      </c>
      <c r="I804" s="86">
        <f t="shared" si="50"/>
        <v>674000</v>
      </c>
      <c r="J804" s="20">
        <f t="shared" si="48"/>
        <v>303300</v>
      </c>
      <c r="K804" s="171">
        <f t="shared" si="49"/>
        <v>370700</v>
      </c>
      <c r="N804" s="17">
        <f t="shared" si="51"/>
        <v>370700</v>
      </c>
      <c r="O804" s="282" t="s">
        <v>23</v>
      </c>
      <c r="P804" s="20"/>
      <c r="Q804" s="10" t="s">
        <v>54</v>
      </c>
    </row>
    <row r="805" spans="1:17" s="364" customFormat="1">
      <c r="A805" s="991">
        <v>44523</v>
      </c>
      <c r="B805" s="282" t="s">
        <v>23</v>
      </c>
      <c r="C805" s="283" t="s">
        <v>7981</v>
      </c>
      <c r="D805" s="29" t="s">
        <v>7982</v>
      </c>
      <c r="E805" s="984" t="s">
        <v>8499</v>
      </c>
      <c r="F805" s="987" t="s">
        <v>8500</v>
      </c>
      <c r="G805" s="319">
        <v>2</v>
      </c>
      <c r="H805" s="998">
        <v>58000</v>
      </c>
      <c r="I805" s="86">
        <f t="shared" si="50"/>
        <v>116000</v>
      </c>
      <c r="J805" s="20">
        <f t="shared" si="48"/>
        <v>52200</v>
      </c>
      <c r="K805" s="171">
        <f t="shared" si="49"/>
        <v>63800</v>
      </c>
      <c r="N805" s="17">
        <f t="shared" si="51"/>
        <v>63800</v>
      </c>
      <c r="O805" s="282" t="s">
        <v>23</v>
      </c>
      <c r="P805" s="20"/>
      <c r="Q805" s="10" t="s">
        <v>54</v>
      </c>
    </row>
    <row r="806" spans="1:17" s="364" customFormat="1">
      <c r="A806" s="991">
        <v>44523</v>
      </c>
      <c r="B806" s="282" t="s">
        <v>23</v>
      </c>
      <c r="C806" s="283" t="s">
        <v>7981</v>
      </c>
      <c r="D806" s="29" t="s">
        <v>7982</v>
      </c>
      <c r="E806" s="1015" t="s">
        <v>8501</v>
      </c>
      <c r="F806" s="984" t="s">
        <v>8502</v>
      </c>
      <c r="G806" s="319">
        <v>2</v>
      </c>
      <c r="H806" s="998">
        <v>68000</v>
      </c>
      <c r="I806" s="86">
        <f t="shared" si="50"/>
        <v>136000</v>
      </c>
      <c r="J806" s="20">
        <f t="shared" si="48"/>
        <v>61200</v>
      </c>
      <c r="K806" s="171">
        <f t="shared" si="49"/>
        <v>74800</v>
      </c>
      <c r="N806" s="17">
        <f t="shared" si="51"/>
        <v>74800</v>
      </c>
      <c r="O806" s="282" t="s">
        <v>23</v>
      </c>
      <c r="P806" s="20"/>
      <c r="Q806" s="10" t="s">
        <v>54</v>
      </c>
    </row>
    <row r="807" spans="1:17" s="364" customFormat="1">
      <c r="A807" s="991">
        <v>44523</v>
      </c>
      <c r="B807" s="282" t="s">
        <v>23</v>
      </c>
      <c r="C807" s="283" t="s">
        <v>7981</v>
      </c>
      <c r="D807" s="29" t="s">
        <v>7982</v>
      </c>
      <c r="E807" s="984" t="s">
        <v>8503</v>
      </c>
      <c r="F807" s="987" t="s">
        <v>8504</v>
      </c>
      <c r="G807" s="319">
        <v>2</v>
      </c>
      <c r="H807" s="998">
        <v>63000</v>
      </c>
      <c r="I807" s="86">
        <f t="shared" si="50"/>
        <v>126000</v>
      </c>
      <c r="J807" s="20">
        <f t="shared" si="48"/>
        <v>56700</v>
      </c>
      <c r="K807" s="171">
        <f t="shared" si="49"/>
        <v>69300</v>
      </c>
      <c r="N807" s="17">
        <f t="shared" si="51"/>
        <v>69300</v>
      </c>
      <c r="O807" s="282" t="s">
        <v>23</v>
      </c>
      <c r="P807" s="20"/>
      <c r="Q807" s="10" t="s">
        <v>54</v>
      </c>
    </row>
    <row r="808" spans="1:17" s="364" customFormat="1">
      <c r="A808" s="991">
        <v>44523</v>
      </c>
      <c r="B808" s="282" t="s">
        <v>23</v>
      </c>
      <c r="C808" s="283" t="s">
        <v>7981</v>
      </c>
      <c r="D808" s="29" t="s">
        <v>7982</v>
      </c>
      <c r="E808" s="984" t="s">
        <v>8505</v>
      </c>
      <c r="F808" s="984" t="s">
        <v>8506</v>
      </c>
      <c r="G808" s="319">
        <v>2</v>
      </c>
      <c r="H808" s="998">
        <v>64000</v>
      </c>
      <c r="I808" s="86">
        <f t="shared" si="50"/>
        <v>128000</v>
      </c>
      <c r="J808" s="20">
        <f t="shared" si="48"/>
        <v>57600</v>
      </c>
      <c r="K808" s="171">
        <f t="shared" si="49"/>
        <v>70400</v>
      </c>
      <c r="N808" s="17">
        <f t="shared" si="51"/>
        <v>70400</v>
      </c>
      <c r="O808" s="282" t="s">
        <v>23</v>
      </c>
      <c r="P808" s="20"/>
      <c r="Q808" s="10" t="s">
        <v>54</v>
      </c>
    </row>
    <row r="809" spans="1:17" s="364" customFormat="1">
      <c r="A809" s="991">
        <v>44523</v>
      </c>
      <c r="B809" s="282" t="s">
        <v>23</v>
      </c>
      <c r="C809" s="283" t="s">
        <v>7981</v>
      </c>
      <c r="D809" s="29" t="s">
        <v>7982</v>
      </c>
      <c r="E809" s="984" t="s">
        <v>5932</v>
      </c>
      <c r="F809" s="987" t="s">
        <v>5933</v>
      </c>
      <c r="G809" s="319">
        <v>2</v>
      </c>
      <c r="H809" s="998">
        <v>57000</v>
      </c>
      <c r="I809" s="86">
        <f t="shared" si="50"/>
        <v>114000</v>
      </c>
      <c r="J809" s="20">
        <f t="shared" ref="J809:J872" si="52">I809*45%</f>
        <v>51300</v>
      </c>
      <c r="K809" s="171">
        <f t="shared" si="49"/>
        <v>62700</v>
      </c>
      <c r="N809" s="17">
        <f t="shared" si="51"/>
        <v>62700</v>
      </c>
      <c r="O809" s="282" t="s">
        <v>23</v>
      </c>
      <c r="P809" s="20"/>
      <c r="Q809" s="10" t="s">
        <v>54</v>
      </c>
    </row>
    <row r="810" spans="1:17" s="364" customFormat="1">
      <c r="A810" s="991">
        <v>44523</v>
      </c>
      <c r="B810" s="282" t="s">
        <v>23</v>
      </c>
      <c r="C810" s="283" t="s">
        <v>7981</v>
      </c>
      <c r="D810" s="29" t="s">
        <v>7982</v>
      </c>
      <c r="E810" s="984" t="s">
        <v>8507</v>
      </c>
      <c r="F810" s="984" t="s">
        <v>8508</v>
      </c>
      <c r="G810" s="319">
        <v>2</v>
      </c>
      <c r="H810" s="998">
        <v>82000</v>
      </c>
      <c r="I810" s="86">
        <f t="shared" si="50"/>
        <v>164000</v>
      </c>
      <c r="J810" s="20">
        <f t="shared" si="52"/>
        <v>73800</v>
      </c>
      <c r="K810" s="171">
        <f t="shared" si="49"/>
        <v>90200</v>
      </c>
      <c r="N810" s="17">
        <f t="shared" si="51"/>
        <v>90200</v>
      </c>
      <c r="O810" s="282" t="s">
        <v>23</v>
      </c>
      <c r="P810" s="20"/>
      <c r="Q810" s="10" t="s">
        <v>54</v>
      </c>
    </row>
    <row r="811" spans="1:17" s="364" customFormat="1">
      <c r="A811" s="991">
        <v>44523</v>
      </c>
      <c r="B811" s="282" t="s">
        <v>23</v>
      </c>
      <c r="C811" s="283" t="s">
        <v>7981</v>
      </c>
      <c r="D811" s="29" t="s">
        <v>7982</v>
      </c>
      <c r="E811" s="984" t="s">
        <v>8509</v>
      </c>
      <c r="F811" s="987" t="s">
        <v>8510</v>
      </c>
      <c r="G811" s="319">
        <v>2</v>
      </c>
      <c r="H811" s="998">
        <v>160000</v>
      </c>
      <c r="I811" s="86">
        <f t="shared" si="50"/>
        <v>320000</v>
      </c>
      <c r="J811" s="20">
        <f t="shared" si="52"/>
        <v>144000</v>
      </c>
      <c r="K811" s="171">
        <f t="shared" si="49"/>
        <v>176000</v>
      </c>
      <c r="N811" s="17">
        <f t="shared" si="51"/>
        <v>176000</v>
      </c>
      <c r="O811" s="282" t="s">
        <v>23</v>
      </c>
      <c r="P811" s="20"/>
      <c r="Q811" s="10" t="s">
        <v>54</v>
      </c>
    </row>
    <row r="812" spans="1:17" s="364" customFormat="1">
      <c r="A812" s="991">
        <v>44523</v>
      </c>
      <c r="B812" s="282" t="s">
        <v>23</v>
      </c>
      <c r="C812" s="283" t="s">
        <v>7981</v>
      </c>
      <c r="D812" s="29" t="s">
        <v>7982</v>
      </c>
      <c r="E812" s="984" t="s">
        <v>8511</v>
      </c>
      <c r="F812" s="987" t="s">
        <v>8512</v>
      </c>
      <c r="G812" s="319">
        <v>2</v>
      </c>
      <c r="H812" s="998">
        <v>94000</v>
      </c>
      <c r="I812" s="86">
        <f t="shared" si="50"/>
        <v>188000</v>
      </c>
      <c r="J812" s="20">
        <f t="shared" si="52"/>
        <v>84600</v>
      </c>
      <c r="K812" s="171">
        <f t="shared" si="49"/>
        <v>103400</v>
      </c>
      <c r="N812" s="17">
        <f t="shared" si="51"/>
        <v>103400</v>
      </c>
      <c r="O812" s="282" t="s">
        <v>23</v>
      </c>
      <c r="P812" s="20"/>
      <c r="Q812" s="10" t="s">
        <v>54</v>
      </c>
    </row>
    <row r="813" spans="1:17" s="364" customFormat="1">
      <c r="A813" s="991">
        <v>44523</v>
      </c>
      <c r="B813" s="282" t="s">
        <v>23</v>
      </c>
      <c r="C813" s="283" t="s">
        <v>7981</v>
      </c>
      <c r="D813" s="29" t="s">
        <v>7982</v>
      </c>
      <c r="E813" s="984" t="s">
        <v>7798</v>
      </c>
      <c r="F813" s="984" t="s">
        <v>7799</v>
      </c>
      <c r="G813" s="319">
        <v>2</v>
      </c>
      <c r="H813" s="998">
        <v>123000</v>
      </c>
      <c r="I813" s="86">
        <f t="shared" si="50"/>
        <v>246000</v>
      </c>
      <c r="J813" s="20">
        <f t="shared" si="52"/>
        <v>110700</v>
      </c>
      <c r="K813" s="171">
        <f t="shared" si="49"/>
        <v>135300</v>
      </c>
      <c r="N813" s="17">
        <f t="shared" si="51"/>
        <v>135300</v>
      </c>
      <c r="O813" s="282" t="s">
        <v>23</v>
      </c>
      <c r="P813" s="20"/>
      <c r="Q813" s="10" t="s">
        <v>54</v>
      </c>
    </row>
    <row r="814" spans="1:17" s="364" customFormat="1">
      <c r="A814" s="991">
        <v>44523</v>
      </c>
      <c r="B814" s="282" t="s">
        <v>23</v>
      </c>
      <c r="C814" s="283" t="s">
        <v>7981</v>
      </c>
      <c r="D814" s="29" t="s">
        <v>7982</v>
      </c>
      <c r="E814" s="984" t="s">
        <v>8513</v>
      </c>
      <c r="F814" s="987" t="s">
        <v>8514</v>
      </c>
      <c r="G814" s="319">
        <v>2</v>
      </c>
      <c r="H814" s="998">
        <v>104000</v>
      </c>
      <c r="I814" s="86">
        <f t="shared" si="50"/>
        <v>208000</v>
      </c>
      <c r="J814" s="20">
        <f t="shared" si="52"/>
        <v>93600</v>
      </c>
      <c r="K814" s="171">
        <f t="shared" si="49"/>
        <v>114400</v>
      </c>
      <c r="N814" s="17">
        <f t="shared" si="51"/>
        <v>114400</v>
      </c>
      <c r="O814" s="282" t="s">
        <v>23</v>
      </c>
      <c r="P814" s="20"/>
      <c r="Q814" s="10" t="s">
        <v>54</v>
      </c>
    </row>
    <row r="815" spans="1:17" s="364" customFormat="1">
      <c r="A815" s="991">
        <v>44523</v>
      </c>
      <c r="B815" s="282" t="s">
        <v>23</v>
      </c>
      <c r="C815" s="283" t="s">
        <v>7981</v>
      </c>
      <c r="D815" s="29" t="s">
        <v>7982</v>
      </c>
      <c r="E815" s="984" t="s">
        <v>5814</v>
      </c>
      <c r="F815" s="984" t="s">
        <v>5815</v>
      </c>
      <c r="G815" s="319">
        <v>2</v>
      </c>
      <c r="H815" s="998">
        <v>57000</v>
      </c>
      <c r="I815" s="86">
        <f t="shared" si="50"/>
        <v>114000</v>
      </c>
      <c r="J815" s="20">
        <f t="shared" si="52"/>
        <v>51300</v>
      </c>
      <c r="K815" s="171">
        <f t="shared" si="49"/>
        <v>62700</v>
      </c>
      <c r="N815" s="17">
        <f t="shared" si="51"/>
        <v>62700</v>
      </c>
      <c r="O815" s="282" t="s">
        <v>23</v>
      </c>
      <c r="P815" s="20"/>
      <c r="Q815" s="10" t="s">
        <v>54</v>
      </c>
    </row>
    <row r="816" spans="1:17" s="364" customFormat="1">
      <c r="A816" s="991">
        <v>44523</v>
      </c>
      <c r="B816" s="282" t="s">
        <v>23</v>
      </c>
      <c r="C816" s="283" t="s">
        <v>7981</v>
      </c>
      <c r="D816" s="29" t="s">
        <v>7982</v>
      </c>
      <c r="E816" s="984" t="s">
        <v>8515</v>
      </c>
      <c r="F816" s="987" t="s">
        <v>8516</v>
      </c>
      <c r="G816" s="319">
        <v>2</v>
      </c>
      <c r="H816" s="998">
        <v>86000</v>
      </c>
      <c r="I816" s="86">
        <f t="shared" si="50"/>
        <v>172000</v>
      </c>
      <c r="J816" s="20">
        <f t="shared" si="52"/>
        <v>77400</v>
      </c>
      <c r="K816" s="171">
        <f t="shared" si="49"/>
        <v>94600</v>
      </c>
      <c r="N816" s="17">
        <f t="shared" si="51"/>
        <v>94600</v>
      </c>
      <c r="O816" s="282" t="s">
        <v>23</v>
      </c>
      <c r="P816" s="20"/>
      <c r="Q816" s="10" t="s">
        <v>54</v>
      </c>
    </row>
    <row r="817" spans="1:17" s="364" customFormat="1">
      <c r="A817" s="991">
        <v>44523</v>
      </c>
      <c r="B817" s="282" t="s">
        <v>23</v>
      </c>
      <c r="C817" s="283" t="s">
        <v>7981</v>
      </c>
      <c r="D817" s="29" t="s">
        <v>7982</v>
      </c>
      <c r="E817" s="984" t="s">
        <v>6700</v>
      </c>
      <c r="F817" s="984" t="s">
        <v>6701</v>
      </c>
      <c r="G817" s="319">
        <v>2</v>
      </c>
      <c r="H817" s="998">
        <v>99000</v>
      </c>
      <c r="I817" s="86">
        <f t="shared" si="50"/>
        <v>198000</v>
      </c>
      <c r="J817" s="20">
        <f t="shared" si="52"/>
        <v>89100</v>
      </c>
      <c r="K817" s="171">
        <f t="shared" si="49"/>
        <v>108900</v>
      </c>
      <c r="N817" s="17">
        <f t="shared" si="51"/>
        <v>108900</v>
      </c>
      <c r="O817" s="282" t="s">
        <v>23</v>
      </c>
      <c r="P817" s="20"/>
      <c r="Q817" s="10" t="s">
        <v>54</v>
      </c>
    </row>
    <row r="818" spans="1:17" s="364" customFormat="1" ht="15.6">
      <c r="A818" s="991">
        <v>44523</v>
      </c>
      <c r="B818" s="282" t="s">
        <v>23</v>
      </c>
      <c r="C818" s="283" t="s">
        <v>7981</v>
      </c>
      <c r="D818" s="29" t="s">
        <v>7982</v>
      </c>
      <c r="E818" s="984" t="s">
        <v>5229</v>
      </c>
      <c r="F818" s="987" t="s">
        <v>5230</v>
      </c>
      <c r="G818" s="319">
        <v>2</v>
      </c>
      <c r="H818" s="1017">
        <v>81000</v>
      </c>
      <c r="I818" s="86">
        <f t="shared" si="50"/>
        <v>162000</v>
      </c>
      <c r="J818" s="20">
        <f t="shared" si="52"/>
        <v>72900</v>
      </c>
      <c r="K818" s="171">
        <f t="shared" si="49"/>
        <v>89100</v>
      </c>
      <c r="N818" s="17">
        <f t="shared" si="51"/>
        <v>89100</v>
      </c>
      <c r="O818" s="282" t="s">
        <v>23</v>
      </c>
      <c r="P818" s="20"/>
      <c r="Q818" s="10" t="s">
        <v>54</v>
      </c>
    </row>
    <row r="819" spans="1:17" s="364" customFormat="1" ht="15.6">
      <c r="A819" s="991">
        <v>44523</v>
      </c>
      <c r="B819" s="282" t="s">
        <v>23</v>
      </c>
      <c r="C819" s="283" t="s">
        <v>7981</v>
      </c>
      <c r="D819" s="29" t="s">
        <v>7982</v>
      </c>
      <c r="E819" s="984" t="s">
        <v>1918</v>
      </c>
      <c r="F819" s="987" t="s">
        <v>1919</v>
      </c>
      <c r="G819" s="319">
        <v>2</v>
      </c>
      <c r="H819" s="1018">
        <v>110000</v>
      </c>
      <c r="I819" s="86">
        <f t="shared" si="50"/>
        <v>220000</v>
      </c>
      <c r="J819" s="20">
        <f t="shared" si="52"/>
        <v>99000</v>
      </c>
      <c r="K819" s="171">
        <f t="shared" si="49"/>
        <v>121000</v>
      </c>
      <c r="N819" s="17">
        <f t="shared" si="51"/>
        <v>121000</v>
      </c>
      <c r="O819" s="282" t="s">
        <v>23</v>
      </c>
      <c r="P819" s="20"/>
      <c r="Q819" s="10" t="s">
        <v>54</v>
      </c>
    </row>
    <row r="820" spans="1:17" s="364" customFormat="1">
      <c r="A820" s="991">
        <v>44523</v>
      </c>
      <c r="B820" s="282" t="s">
        <v>23</v>
      </c>
      <c r="C820" s="283" t="s">
        <v>7981</v>
      </c>
      <c r="D820" s="29" t="s">
        <v>7982</v>
      </c>
      <c r="E820" s="984" t="s">
        <v>8517</v>
      </c>
      <c r="F820" s="987" t="s">
        <v>8518</v>
      </c>
      <c r="G820" s="319">
        <v>2</v>
      </c>
      <c r="H820" s="1019">
        <v>98000</v>
      </c>
      <c r="I820" s="86">
        <f t="shared" si="50"/>
        <v>196000</v>
      </c>
      <c r="J820" s="20">
        <f t="shared" si="52"/>
        <v>88200</v>
      </c>
      <c r="K820" s="171">
        <f t="shared" si="49"/>
        <v>107800</v>
      </c>
      <c r="N820" s="17">
        <f t="shared" si="51"/>
        <v>107800</v>
      </c>
      <c r="O820" s="282" t="s">
        <v>23</v>
      </c>
      <c r="P820" s="20"/>
      <c r="Q820" s="10" t="s">
        <v>54</v>
      </c>
    </row>
    <row r="821" spans="1:17" s="364" customFormat="1">
      <c r="A821" s="991">
        <v>44523</v>
      </c>
      <c r="B821" s="282" t="s">
        <v>23</v>
      </c>
      <c r="C821" s="283" t="s">
        <v>7981</v>
      </c>
      <c r="D821" s="29" t="s">
        <v>7982</v>
      </c>
      <c r="E821" s="984" t="s">
        <v>8519</v>
      </c>
      <c r="F821" s="987" t="s">
        <v>8520</v>
      </c>
      <c r="G821" s="319">
        <v>2</v>
      </c>
      <c r="H821" s="1019">
        <v>238000</v>
      </c>
      <c r="I821" s="86">
        <f t="shared" si="50"/>
        <v>476000</v>
      </c>
      <c r="J821" s="20">
        <f t="shared" si="52"/>
        <v>214200</v>
      </c>
      <c r="K821" s="171">
        <f t="shared" si="49"/>
        <v>261800</v>
      </c>
      <c r="N821" s="17">
        <f t="shared" si="51"/>
        <v>261800</v>
      </c>
      <c r="O821" s="282" t="s">
        <v>23</v>
      </c>
      <c r="P821" s="20"/>
      <c r="Q821" s="10" t="s">
        <v>54</v>
      </c>
    </row>
    <row r="822" spans="1:17" s="364" customFormat="1">
      <c r="A822" s="991">
        <v>44523</v>
      </c>
      <c r="B822" s="282" t="s">
        <v>23</v>
      </c>
      <c r="C822" s="283" t="s">
        <v>7981</v>
      </c>
      <c r="D822" s="29" t="s">
        <v>7982</v>
      </c>
      <c r="E822" s="984" t="s">
        <v>4061</v>
      </c>
      <c r="F822" s="987" t="s">
        <v>4062</v>
      </c>
      <c r="G822" s="319">
        <v>2</v>
      </c>
      <c r="H822" s="1019">
        <v>148000</v>
      </c>
      <c r="I822" s="86">
        <f t="shared" si="50"/>
        <v>296000</v>
      </c>
      <c r="J822" s="20">
        <f t="shared" si="52"/>
        <v>133200</v>
      </c>
      <c r="K822" s="171">
        <f t="shared" si="49"/>
        <v>162800</v>
      </c>
      <c r="N822" s="17">
        <f t="shared" si="51"/>
        <v>162800</v>
      </c>
      <c r="O822" s="282" t="s">
        <v>23</v>
      </c>
      <c r="P822" s="20"/>
      <c r="Q822" s="10" t="s">
        <v>54</v>
      </c>
    </row>
    <row r="823" spans="1:17" s="364" customFormat="1">
      <c r="A823" s="991">
        <v>44523</v>
      </c>
      <c r="B823" s="282" t="s">
        <v>23</v>
      </c>
      <c r="C823" s="283" t="s">
        <v>7981</v>
      </c>
      <c r="D823" s="29" t="s">
        <v>7982</v>
      </c>
      <c r="E823" s="984" t="s">
        <v>7800</v>
      </c>
      <c r="F823" s="987" t="s">
        <v>7801</v>
      </c>
      <c r="G823" s="319">
        <v>2</v>
      </c>
      <c r="H823" s="1019">
        <v>96000</v>
      </c>
      <c r="I823" s="86">
        <f t="shared" si="50"/>
        <v>192000</v>
      </c>
      <c r="J823" s="20">
        <f t="shared" si="52"/>
        <v>86400</v>
      </c>
      <c r="K823" s="171">
        <f t="shared" si="49"/>
        <v>105600</v>
      </c>
      <c r="N823" s="17">
        <f t="shared" si="51"/>
        <v>105600</v>
      </c>
      <c r="O823" s="282" t="s">
        <v>23</v>
      </c>
      <c r="P823" s="20"/>
      <c r="Q823" s="10" t="s">
        <v>54</v>
      </c>
    </row>
    <row r="824" spans="1:17" s="364" customFormat="1">
      <c r="A824" s="991">
        <v>44523</v>
      </c>
      <c r="B824" s="282" t="s">
        <v>23</v>
      </c>
      <c r="C824" s="283" t="s">
        <v>7981</v>
      </c>
      <c r="D824" s="29" t="s">
        <v>7982</v>
      </c>
      <c r="E824" s="984" t="s">
        <v>4720</v>
      </c>
      <c r="F824" s="987" t="s">
        <v>4721</v>
      </c>
      <c r="G824" s="319">
        <v>2</v>
      </c>
      <c r="H824" s="1019">
        <v>99000</v>
      </c>
      <c r="I824" s="86">
        <f t="shared" si="50"/>
        <v>198000</v>
      </c>
      <c r="J824" s="20">
        <f t="shared" si="52"/>
        <v>89100</v>
      </c>
      <c r="K824" s="171">
        <f t="shared" si="49"/>
        <v>108900</v>
      </c>
      <c r="N824" s="17">
        <f t="shared" si="51"/>
        <v>108900</v>
      </c>
      <c r="O824" s="282" t="s">
        <v>23</v>
      </c>
      <c r="P824" s="20"/>
      <c r="Q824" s="10" t="s">
        <v>54</v>
      </c>
    </row>
    <row r="825" spans="1:17" s="364" customFormat="1">
      <c r="A825" s="991">
        <v>44523</v>
      </c>
      <c r="B825" s="282" t="s">
        <v>23</v>
      </c>
      <c r="C825" s="283" t="s">
        <v>7981</v>
      </c>
      <c r="D825" s="29" t="s">
        <v>7982</v>
      </c>
      <c r="E825" s="984" t="s">
        <v>5011</v>
      </c>
      <c r="F825" s="984" t="s">
        <v>5012</v>
      </c>
      <c r="G825" s="319">
        <v>2</v>
      </c>
      <c r="H825" s="998">
        <v>83000</v>
      </c>
      <c r="I825" s="86">
        <f t="shared" si="50"/>
        <v>166000</v>
      </c>
      <c r="J825" s="20">
        <f t="shared" si="52"/>
        <v>74700</v>
      </c>
      <c r="K825" s="171">
        <f t="shared" si="49"/>
        <v>91300</v>
      </c>
      <c r="N825" s="17">
        <f t="shared" si="51"/>
        <v>91300</v>
      </c>
      <c r="O825" s="282" t="s">
        <v>23</v>
      </c>
      <c r="P825" s="20"/>
      <c r="Q825" s="10" t="s">
        <v>54</v>
      </c>
    </row>
    <row r="826" spans="1:17" s="364" customFormat="1">
      <c r="A826" s="991">
        <v>44523</v>
      </c>
      <c r="B826" s="282" t="s">
        <v>23</v>
      </c>
      <c r="C826" s="283" t="s">
        <v>7981</v>
      </c>
      <c r="D826" s="29" t="s">
        <v>7982</v>
      </c>
      <c r="E826" s="984" t="s">
        <v>7794</v>
      </c>
      <c r="F826" s="987" t="s">
        <v>7795</v>
      </c>
      <c r="G826" s="319">
        <v>2</v>
      </c>
      <c r="H826" s="998">
        <v>93000</v>
      </c>
      <c r="I826" s="86">
        <f t="shared" si="50"/>
        <v>186000</v>
      </c>
      <c r="J826" s="20">
        <f t="shared" si="52"/>
        <v>83700</v>
      </c>
      <c r="K826" s="171">
        <f t="shared" si="49"/>
        <v>102300</v>
      </c>
      <c r="N826" s="17">
        <f t="shared" si="51"/>
        <v>102300</v>
      </c>
      <c r="O826" s="282" t="s">
        <v>23</v>
      </c>
      <c r="P826" s="20"/>
      <c r="Q826" s="10" t="s">
        <v>54</v>
      </c>
    </row>
    <row r="827" spans="1:17" s="364" customFormat="1">
      <c r="A827" s="991">
        <v>44523</v>
      </c>
      <c r="B827" s="282" t="s">
        <v>23</v>
      </c>
      <c r="C827" s="283" t="s">
        <v>7981</v>
      </c>
      <c r="D827" s="29" t="s">
        <v>7982</v>
      </c>
      <c r="E827" s="984" t="s">
        <v>8521</v>
      </c>
      <c r="F827" s="987" t="s">
        <v>8522</v>
      </c>
      <c r="G827" s="319">
        <v>2</v>
      </c>
      <c r="H827" s="998">
        <v>69000</v>
      </c>
      <c r="I827" s="86">
        <f t="shared" si="50"/>
        <v>138000</v>
      </c>
      <c r="J827" s="20">
        <f t="shared" si="52"/>
        <v>62100</v>
      </c>
      <c r="K827" s="171">
        <f t="shared" si="49"/>
        <v>75900</v>
      </c>
      <c r="N827" s="17">
        <f t="shared" si="51"/>
        <v>75900</v>
      </c>
      <c r="O827" s="282" t="s">
        <v>23</v>
      </c>
      <c r="P827" s="20"/>
      <c r="Q827" s="10" t="s">
        <v>54</v>
      </c>
    </row>
    <row r="828" spans="1:17" s="364" customFormat="1">
      <c r="A828" s="991">
        <v>44523</v>
      </c>
      <c r="B828" s="282" t="s">
        <v>23</v>
      </c>
      <c r="C828" s="283" t="s">
        <v>7981</v>
      </c>
      <c r="D828" s="29" t="s">
        <v>7982</v>
      </c>
      <c r="E828" s="1015" t="s">
        <v>8523</v>
      </c>
      <c r="F828" s="987" t="s">
        <v>8524</v>
      </c>
      <c r="G828" s="319">
        <v>2</v>
      </c>
      <c r="H828" s="998">
        <v>61000</v>
      </c>
      <c r="I828" s="86">
        <f t="shared" si="50"/>
        <v>122000</v>
      </c>
      <c r="J828" s="20">
        <f t="shared" si="52"/>
        <v>54900</v>
      </c>
      <c r="K828" s="171">
        <f t="shared" si="49"/>
        <v>67100</v>
      </c>
      <c r="N828" s="17">
        <f t="shared" si="51"/>
        <v>67100</v>
      </c>
      <c r="O828" s="282" t="s">
        <v>23</v>
      </c>
      <c r="P828" s="20"/>
      <c r="Q828" s="10" t="s">
        <v>54</v>
      </c>
    </row>
    <row r="829" spans="1:17" s="364" customFormat="1">
      <c r="A829" s="991">
        <v>44523</v>
      </c>
      <c r="B829" s="282" t="s">
        <v>23</v>
      </c>
      <c r="C829" s="283" t="s">
        <v>7981</v>
      </c>
      <c r="D829" s="29" t="s">
        <v>7982</v>
      </c>
      <c r="E829" s="1015" t="s">
        <v>7257</v>
      </c>
      <c r="F829" s="984" t="s">
        <v>7258</v>
      </c>
      <c r="G829" s="319">
        <v>2</v>
      </c>
      <c r="H829" s="998">
        <v>108000</v>
      </c>
      <c r="I829" s="86">
        <f t="shared" si="50"/>
        <v>216000</v>
      </c>
      <c r="J829" s="20">
        <f t="shared" si="52"/>
        <v>97200</v>
      </c>
      <c r="K829" s="171">
        <f t="shared" si="49"/>
        <v>118800</v>
      </c>
      <c r="N829" s="17">
        <f t="shared" si="51"/>
        <v>118800</v>
      </c>
      <c r="O829" s="282" t="s">
        <v>23</v>
      </c>
      <c r="P829" s="20"/>
      <c r="Q829" s="10" t="s">
        <v>54</v>
      </c>
    </row>
    <row r="830" spans="1:17" s="364" customFormat="1">
      <c r="A830" s="991">
        <v>44523</v>
      </c>
      <c r="B830" s="282" t="s">
        <v>23</v>
      </c>
      <c r="C830" s="283" t="s">
        <v>7981</v>
      </c>
      <c r="D830" s="29" t="s">
        <v>7982</v>
      </c>
      <c r="E830" s="984" t="s">
        <v>8525</v>
      </c>
      <c r="F830" s="987" t="s">
        <v>8526</v>
      </c>
      <c r="G830" s="319">
        <v>2</v>
      </c>
      <c r="H830" s="998">
        <v>118000</v>
      </c>
      <c r="I830" s="86">
        <f t="shared" si="50"/>
        <v>236000</v>
      </c>
      <c r="J830" s="20">
        <f t="shared" si="52"/>
        <v>106200</v>
      </c>
      <c r="K830" s="171">
        <f t="shared" si="49"/>
        <v>129800</v>
      </c>
      <c r="N830" s="17">
        <f t="shared" si="51"/>
        <v>129800</v>
      </c>
      <c r="O830" s="282" t="s">
        <v>23</v>
      </c>
      <c r="P830" s="20"/>
      <c r="Q830" s="10" t="s">
        <v>54</v>
      </c>
    </row>
    <row r="831" spans="1:17" s="364" customFormat="1">
      <c r="A831" s="991">
        <v>44523</v>
      </c>
      <c r="B831" s="282" t="s">
        <v>23</v>
      </c>
      <c r="C831" s="283" t="s">
        <v>7981</v>
      </c>
      <c r="D831" s="29" t="s">
        <v>7982</v>
      </c>
      <c r="E831" s="984" t="s">
        <v>8527</v>
      </c>
      <c r="F831" s="987" t="s">
        <v>8528</v>
      </c>
      <c r="G831" s="319">
        <v>2</v>
      </c>
      <c r="H831" s="998">
        <v>76000</v>
      </c>
      <c r="I831" s="86">
        <f t="shared" si="50"/>
        <v>152000</v>
      </c>
      <c r="J831" s="20">
        <f t="shared" si="52"/>
        <v>68400</v>
      </c>
      <c r="K831" s="171">
        <f t="shared" si="49"/>
        <v>83600</v>
      </c>
      <c r="N831" s="17">
        <f t="shared" si="51"/>
        <v>83600</v>
      </c>
      <c r="O831" s="282" t="s">
        <v>23</v>
      </c>
      <c r="P831" s="20"/>
      <c r="Q831" s="10" t="s">
        <v>54</v>
      </c>
    </row>
    <row r="832" spans="1:17" s="364" customFormat="1">
      <c r="A832" s="991">
        <v>44523</v>
      </c>
      <c r="B832" s="282" t="s">
        <v>23</v>
      </c>
      <c r="C832" s="283" t="s">
        <v>7981</v>
      </c>
      <c r="D832" s="29" t="s">
        <v>7982</v>
      </c>
      <c r="E832" s="984" t="s">
        <v>8529</v>
      </c>
      <c r="F832" s="987" t="s">
        <v>8530</v>
      </c>
      <c r="G832" s="319">
        <v>2</v>
      </c>
      <c r="H832" s="998">
        <v>78000</v>
      </c>
      <c r="I832" s="86">
        <f t="shared" si="50"/>
        <v>156000</v>
      </c>
      <c r="J832" s="20">
        <f t="shared" si="52"/>
        <v>70200</v>
      </c>
      <c r="K832" s="171">
        <f t="shared" si="49"/>
        <v>85800</v>
      </c>
      <c r="N832" s="17">
        <f t="shared" si="51"/>
        <v>85800</v>
      </c>
      <c r="O832" s="282" t="s">
        <v>23</v>
      </c>
      <c r="P832" s="20"/>
      <c r="Q832" s="10" t="s">
        <v>54</v>
      </c>
    </row>
    <row r="833" spans="1:17" s="364" customFormat="1" ht="15.6">
      <c r="A833" s="991">
        <v>44523</v>
      </c>
      <c r="B833" s="282" t="s">
        <v>23</v>
      </c>
      <c r="C833" s="283" t="s">
        <v>7981</v>
      </c>
      <c r="D833" s="29" t="s">
        <v>7982</v>
      </c>
      <c r="E833" s="984" t="s">
        <v>8531</v>
      </c>
      <c r="F833" s="987" t="s">
        <v>8532</v>
      </c>
      <c r="G833" s="319">
        <v>2</v>
      </c>
      <c r="H833" s="996">
        <v>60000</v>
      </c>
      <c r="I833" s="86">
        <f t="shared" si="50"/>
        <v>120000</v>
      </c>
      <c r="J833" s="20">
        <f t="shared" si="52"/>
        <v>54000</v>
      </c>
      <c r="K833" s="171">
        <f t="shared" si="49"/>
        <v>66000</v>
      </c>
      <c r="N833" s="17">
        <f t="shared" si="51"/>
        <v>66000</v>
      </c>
      <c r="O833" s="282" t="s">
        <v>23</v>
      </c>
      <c r="P833" s="20"/>
      <c r="Q833" s="10" t="s">
        <v>54</v>
      </c>
    </row>
    <row r="834" spans="1:17" s="364" customFormat="1" ht="15.6">
      <c r="A834" s="991">
        <v>44523</v>
      </c>
      <c r="B834" s="282" t="s">
        <v>23</v>
      </c>
      <c r="C834" s="283" t="s">
        <v>7981</v>
      </c>
      <c r="D834" s="29" t="s">
        <v>7982</v>
      </c>
      <c r="E834" s="984" t="s">
        <v>8533</v>
      </c>
      <c r="F834" s="987" t="s">
        <v>8534</v>
      </c>
      <c r="G834" s="319">
        <v>2</v>
      </c>
      <c r="H834" s="999">
        <v>60000</v>
      </c>
      <c r="I834" s="86">
        <f t="shared" si="50"/>
        <v>120000</v>
      </c>
      <c r="J834" s="20">
        <f t="shared" si="52"/>
        <v>54000</v>
      </c>
      <c r="K834" s="171">
        <f t="shared" si="49"/>
        <v>66000</v>
      </c>
      <c r="N834" s="17">
        <f t="shared" si="51"/>
        <v>66000</v>
      </c>
      <c r="O834" s="282" t="s">
        <v>23</v>
      </c>
      <c r="P834" s="20"/>
      <c r="Q834" s="10" t="s">
        <v>54</v>
      </c>
    </row>
    <row r="835" spans="1:17" s="364" customFormat="1" ht="15.6">
      <c r="A835" s="991">
        <v>44523</v>
      </c>
      <c r="B835" s="282" t="s">
        <v>23</v>
      </c>
      <c r="C835" s="283" t="s">
        <v>7981</v>
      </c>
      <c r="D835" s="29" t="s">
        <v>7982</v>
      </c>
      <c r="E835" s="984" t="s">
        <v>1457</v>
      </c>
      <c r="F835" s="987" t="s">
        <v>1458</v>
      </c>
      <c r="G835" s="319">
        <v>2</v>
      </c>
      <c r="H835" s="996">
        <v>111000</v>
      </c>
      <c r="I835" s="86">
        <f t="shared" si="50"/>
        <v>222000</v>
      </c>
      <c r="J835" s="20">
        <f t="shared" si="52"/>
        <v>99900</v>
      </c>
      <c r="K835" s="171">
        <f t="shared" si="49"/>
        <v>122100</v>
      </c>
      <c r="N835" s="17">
        <f t="shared" si="51"/>
        <v>122100</v>
      </c>
      <c r="O835" s="282" t="s">
        <v>23</v>
      </c>
      <c r="P835" s="20"/>
      <c r="Q835" s="10" t="s">
        <v>54</v>
      </c>
    </row>
    <row r="836" spans="1:17" s="364" customFormat="1" ht="15.6">
      <c r="A836" s="991">
        <v>44523</v>
      </c>
      <c r="B836" s="282" t="s">
        <v>23</v>
      </c>
      <c r="C836" s="283" t="s">
        <v>7981</v>
      </c>
      <c r="D836" s="29" t="s">
        <v>7982</v>
      </c>
      <c r="E836" s="984" t="s">
        <v>6432</v>
      </c>
      <c r="F836" s="987" t="s">
        <v>6433</v>
      </c>
      <c r="G836" s="319">
        <v>2</v>
      </c>
      <c r="H836" s="996">
        <v>111000</v>
      </c>
      <c r="I836" s="86">
        <f t="shared" si="50"/>
        <v>222000</v>
      </c>
      <c r="J836" s="20">
        <f t="shared" si="52"/>
        <v>99900</v>
      </c>
      <c r="K836" s="171">
        <f t="shared" ref="K836:K899" si="53">I836-J836</f>
        <v>122100</v>
      </c>
      <c r="N836" s="17">
        <f t="shared" si="51"/>
        <v>122100</v>
      </c>
      <c r="O836" s="282" t="s">
        <v>23</v>
      </c>
      <c r="P836" s="20"/>
      <c r="Q836" s="10" t="s">
        <v>54</v>
      </c>
    </row>
    <row r="837" spans="1:17" s="364" customFormat="1" ht="15.6">
      <c r="A837" s="991">
        <v>44523</v>
      </c>
      <c r="B837" s="282" t="s">
        <v>23</v>
      </c>
      <c r="C837" s="283" t="s">
        <v>7981</v>
      </c>
      <c r="D837" s="29" t="s">
        <v>7982</v>
      </c>
      <c r="E837" s="984" t="s">
        <v>1459</v>
      </c>
      <c r="F837" s="984" t="s">
        <v>1460</v>
      </c>
      <c r="G837" s="319">
        <v>2</v>
      </c>
      <c r="H837" s="1001">
        <v>79000</v>
      </c>
      <c r="I837" s="86">
        <f t="shared" ref="I837:I900" si="54">H837*G837</f>
        <v>158000</v>
      </c>
      <c r="J837" s="20">
        <f t="shared" si="52"/>
        <v>71100</v>
      </c>
      <c r="K837" s="171">
        <f t="shared" si="53"/>
        <v>86900</v>
      </c>
      <c r="N837" s="17">
        <f t="shared" si="51"/>
        <v>86900</v>
      </c>
      <c r="O837" s="282" t="s">
        <v>23</v>
      </c>
      <c r="P837" s="20"/>
      <c r="Q837" s="10" t="s">
        <v>54</v>
      </c>
    </row>
    <row r="838" spans="1:17" s="364" customFormat="1" ht="15.6">
      <c r="A838" s="991">
        <v>44523</v>
      </c>
      <c r="B838" s="282" t="s">
        <v>23</v>
      </c>
      <c r="C838" s="283" t="s">
        <v>7981</v>
      </c>
      <c r="D838" s="29" t="s">
        <v>7982</v>
      </c>
      <c r="E838" s="984" t="s">
        <v>4502</v>
      </c>
      <c r="F838" s="987" t="s">
        <v>8535</v>
      </c>
      <c r="G838" s="319">
        <v>2</v>
      </c>
      <c r="H838" s="996">
        <v>81000</v>
      </c>
      <c r="I838" s="86">
        <f t="shared" si="54"/>
        <v>162000</v>
      </c>
      <c r="J838" s="20">
        <f t="shared" si="52"/>
        <v>72900</v>
      </c>
      <c r="K838" s="171">
        <f t="shared" si="53"/>
        <v>89100</v>
      </c>
      <c r="N838" s="17">
        <f t="shared" si="51"/>
        <v>89100</v>
      </c>
      <c r="O838" s="282" t="s">
        <v>23</v>
      </c>
      <c r="P838" s="20"/>
      <c r="Q838" s="10" t="s">
        <v>54</v>
      </c>
    </row>
    <row r="839" spans="1:17" s="364" customFormat="1" ht="15.6">
      <c r="A839" s="991">
        <v>44523</v>
      </c>
      <c r="B839" s="282" t="s">
        <v>23</v>
      </c>
      <c r="C839" s="283" t="s">
        <v>7981</v>
      </c>
      <c r="D839" s="29" t="s">
        <v>7982</v>
      </c>
      <c r="E839" s="984" t="s">
        <v>4502</v>
      </c>
      <c r="F839" s="987" t="s">
        <v>4503</v>
      </c>
      <c r="G839" s="319">
        <v>2</v>
      </c>
      <c r="H839" s="996">
        <v>136000</v>
      </c>
      <c r="I839" s="86">
        <f t="shared" si="54"/>
        <v>272000</v>
      </c>
      <c r="J839" s="20">
        <f t="shared" si="52"/>
        <v>122400</v>
      </c>
      <c r="K839" s="171">
        <f t="shared" si="53"/>
        <v>149600</v>
      </c>
      <c r="N839" s="17">
        <f t="shared" si="51"/>
        <v>149600</v>
      </c>
      <c r="O839" s="282" t="s">
        <v>23</v>
      </c>
      <c r="P839" s="20"/>
      <c r="Q839" s="10" t="s">
        <v>54</v>
      </c>
    </row>
    <row r="840" spans="1:17" s="364" customFormat="1" ht="15.6">
      <c r="A840" s="991">
        <v>44523</v>
      </c>
      <c r="B840" s="282" t="s">
        <v>23</v>
      </c>
      <c r="C840" s="283" t="s">
        <v>7981</v>
      </c>
      <c r="D840" s="29" t="s">
        <v>7982</v>
      </c>
      <c r="E840" s="984" t="s">
        <v>1788</v>
      </c>
      <c r="F840" s="987" t="s">
        <v>1789</v>
      </c>
      <c r="G840" s="319">
        <v>2</v>
      </c>
      <c r="H840" s="996">
        <v>86500</v>
      </c>
      <c r="I840" s="86">
        <f t="shared" si="54"/>
        <v>173000</v>
      </c>
      <c r="J840" s="20">
        <f t="shared" si="52"/>
        <v>77850</v>
      </c>
      <c r="K840" s="171">
        <f t="shared" si="53"/>
        <v>95150</v>
      </c>
      <c r="N840" s="17">
        <f t="shared" si="51"/>
        <v>95150</v>
      </c>
      <c r="O840" s="282" t="s">
        <v>23</v>
      </c>
      <c r="P840" s="20"/>
      <c r="Q840" s="10" t="s">
        <v>54</v>
      </c>
    </row>
    <row r="841" spans="1:17" s="364" customFormat="1" ht="15.6">
      <c r="A841" s="991">
        <v>44523</v>
      </c>
      <c r="B841" s="282" t="s">
        <v>23</v>
      </c>
      <c r="C841" s="283" t="s">
        <v>7981</v>
      </c>
      <c r="D841" s="29" t="s">
        <v>7982</v>
      </c>
      <c r="E841" s="984" t="s">
        <v>3495</v>
      </c>
      <c r="F841" s="987" t="s">
        <v>3496</v>
      </c>
      <c r="G841" s="319">
        <v>2</v>
      </c>
      <c r="H841" s="1001">
        <v>90000</v>
      </c>
      <c r="I841" s="86">
        <f t="shared" si="54"/>
        <v>180000</v>
      </c>
      <c r="J841" s="20">
        <f t="shared" si="52"/>
        <v>81000</v>
      </c>
      <c r="K841" s="171">
        <f t="shared" si="53"/>
        <v>99000</v>
      </c>
      <c r="N841" s="17">
        <f t="shared" si="51"/>
        <v>99000</v>
      </c>
      <c r="O841" s="282" t="s">
        <v>23</v>
      </c>
      <c r="P841" s="20"/>
      <c r="Q841" s="10" t="s">
        <v>54</v>
      </c>
    </row>
    <row r="842" spans="1:17" s="364" customFormat="1" ht="15.6">
      <c r="A842" s="991">
        <v>44523</v>
      </c>
      <c r="B842" s="282" t="s">
        <v>23</v>
      </c>
      <c r="C842" s="283" t="s">
        <v>7981</v>
      </c>
      <c r="D842" s="29" t="s">
        <v>7982</v>
      </c>
      <c r="E842" s="984" t="s">
        <v>7883</v>
      </c>
      <c r="F842" s="987" t="s">
        <v>7884</v>
      </c>
      <c r="G842" s="319">
        <v>2</v>
      </c>
      <c r="H842" s="996">
        <v>68000</v>
      </c>
      <c r="I842" s="86">
        <f t="shared" si="54"/>
        <v>136000</v>
      </c>
      <c r="J842" s="20">
        <f t="shared" si="52"/>
        <v>61200</v>
      </c>
      <c r="K842" s="171">
        <f t="shared" si="53"/>
        <v>74800</v>
      </c>
      <c r="N842" s="17">
        <f t="shared" si="51"/>
        <v>74800</v>
      </c>
      <c r="O842" s="282" t="s">
        <v>23</v>
      </c>
      <c r="P842" s="20"/>
      <c r="Q842" s="10" t="s">
        <v>54</v>
      </c>
    </row>
    <row r="843" spans="1:17" s="364" customFormat="1" ht="15.6">
      <c r="A843" s="991">
        <v>44523</v>
      </c>
      <c r="B843" s="282" t="s">
        <v>23</v>
      </c>
      <c r="C843" s="283" t="s">
        <v>7981</v>
      </c>
      <c r="D843" s="29" t="s">
        <v>7982</v>
      </c>
      <c r="E843" s="984" t="s">
        <v>4993</v>
      </c>
      <c r="F843" s="987" t="s">
        <v>4994</v>
      </c>
      <c r="G843" s="319">
        <v>2</v>
      </c>
      <c r="H843" s="996">
        <v>92000</v>
      </c>
      <c r="I843" s="86">
        <f t="shared" si="54"/>
        <v>184000</v>
      </c>
      <c r="J843" s="20">
        <f t="shared" si="52"/>
        <v>82800</v>
      </c>
      <c r="K843" s="171">
        <f t="shared" si="53"/>
        <v>101200</v>
      </c>
      <c r="N843" s="17">
        <f t="shared" si="51"/>
        <v>101200</v>
      </c>
      <c r="O843" s="282" t="s">
        <v>23</v>
      </c>
      <c r="P843" s="20"/>
      <c r="Q843" s="10" t="s">
        <v>54</v>
      </c>
    </row>
    <row r="844" spans="1:17" s="364" customFormat="1" ht="15.6">
      <c r="A844" s="991">
        <v>44523</v>
      </c>
      <c r="B844" s="282" t="s">
        <v>23</v>
      </c>
      <c r="C844" s="283" t="s">
        <v>7981</v>
      </c>
      <c r="D844" s="29" t="s">
        <v>7982</v>
      </c>
      <c r="E844" s="984" t="s">
        <v>1455</v>
      </c>
      <c r="F844" s="987" t="s">
        <v>1456</v>
      </c>
      <c r="G844" s="319">
        <v>2</v>
      </c>
      <c r="H844" s="996">
        <v>206000</v>
      </c>
      <c r="I844" s="86">
        <f t="shared" si="54"/>
        <v>412000</v>
      </c>
      <c r="J844" s="20">
        <f t="shared" si="52"/>
        <v>185400</v>
      </c>
      <c r="K844" s="171">
        <f t="shared" si="53"/>
        <v>226600</v>
      </c>
      <c r="N844" s="17">
        <f t="shared" si="51"/>
        <v>226600</v>
      </c>
      <c r="O844" s="282" t="s">
        <v>23</v>
      </c>
      <c r="P844" s="20"/>
      <c r="Q844" s="10" t="s">
        <v>54</v>
      </c>
    </row>
    <row r="845" spans="1:17" s="364" customFormat="1" ht="15.6">
      <c r="A845" s="991">
        <v>44523</v>
      </c>
      <c r="B845" s="282" t="s">
        <v>23</v>
      </c>
      <c r="C845" s="283" t="s">
        <v>7981</v>
      </c>
      <c r="D845" s="29" t="s">
        <v>7982</v>
      </c>
      <c r="E845" s="984" t="s">
        <v>1453</v>
      </c>
      <c r="F845" s="987" t="s">
        <v>1454</v>
      </c>
      <c r="G845" s="319">
        <v>2</v>
      </c>
      <c r="H845" s="996">
        <v>79500</v>
      </c>
      <c r="I845" s="86">
        <f t="shared" si="54"/>
        <v>159000</v>
      </c>
      <c r="J845" s="20">
        <f t="shared" si="52"/>
        <v>71550</v>
      </c>
      <c r="K845" s="171">
        <f t="shared" si="53"/>
        <v>87450</v>
      </c>
      <c r="N845" s="17">
        <f t="shared" si="51"/>
        <v>87450</v>
      </c>
      <c r="O845" s="282" t="s">
        <v>23</v>
      </c>
      <c r="P845" s="20"/>
      <c r="Q845" s="10" t="s">
        <v>54</v>
      </c>
    </row>
    <row r="846" spans="1:17" s="364" customFormat="1" ht="15.6">
      <c r="A846" s="991">
        <v>44523</v>
      </c>
      <c r="B846" s="282" t="s">
        <v>23</v>
      </c>
      <c r="C846" s="283" t="s">
        <v>7981</v>
      </c>
      <c r="D846" s="29" t="s">
        <v>7982</v>
      </c>
      <c r="E846" s="984" t="s">
        <v>8536</v>
      </c>
      <c r="F846" s="987" t="s">
        <v>8537</v>
      </c>
      <c r="G846" s="319">
        <v>2</v>
      </c>
      <c r="H846" s="996">
        <v>92000</v>
      </c>
      <c r="I846" s="86">
        <f t="shared" si="54"/>
        <v>184000</v>
      </c>
      <c r="J846" s="20">
        <f t="shared" si="52"/>
        <v>82800</v>
      </c>
      <c r="K846" s="171">
        <f t="shared" si="53"/>
        <v>101200</v>
      </c>
      <c r="N846" s="17">
        <f t="shared" si="51"/>
        <v>101200</v>
      </c>
      <c r="O846" s="282" t="s">
        <v>23</v>
      </c>
      <c r="P846" s="20"/>
      <c r="Q846" s="10" t="s">
        <v>54</v>
      </c>
    </row>
    <row r="847" spans="1:17" s="364" customFormat="1" ht="15.6">
      <c r="A847" s="991">
        <v>44523</v>
      </c>
      <c r="B847" s="282" t="s">
        <v>23</v>
      </c>
      <c r="C847" s="283" t="s">
        <v>7981</v>
      </c>
      <c r="D847" s="29" t="s">
        <v>7982</v>
      </c>
      <c r="E847" s="984" t="s">
        <v>8538</v>
      </c>
      <c r="F847" s="987" t="s">
        <v>3508</v>
      </c>
      <c r="G847" s="319">
        <v>2</v>
      </c>
      <c r="H847" s="996">
        <v>58000</v>
      </c>
      <c r="I847" s="86">
        <f t="shared" si="54"/>
        <v>116000</v>
      </c>
      <c r="J847" s="20">
        <f t="shared" si="52"/>
        <v>52200</v>
      </c>
      <c r="K847" s="171">
        <f t="shared" si="53"/>
        <v>63800</v>
      </c>
      <c r="N847" s="17">
        <f t="shared" si="51"/>
        <v>63800</v>
      </c>
      <c r="O847" s="282" t="s">
        <v>23</v>
      </c>
      <c r="P847" s="20"/>
      <c r="Q847" s="10" t="s">
        <v>54</v>
      </c>
    </row>
    <row r="848" spans="1:17" s="364" customFormat="1">
      <c r="A848" s="991">
        <v>44523</v>
      </c>
      <c r="B848" s="282" t="s">
        <v>23</v>
      </c>
      <c r="C848" s="283" t="s">
        <v>7981</v>
      </c>
      <c r="D848" s="29" t="s">
        <v>7982</v>
      </c>
      <c r="E848" s="984" t="s">
        <v>8539</v>
      </c>
      <c r="F848" s="987" t="s">
        <v>8540</v>
      </c>
      <c r="G848" s="319">
        <v>2</v>
      </c>
      <c r="H848" s="998">
        <v>83000</v>
      </c>
      <c r="I848" s="86">
        <f t="shared" si="54"/>
        <v>166000</v>
      </c>
      <c r="J848" s="20">
        <f t="shared" si="52"/>
        <v>74700</v>
      </c>
      <c r="K848" s="171">
        <f t="shared" si="53"/>
        <v>91300</v>
      </c>
      <c r="N848" s="17">
        <f t="shared" si="51"/>
        <v>91300</v>
      </c>
      <c r="O848" s="282" t="s">
        <v>23</v>
      </c>
      <c r="P848" s="20"/>
      <c r="Q848" s="10" t="s">
        <v>54</v>
      </c>
    </row>
    <row r="849" spans="1:17" s="364" customFormat="1">
      <c r="A849" s="991">
        <v>44523</v>
      </c>
      <c r="B849" s="282" t="s">
        <v>23</v>
      </c>
      <c r="C849" s="283" t="s">
        <v>7981</v>
      </c>
      <c r="D849" s="29" t="s">
        <v>7982</v>
      </c>
      <c r="E849" s="984" t="s">
        <v>8541</v>
      </c>
      <c r="F849" s="987" t="s">
        <v>8542</v>
      </c>
      <c r="G849" s="319">
        <v>2</v>
      </c>
      <c r="H849" s="998">
        <v>149000</v>
      </c>
      <c r="I849" s="86">
        <f t="shared" si="54"/>
        <v>298000</v>
      </c>
      <c r="J849" s="20">
        <f t="shared" si="52"/>
        <v>134100</v>
      </c>
      <c r="K849" s="171">
        <f t="shared" si="53"/>
        <v>163900</v>
      </c>
      <c r="N849" s="17">
        <f t="shared" si="51"/>
        <v>163900</v>
      </c>
      <c r="O849" s="282" t="s">
        <v>23</v>
      </c>
      <c r="P849" s="20"/>
      <c r="Q849" s="10" t="s">
        <v>54</v>
      </c>
    </row>
    <row r="850" spans="1:17" s="364" customFormat="1">
      <c r="A850" s="991">
        <v>44523</v>
      </c>
      <c r="B850" s="282" t="s">
        <v>23</v>
      </c>
      <c r="C850" s="283" t="s">
        <v>7981</v>
      </c>
      <c r="D850" s="29" t="s">
        <v>7982</v>
      </c>
      <c r="E850" s="984" t="s">
        <v>8543</v>
      </c>
      <c r="F850" s="984" t="s">
        <v>8544</v>
      </c>
      <c r="G850" s="319">
        <v>2</v>
      </c>
      <c r="H850" s="998">
        <v>116000</v>
      </c>
      <c r="I850" s="86">
        <f t="shared" si="54"/>
        <v>232000</v>
      </c>
      <c r="J850" s="20">
        <f t="shared" si="52"/>
        <v>104400</v>
      </c>
      <c r="K850" s="171">
        <f t="shared" si="53"/>
        <v>127600</v>
      </c>
      <c r="N850" s="17">
        <f t="shared" si="51"/>
        <v>127600</v>
      </c>
      <c r="O850" s="282" t="s">
        <v>23</v>
      </c>
      <c r="P850" s="20"/>
      <c r="Q850" s="10" t="s">
        <v>54</v>
      </c>
    </row>
    <row r="851" spans="1:17" s="364" customFormat="1" ht="15.6">
      <c r="A851" s="991">
        <v>44523</v>
      </c>
      <c r="B851" s="282" t="s">
        <v>23</v>
      </c>
      <c r="C851" s="283" t="s">
        <v>7981</v>
      </c>
      <c r="D851" s="29" t="s">
        <v>7982</v>
      </c>
      <c r="E851" s="984" t="s">
        <v>8545</v>
      </c>
      <c r="F851" s="987" t="s">
        <v>27</v>
      </c>
      <c r="G851" s="319">
        <v>2</v>
      </c>
      <c r="H851" s="1001">
        <v>66500</v>
      </c>
      <c r="I851" s="86">
        <f t="shared" si="54"/>
        <v>133000</v>
      </c>
      <c r="J851" s="20">
        <f t="shared" si="52"/>
        <v>59850</v>
      </c>
      <c r="K851" s="171">
        <f t="shared" si="53"/>
        <v>73150</v>
      </c>
      <c r="N851" s="17">
        <f t="shared" si="51"/>
        <v>73150</v>
      </c>
      <c r="O851" s="282" t="s">
        <v>23</v>
      </c>
      <c r="P851" s="20"/>
      <c r="Q851" s="10" t="s">
        <v>54</v>
      </c>
    </row>
    <row r="852" spans="1:17" s="364" customFormat="1" ht="15.6">
      <c r="A852" s="991">
        <v>44523</v>
      </c>
      <c r="B852" s="282" t="s">
        <v>23</v>
      </c>
      <c r="C852" s="283" t="s">
        <v>7981</v>
      </c>
      <c r="D852" s="29" t="s">
        <v>7982</v>
      </c>
      <c r="E852" s="984" t="s">
        <v>8546</v>
      </c>
      <c r="F852" s="987" t="s">
        <v>8547</v>
      </c>
      <c r="G852" s="319">
        <v>2</v>
      </c>
      <c r="H852" s="999">
        <v>110000</v>
      </c>
      <c r="I852" s="86">
        <f t="shared" si="54"/>
        <v>220000</v>
      </c>
      <c r="J852" s="20">
        <f t="shared" si="52"/>
        <v>99000</v>
      </c>
      <c r="K852" s="171">
        <f t="shared" si="53"/>
        <v>121000</v>
      </c>
      <c r="N852" s="17">
        <f t="shared" si="51"/>
        <v>121000</v>
      </c>
      <c r="O852" s="282" t="s">
        <v>23</v>
      </c>
      <c r="P852" s="20"/>
      <c r="Q852" s="10" t="s">
        <v>54</v>
      </c>
    </row>
    <row r="853" spans="1:17" s="364" customFormat="1" ht="15.6">
      <c r="A853" s="991">
        <v>44523</v>
      </c>
      <c r="B853" s="282" t="s">
        <v>23</v>
      </c>
      <c r="C853" s="283" t="s">
        <v>7981</v>
      </c>
      <c r="D853" s="29" t="s">
        <v>7982</v>
      </c>
      <c r="E853" s="984" t="s">
        <v>293</v>
      </c>
      <c r="F853" s="987" t="s">
        <v>294</v>
      </c>
      <c r="G853" s="319">
        <v>2</v>
      </c>
      <c r="H853" s="1011">
        <v>154000</v>
      </c>
      <c r="I853" s="86">
        <f t="shared" si="54"/>
        <v>308000</v>
      </c>
      <c r="J853" s="20">
        <f t="shared" si="52"/>
        <v>138600</v>
      </c>
      <c r="K853" s="171">
        <f t="shared" si="53"/>
        <v>169400</v>
      </c>
      <c r="N853" s="17">
        <f t="shared" si="51"/>
        <v>169400</v>
      </c>
      <c r="O853" s="282" t="s">
        <v>23</v>
      </c>
      <c r="P853" s="20"/>
      <c r="Q853" s="10" t="s">
        <v>54</v>
      </c>
    </row>
    <row r="854" spans="1:17" s="364" customFormat="1" ht="15.6">
      <c r="A854" s="991">
        <v>44523</v>
      </c>
      <c r="B854" s="282" t="s">
        <v>23</v>
      </c>
      <c r="C854" s="283" t="s">
        <v>7981</v>
      </c>
      <c r="D854" s="29" t="s">
        <v>7982</v>
      </c>
      <c r="E854" s="984" t="s">
        <v>8548</v>
      </c>
      <c r="F854" s="987" t="s">
        <v>8549</v>
      </c>
      <c r="G854" s="319">
        <v>2</v>
      </c>
      <c r="H854" s="999">
        <v>71000</v>
      </c>
      <c r="I854" s="86">
        <f t="shared" si="54"/>
        <v>142000</v>
      </c>
      <c r="J854" s="20">
        <f t="shared" si="52"/>
        <v>63900</v>
      </c>
      <c r="K854" s="171">
        <f t="shared" si="53"/>
        <v>78100</v>
      </c>
      <c r="N854" s="17">
        <f t="shared" si="51"/>
        <v>78100</v>
      </c>
      <c r="O854" s="282" t="s">
        <v>23</v>
      </c>
      <c r="P854" s="20"/>
      <c r="Q854" s="10" t="s">
        <v>54</v>
      </c>
    </row>
    <row r="855" spans="1:17" s="364" customFormat="1" ht="15.6">
      <c r="A855" s="991">
        <v>44523</v>
      </c>
      <c r="B855" s="282" t="s">
        <v>23</v>
      </c>
      <c r="C855" s="283" t="s">
        <v>7981</v>
      </c>
      <c r="D855" s="29" t="s">
        <v>7982</v>
      </c>
      <c r="E855" s="984" t="s">
        <v>5356</v>
      </c>
      <c r="F855" s="987" t="s">
        <v>5357</v>
      </c>
      <c r="G855" s="319">
        <v>2</v>
      </c>
      <c r="H855" s="999">
        <v>112000</v>
      </c>
      <c r="I855" s="86">
        <f t="shared" si="54"/>
        <v>224000</v>
      </c>
      <c r="J855" s="20">
        <f t="shared" si="52"/>
        <v>100800</v>
      </c>
      <c r="K855" s="171">
        <f t="shared" si="53"/>
        <v>123200</v>
      </c>
      <c r="N855" s="17">
        <f t="shared" si="51"/>
        <v>123200</v>
      </c>
      <c r="O855" s="282" t="s">
        <v>23</v>
      </c>
      <c r="P855" s="20"/>
      <c r="Q855" s="10" t="s">
        <v>54</v>
      </c>
    </row>
    <row r="856" spans="1:17" s="364" customFormat="1" ht="15.6">
      <c r="A856" s="991">
        <v>44523</v>
      </c>
      <c r="B856" s="282" t="s">
        <v>23</v>
      </c>
      <c r="C856" s="283" t="s">
        <v>7981</v>
      </c>
      <c r="D856" s="29" t="s">
        <v>7982</v>
      </c>
      <c r="E856" s="984" t="s">
        <v>8550</v>
      </c>
      <c r="F856" s="987" t="s">
        <v>8551</v>
      </c>
      <c r="G856" s="319">
        <v>2</v>
      </c>
      <c r="H856" s="1001">
        <v>78000</v>
      </c>
      <c r="I856" s="86">
        <f t="shared" si="54"/>
        <v>156000</v>
      </c>
      <c r="J856" s="20">
        <f t="shared" si="52"/>
        <v>70200</v>
      </c>
      <c r="K856" s="171">
        <f t="shared" si="53"/>
        <v>85800</v>
      </c>
      <c r="N856" s="17">
        <f t="shared" si="51"/>
        <v>85800</v>
      </c>
      <c r="O856" s="282" t="s">
        <v>23</v>
      </c>
      <c r="P856" s="20"/>
      <c r="Q856" s="10" t="s">
        <v>54</v>
      </c>
    </row>
    <row r="857" spans="1:17" s="364" customFormat="1" ht="15.6">
      <c r="A857" s="991">
        <v>44523</v>
      </c>
      <c r="B857" s="282" t="s">
        <v>23</v>
      </c>
      <c r="C857" s="283" t="s">
        <v>7981</v>
      </c>
      <c r="D857" s="29" t="s">
        <v>7982</v>
      </c>
      <c r="E857" s="984" t="s">
        <v>8552</v>
      </c>
      <c r="F857" s="987" t="s">
        <v>8553</v>
      </c>
      <c r="G857" s="319">
        <v>2</v>
      </c>
      <c r="H857" s="999">
        <v>79000</v>
      </c>
      <c r="I857" s="86">
        <f t="shared" si="54"/>
        <v>158000</v>
      </c>
      <c r="J857" s="20">
        <f t="shared" si="52"/>
        <v>71100</v>
      </c>
      <c r="K857" s="171">
        <f t="shared" si="53"/>
        <v>86900</v>
      </c>
      <c r="N857" s="17">
        <f t="shared" si="51"/>
        <v>86900</v>
      </c>
      <c r="O857" s="282" t="s">
        <v>23</v>
      </c>
      <c r="P857" s="20"/>
      <c r="Q857" s="10" t="s">
        <v>54</v>
      </c>
    </row>
    <row r="858" spans="1:17" s="364" customFormat="1" ht="15.6">
      <c r="A858" s="991">
        <v>44523</v>
      </c>
      <c r="B858" s="282" t="s">
        <v>23</v>
      </c>
      <c r="C858" s="283" t="s">
        <v>7981</v>
      </c>
      <c r="D858" s="29" t="s">
        <v>7982</v>
      </c>
      <c r="E858" s="984" t="s">
        <v>8554</v>
      </c>
      <c r="F858" s="987" t="s">
        <v>8555</v>
      </c>
      <c r="G858" s="319">
        <v>2</v>
      </c>
      <c r="H858" s="1002">
        <v>97000</v>
      </c>
      <c r="I858" s="86">
        <f t="shared" si="54"/>
        <v>194000</v>
      </c>
      <c r="J858" s="20">
        <f t="shared" si="52"/>
        <v>87300</v>
      </c>
      <c r="K858" s="171">
        <f t="shared" si="53"/>
        <v>106700</v>
      </c>
      <c r="N858" s="17">
        <f t="shared" si="51"/>
        <v>106700</v>
      </c>
      <c r="O858" s="282" t="s">
        <v>23</v>
      </c>
      <c r="P858" s="20"/>
      <c r="Q858" s="10" t="s">
        <v>54</v>
      </c>
    </row>
    <row r="859" spans="1:17" s="364" customFormat="1" ht="15.6">
      <c r="A859" s="991">
        <v>44523</v>
      </c>
      <c r="B859" s="282" t="s">
        <v>23</v>
      </c>
      <c r="C859" s="283" t="s">
        <v>7981</v>
      </c>
      <c r="D859" s="29" t="s">
        <v>7982</v>
      </c>
      <c r="E859" s="984" t="s">
        <v>8556</v>
      </c>
      <c r="F859" s="987" t="s">
        <v>8557</v>
      </c>
      <c r="G859" s="319">
        <v>2</v>
      </c>
      <c r="H859" s="1002">
        <v>88000</v>
      </c>
      <c r="I859" s="86">
        <f t="shared" si="54"/>
        <v>176000</v>
      </c>
      <c r="J859" s="20">
        <f t="shared" si="52"/>
        <v>79200</v>
      </c>
      <c r="K859" s="171">
        <f t="shared" si="53"/>
        <v>96800</v>
      </c>
      <c r="N859" s="17">
        <f t="shared" ref="N859:N922" si="55">K859+L859+M859</f>
        <v>96800</v>
      </c>
      <c r="O859" s="282" t="s">
        <v>23</v>
      </c>
      <c r="P859" s="20"/>
      <c r="Q859" s="10" t="s">
        <v>54</v>
      </c>
    </row>
    <row r="860" spans="1:17" s="364" customFormat="1">
      <c r="A860" s="991">
        <v>44523</v>
      </c>
      <c r="B860" s="282" t="s">
        <v>23</v>
      </c>
      <c r="C860" s="283" t="s">
        <v>7981</v>
      </c>
      <c r="D860" s="29" t="s">
        <v>7982</v>
      </c>
      <c r="E860" s="984" t="s">
        <v>3752</v>
      </c>
      <c r="F860" s="987" t="s">
        <v>3753</v>
      </c>
      <c r="G860" s="319">
        <v>2</v>
      </c>
      <c r="H860" s="998">
        <v>114000</v>
      </c>
      <c r="I860" s="86">
        <f t="shared" si="54"/>
        <v>228000</v>
      </c>
      <c r="J860" s="20">
        <f t="shared" si="52"/>
        <v>102600</v>
      </c>
      <c r="K860" s="171">
        <f t="shared" si="53"/>
        <v>125400</v>
      </c>
      <c r="N860" s="17">
        <f t="shared" si="55"/>
        <v>125400</v>
      </c>
      <c r="O860" s="282" t="s">
        <v>23</v>
      </c>
      <c r="P860" s="20"/>
      <c r="Q860" s="10" t="s">
        <v>54</v>
      </c>
    </row>
    <row r="861" spans="1:17" s="364" customFormat="1">
      <c r="A861" s="991">
        <v>44523</v>
      </c>
      <c r="B861" s="282" t="s">
        <v>23</v>
      </c>
      <c r="C861" s="283" t="s">
        <v>7981</v>
      </c>
      <c r="D861" s="29" t="s">
        <v>7982</v>
      </c>
      <c r="E861" s="984" t="s">
        <v>8558</v>
      </c>
      <c r="F861" s="984" t="s">
        <v>8559</v>
      </c>
      <c r="G861" s="319">
        <v>2</v>
      </c>
      <c r="H861" s="998">
        <v>148000</v>
      </c>
      <c r="I861" s="86">
        <f t="shared" si="54"/>
        <v>296000</v>
      </c>
      <c r="J861" s="20">
        <f t="shared" si="52"/>
        <v>133200</v>
      </c>
      <c r="K861" s="171">
        <f t="shared" si="53"/>
        <v>162800</v>
      </c>
      <c r="N861" s="17">
        <f t="shared" si="55"/>
        <v>162800</v>
      </c>
      <c r="O861" s="282" t="s">
        <v>23</v>
      </c>
      <c r="P861" s="20"/>
      <c r="Q861" s="10" t="s">
        <v>54</v>
      </c>
    </row>
    <row r="862" spans="1:17" s="364" customFormat="1">
      <c r="A862" s="991">
        <v>44523</v>
      </c>
      <c r="B862" s="282" t="s">
        <v>23</v>
      </c>
      <c r="C862" s="283" t="s">
        <v>7981</v>
      </c>
      <c r="D862" s="29" t="s">
        <v>7982</v>
      </c>
      <c r="E862" s="984" t="s">
        <v>8560</v>
      </c>
      <c r="F862" s="987" t="s">
        <v>8561</v>
      </c>
      <c r="G862" s="319">
        <v>2</v>
      </c>
      <c r="H862" s="998">
        <v>65000</v>
      </c>
      <c r="I862" s="86">
        <f t="shared" si="54"/>
        <v>130000</v>
      </c>
      <c r="J862" s="20">
        <f t="shared" si="52"/>
        <v>58500</v>
      </c>
      <c r="K862" s="171">
        <f t="shared" si="53"/>
        <v>71500</v>
      </c>
      <c r="N862" s="17">
        <f t="shared" si="55"/>
        <v>71500</v>
      </c>
      <c r="O862" s="282" t="s">
        <v>23</v>
      </c>
      <c r="P862" s="20"/>
      <c r="Q862" s="10" t="s">
        <v>54</v>
      </c>
    </row>
    <row r="863" spans="1:17" s="364" customFormat="1">
      <c r="A863" s="991">
        <v>44523</v>
      </c>
      <c r="B863" s="282" t="s">
        <v>23</v>
      </c>
      <c r="C863" s="283" t="s">
        <v>7981</v>
      </c>
      <c r="D863" s="29" t="s">
        <v>7982</v>
      </c>
      <c r="E863" s="984" t="s">
        <v>8562</v>
      </c>
      <c r="F863" s="984" t="s">
        <v>8563</v>
      </c>
      <c r="G863" s="319">
        <v>2</v>
      </c>
      <c r="H863" s="998">
        <v>83000</v>
      </c>
      <c r="I863" s="86">
        <f t="shared" si="54"/>
        <v>166000</v>
      </c>
      <c r="J863" s="20">
        <f t="shared" si="52"/>
        <v>74700</v>
      </c>
      <c r="K863" s="171">
        <f t="shared" si="53"/>
        <v>91300</v>
      </c>
      <c r="N863" s="17">
        <f t="shared" si="55"/>
        <v>91300</v>
      </c>
      <c r="O863" s="282" t="s">
        <v>23</v>
      </c>
      <c r="P863" s="20"/>
      <c r="Q863" s="10" t="s">
        <v>54</v>
      </c>
    </row>
    <row r="864" spans="1:17" s="364" customFormat="1">
      <c r="A864" s="991">
        <v>44523</v>
      </c>
      <c r="B864" s="282" t="s">
        <v>23</v>
      </c>
      <c r="C864" s="283" t="s">
        <v>7981</v>
      </c>
      <c r="D864" s="29" t="s">
        <v>7982</v>
      </c>
      <c r="E864" s="984" t="s">
        <v>8564</v>
      </c>
      <c r="F864" s="987" t="s">
        <v>8565</v>
      </c>
      <c r="G864" s="319">
        <v>2</v>
      </c>
      <c r="H864" s="998">
        <v>255000</v>
      </c>
      <c r="I864" s="86">
        <f t="shared" si="54"/>
        <v>510000</v>
      </c>
      <c r="J864" s="20">
        <f t="shared" si="52"/>
        <v>229500</v>
      </c>
      <c r="K864" s="171">
        <f t="shared" si="53"/>
        <v>280500</v>
      </c>
      <c r="N864" s="17">
        <f t="shared" si="55"/>
        <v>280500</v>
      </c>
      <c r="O864" s="282" t="s">
        <v>23</v>
      </c>
      <c r="P864" s="20"/>
      <c r="Q864" s="10" t="s">
        <v>54</v>
      </c>
    </row>
    <row r="865" spans="1:17" s="364" customFormat="1" ht="15.6">
      <c r="A865" s="991">
        <v>44523</v>
      </c>
      <c r="B865" s="282" t="s">
        <v>23</v>
      </c>
      <c r="C865" s="283" t="s">
        <v>7981</v>
      </c>
      <c r="D865" s="29" t="s">
        <v>7982</v>
      </c>
      <c r="E865" s="984" t="s">
        <v>8566</v>
      </c>
      <c r="F865" s="987" t="s">
        <v>8567</v>
      </c>
      <c r="G865" s="319">
        <v>2</v>
      </c>
      <c r="H865" s="996">
        <v>93000</v>
      </c>
      <c r="I865" s="86">
        <f t="shared" si="54"/>
        <v>186000</v>
      </c>
      <c r="J865" s="20">
        <f t="shared" si="52"/>
        <v>83700</v>
      </c>
      <c r="K865" s="171">
        <f t="shared" si="53"/>
        <v>102300</v>
      </c>
      <c r="N865" s="17">
        <f t="shared" si="55"/>
        <v>102300</v>
      </c>
      <c r="O865" s="282" t="s">
        <v>23</v>
      </c>
      <c r="P865" s="20"/>
      <c r="Q865" s="10" t="s">
        <v>54</v>
      </c>
    </row>
    <row r="866" spans="1:17" s="364" customFormat="1" ht="15.6">
      <c r="A866" s="991">
        <v>44523</v>
      </c>
      <c r="B866" s="282" t="s">
        <v>23</v>
      </c>
      <c r="C866" s="283" t="s">
        <v>7981</v>
      </c>
      <c r="D866" s="29" t="s">
        <v>7982</v>
      </c>
      <c r="E866" s="984" t="s">
        <v>8568</v>
      </c>
      <c r="F866" s="987" t="s">
        <v>8569</v>
      </c>
      <c r="G866" s="319">
        <v>2</v>
      </c>
      <c r="H866" s="999">
        <v>128000</v>
      </c>
      <c r="I866" s="86">
        <f t="shared" si="54"/>
        <v>256000</v>
      </c>
      <c r="J866" s="20">
        <f t="shared" si="52"/>
        <v>115200</v>
      </c>
      <c r="K866" s="171">
        <f t="shared" si="53"/>
        <v>140800</v>
      </c>
      <c r="N866" s="17">
        <f t="shared" si="55"/>
        <v>140800</v>
      </c>
      <c r="O866" s="282" t="s">
        <v>23</v>
      </c>
      <c r="P866" s="20"/>
      <c r="Q866" s="10" t="s">
        <v>54</v>
      </c>
    </row>
    <row r="867" spans="1:17" s="364" customFormat="1" ht="15.6">
      <c r="A867" s="991">
        <v>44523</v>
      </c>
      <c r="B867" s="282" t="s">
        <v>23</v>
      </c>
      <c r="C867" s="283" t="s">
        <v>7981</v>
      </c>
      <c r="D867" s="29" t="s">
        <v>7982</v>
      </c>
      <c r="E867" s="984" t="s">
        <v>880</v>
      </c>
      <c r="F867" s="987" t="s">
        <v>881</v>
      </c>
      <c r="G867" s="319">
        <v>2</v>
      </c>
      <c r="H867" s="999">
        <v>81000</v>
      </c>
      <c r="I867" s="86">
        <f t="shared" si="54"/>
        <v>162000</v>
      </c>
      <c r="J867" s="20">
        <f t="shared" si="52"/>
        <v>72900</v>
      </c>
      <c r="K867" s="171">
        <f t="shared" si="53"/>
        <v>89100</v>
      </c>
      <c r="N867" s="17">
        <f t="shared" si="55"/>
        <v>89100</v>
      </c>
      <c r="O867" s="282" t="s">
        <v>23</v>
      </c>
      <c r="P867" s="20"/>
      <c r="Q867" s="10" t="s">
        <v>54</v>
      </c>
    </row>
    <row r="868" spans="1:17" s="364" customFormat="1" ht="15.6">
      <c r="A868" s="991">
        <v>44523</v>
      </c>
      <c r="B868" s="282" t="s">
        <v>23</v>
      </c>
      <c r="C868" s="283" t="s">
        <v>7981</v>
      </c>
      <c r="D868" s="29" t="s">
        <v>7982</v>
      </c>
      <c r="E868" s="984" t="s">
        <v>781</v>
      </c>
      <c r="F868" s="987" t="s">
        <v>782</v>
      </c>
      <c r="G868" s="319">
        <v>2</v>
      </c>
      <c r="H868" s="996">
        <v>57500</v>
      </c>
      <c r="I868" s="86">
        <f t="shared" si="54"/>
        <v>115000</v>
      </c>
      <c r="J868" s="20">
        <f t="shared" si="52"/>
        <v>51750</v>
      </c>
      <c r="K868" s="171">
        <f t="shared" si="53"/>
        <v>63250</v>
      </c>
      <c r="N868" s="17">
        <f t="shared" si="55"/>
        <v>63250</v>
      </c>
      <c r="O868" s="282" t="s">
        <v>23</v>
      </c>
      <c r="P868" s="20"/>
      <c r="Q868" s="10" t="s">
        <v>54</v>
      </c>
    </row>
    <row r="869" spans="1:17" s="364" customFormat="1" ht="15.6">
      <c r="A869" s="991">
        <v>44523</v>
      </c>
      <c r="B869" s="282" t="s">
        <v>23</v>
      </c>
      <c r="C869" s="283" t="s">
        <v>7981</v>
      </c>
      <c r="D869" s="29" t="s">
        <v>7982</v>
      </c>
      <c r="E869" s="984" t="s">
        <v>3024</v>
      </c>
      <c r="F869" s="987" t="s">
        <v>3025</v>
      </c>
      <c r="G869" s="319">
        <v>2</v>
      </c>
      <c r="H869" s="1001">
        <v>85000</v>
      </c>
      <c r="I869" s="86">
        <f t="shared" si="54"/>
        <v>170000</v>
      </c>
      <c r="J869" s="20">
        <f t="shared" si="52"/>
        <v>76500</v>
      </c>
      <c r="K869" s="171">
        <f t="shared" si="53"/>
        <v>93500</v>
      </c>
      <c r="N869" s="17">
        <f t="shared" si="55"/>
        <v>93500</v>
      </c>
      <c r="O869" s="282" t="s">
        <v>23</v>
      </c>
      <c r="P869" s="20"/>
      <c r="Q869" s="10" t="s">
        <v>54</v>
      </c>
    </row>
    <row r="870" spans="1:17" s="364" customFormat="1" ht="15.6">
      <c r="A870" s="991">
        <v>44523</v>
      </c>
      <c r="B870" s="282" t="s">
        <v>23</v>
      </c>
      <c r="C870" s="283" t="s">
        <v>7981</v>
      </c>
      <c r="D870" s="29" t="s">
        <v>7982</v>
      </c>
      <c r="E870" s="984" t="s">
        <v>8570</v>
      </c>
      <c r="F870" s="987" t="s">
        <v>8571</v>
      </c>
      <c r="G870" s="319">
        <v>2</v>
      </c>
      <c r="H870" s="996">
        <v>57000</v>
      </c>
      <c r="I870" s="86">
        <f t="shared" si="54"/>
        <v>114000</v>
      </c>
      <c r="J870" s="20">
        <f t="shared" si="52"/>
        <v>51300</v>
      </c>
      <c r="K870" s="171">
        <f t="shared" si="53"/>
        <v>62700</v>
      </c>
      <c r="N870" s="17">
        <f t="shared" si="55"/>
        <v>62700</v>
      </c>
      <c r="O870" s="282" t="s">
        <v>23</v>
      </c>
      <c r="P870" s="20"/>
      <c r="Q870" s="10" t="s">
        <v>54</v>
      </c>
    </row>
    <row r="871" spans="1:17" s="364" customFormat="1" ht="15.6">
      <c r="A871" s="991">
        <v>44523</v>
      </c>
      <c r="B871" s="282" t="s">
        <v>23</v>
      </c>
      <c r="C871" s="283" t="s">
        <v>7981</v>
      </c>
      <c r="D871" s="29" t="s">
        <v>7982</v>
      </c>
      <c r="E871" s="984" t="s">
        <v>5162</v>
      </c>
      <c r="F871" s="984" t="s">
        <v>5163</v>
      </c>
      <c r="G871" s="319">
        <v>2</v>
      </c>
      <c r="H871" s="999">
        <v>181000</v>
      </c>
      <c r="I871" s="86">
        <f t="shared" si="54"/>
        <v>362000</v>
      </c>
      <c r="J871" s="20">
        <f t="shared" si="52"/>
        <v>162900</v>
      </c>
      <c r="K871" s="171">
        <f t="shared" si="53"/>
        <v>199100</v>
      </c>
      <c r="N871" s="17">
        <f t="shared" si="55"/>
        <v>199100</v>
      </c>
      <c r="O871" s="282" t="s">
        <v>23</v>
      </c>
      <c r="P871" s="20"/>
      <c r="Q871" s="10" t="s">
        <v>54</v>
      </c>
    </row>
    <row r="872" spans="1:17" s="364" customFormat="1" ht="15.6">
      <c r="A872" s="991">
        <v>44523</v>
      </c>
      <c r="B872" s="282" t="s">
        <v>23</v>
      </c>
      <c r="C872" s="283" t="s">
        <v>7981</v>
      </c>
      <c r="D872" s="29" t="s">
        <v>7982</v>
      </c>
      <c r="E872" s="984" t="s">
        <v>7620</v>
      </c>
      <c r="F872" s="984" t="s">
        <v>7621</v>
      </c>
      <c r="G872" s="319">
        <v>2</v>
      </c>
      <c r="H872" s="996">
        <v>85500</v>
      </c>
      <c r="I872" s="86">
        <f t="shared" si="54"/>
        <v>171000</v>
      </c>
      <c r="J872" s="20">
        <f t="shared" si="52"/>
        <v>76950</v>
      </c>
      <c r="K872" s="171">
        <f t="shared" si="53"/>
        <v>94050</v>
      </c>
      <c r="N872" s="17">
        <f t="shared" si="55"/>
        <v>94050</v>
      </c>
      <c r="O872" s="282" t="s">
        <v>23</v>
      </c>
      <c r="P872" s="20"/>
      <c r="Q872" s="10" t="s">
        <v>54</v>
      </c>
    </row>
    <row r="873" spans="1:17" s="364" customFormat="1" ht="15.6">
      <c r="A873" s="991">
        <v>44523</v>
      </c>
      <c r="B873" s="282" t="s">
        <v>23</v>
      </c>
      <c r="C873" s="283" t="s">
        <v>7981</v>
      </c>
      <c r="D873" s="29" t="s">
        <v>7982</v>
      </c>
      <c r="E873" s="984" t="s">
        <v>8572</v>
      </c>
      <c r="F873" s="987" t="s">
        <v>8573</v>
      </c>
      <c r="G873" s="319">
        <v>2</v>
      </c>
      <c r="H873" s="996">
        <v>83000</v>
      </c>
      <c r="I873" s="86">
        <f t="shared" si="54"/>
        <v>166000</v>
      </c>
      <c r="J873" s="20">
        <f t="shared" ref="J873:J936" si="56">I873*45%</f>
        <v>74700</v>
      </c>
      <c r="K873" s="171">
        <f t="shared" si="53"/>
        <v>91300</v>
      </c>
      <c r="N873" s="17">
        <f t="shared" si="55"/>
        <v>91300</v>
      </c>
      <c r="O873" s="282" t="s">
        <v>23</v>
      </c>
      <c r="P873" s="20"/>
      <c r="Q873" s="10" t="s">
        <v>54</v>
      </c>
    </row>
    <row r="874" spans="1:17" s="364" customFormat="1" ht="15.6">
      <c r="A874" s="991">
        <v>44523</v>
      </c>
      <c r="B874" s="282" t="s">
        <v>23</v>
      </c>
      <c r="C874" s="283" t="s">
        <v>7981</v>
      </c>
      <c r="D874" s="29" t="s">
        <v>7982</v>
      </c>
      <c r="E874" s="984" t="s">
        <v>8574</v>
      </c>
      <c r="F874" s="987" t="s">
        <v>8575</v>
      </c>
      <c r="G874" s="319">
        <v>2</v>
      </c>
      <c r="H874" s="1001">
        <v>99000</v>
      </c>
      <c r="I874" s="86">
        <f t="shared" si="54"/>
        <v>198000</v>
      </c>
      <c r="J874" s="20">
        <f t="shared" si="56"/>
        <v>89100</v>
      </c>
      <c r="K874" s="171">
        <f t="shared" si="53"/>
        <v>108900</v>
      </c>
      <c r="N874" s="17">
        <f t="shared" si="55"/>
        <v>108900</v>
      </c>
      <c r="O874" s="282" t="s">
        <v>23</v>
      </c>
      <c r="P874" s="20"/>
      <c r="Q874" s="10" t="s">
        <v>54</v>
      </c>
    </row>
    <row r="875" spans="1:17" s="364" customFormat="1" ht="15.6">
      <c r="A875" s="991">
        <v>44523</v>
      </c>
      <c r="B875" s="282" t="s">
        <v>23</v>
      </c>
      <c r="C875" s="283" t="s">
        <v>7981</v>
      </c>
      <c r="D875" s="29" t="s">
        <v>7982</v>
      </c>
      <c r="E875" s="984" t="s">
        <v>8576</v>
      </c>
      <c r="F875" s="987" t="s">
        <v>5092</v>
      </c>
      <c r="G875" s="319">
        <v>2</v>
      </c>
      <c r="H875" s="1001">
        <v>137000</v>
      </c>
      <c r="I875" s="86">
        <f t="shared" si="54"/>
        <v>274000</v>
      </c>
      <c r="J875" s="20">
        <f t="shared" si="56"/>
        <v>123300</v>
      </c>
      <c r="K875" s="171">
        <f t="shared" si="53"/>
        <v>150700</v>
      </c>
      <c r="N875" s="17">
        <f t="shared" si="55"/>
        <v>150700</v>
      </c>
      <c r="O875" s="282" t="s">
        <v>23</v>
      </c>
      <c r="P875" s="20"/>
      <c r="Q875" s="10" t="s">
        <v>54</v>
      </c>
    </row>
    <row r="876" spans="1:17" s="364" customFormat="1" ht="15.6">
      <c r="A876" s="991">
        <v>44523</v>
      </c>
      <c r="B876" s="282" t="s">
        <v>23</v>
      </c>
      <c r="C876" s="283" t="s">
        <v>7981</v>
      </c>
      <c r="D876" s="29" t="s">
        <v>7982</v>
      </c>
      <c r="E876" s="984" t="s">
        <v>8577</v>
      </c>
      <c r="F876" s="987" t="s">
        <v>8578</v>
      </c>
      <c r="G876" s="319">
        <v>2</v>
      </c>
      <c r="H876" s="996">
        <v>76000</v>
      </c>
      <c r="I876" s="86">
        <f t="shared" si="54"/>
        <v>152000</v>
      </c>
      <c r="J876" s="20">
        <f t="shared" si="56"/>
        <v>68400</v>
      </c>
      <c r="K876" s="171">
        <f t="shared" si="53"/>
        <v>83600</v>
      </c>
      <c r="N876" s="17">
        <f t="shared" si="55"/>
        <v>83600</v>
      </c>
      <c r="O876" s="282" t="s">
        <v>23</v>
      </c>
      <c r="P876" s="20"/>
      <c r="Q876" s="10" t="s">
        <v>54</v>
      </c>
    </row>
    <row r="877" spans="1:17" s="364" customFormat="1" ht="15.6">
      <c r="A877" s="991">
        <v>44523</v>
      </c>
      <c r="B877" s="282" t="s">
        <v>23</v>
      </c>
      <c r="C877" s="283" t="s">
        <v>7981</v>
      </c>
      <c r="D877" s="29" t="s">
        <v>7982</v>
      </c>
      <c r="E877" s="984" t="s">
        <v>1996</v>
      </c>
      <c r="F877" s="984" t="s">
        <v>1997</v>
      </c>
      <c r="G877" s="319">
        <v>2</v>
      </c>
      <c r="H877" s="999">
        <v>94000</v>
      </c>
      <c r="I877" s="86">
        <f t="shared" si="54"/>
        <v>188000</v>
      </c>
      <c r="J877" s="20">
        <f t="shared" si="56"/>
        <v>84600</v>
      </c>
      <c r="K877" s="171">
        <f t="shared" si="53"/>
        <v>103400</v>
      </c>
      <c r="N877" s="17">
        <f t="shared" si="55"/>
        <v>103400</v>
      </c>
      <c r="O877" s="282" t="s">
        <v>23</v>
      </c>
      <c r="P877" s="20"/>
      <c r="Q877" s="10" t="s">
        <v>54</v>
      </c>
    </row>
    <row r="878" spans="1:17" s="364" customFormat="1">
      <c r="A878" s="991">
        <v>44523</v>
      </c>
      <c r="B878" s="282" t="s">
        <v>23</v>
      </c>
      <c r="C878" s="283" t="s">
        <v>7981</v>
      </c>
      <c r="D878" s="29" t="s">
        <v>7982</v>
      </c>
      <c r="E878" s="984" t="s">
        <v>8579</v>
      </c>
      <c r="F878" s="987" t="s">
        <v>8580</v>
      </c>
      <c r="G878" s="319">
        <v>2</v>
      </c>
      <c r="H878" s="998">
        <v>244000</v>
      </c>
      <c r="I878" s="86">
        <f t="shared" si="54"/>
        <v>488000</v>
      </c>
      <c r="J878" s="20">
        <f t="shared" si="56"/>
        <v>219600</v>
      </c>
      <c r="K878" s="171">
        <f t="shared" si="53"/>
        <v>268400</v>
      </c>
      <c r="N878" s="17">
        <f t="shared" si="55"/>
        <v>268400</v>
      </c>
      <c r="O878" s="282" t="s">
        <v>23</v>
      </c>
      <c r="P878" s="20"/>
      <c r="Q878" s="10" t="s">
        <v>54</v>
      </c>
    </row>
    <row r="879" spans="1:17" s="364" customFormat="1" ht="15.6">
      <c r="A879" s="991">
        <v>44523</v>
      </c>
      <c r="B879" s="282" t="s">
        <v>23</v>
      </c>
      <c r="C879" s="283" t="s">
        <v>7981</v>
      </c>
      <c r="D879" s="29" t="s">
        <v>7982</v>
      </c>
      <c r="E879" s="984" t="s">
        <v>8581</v>
      </c>
      <c r="F879" s="984" t="s">
        <v>8582</v>
      </c>
      <c r="G879" s="319">
        <v>2</v>
      </c>
      <c r="H879" s="996">
        <v>114000</v>
      </c>
      <c r="I879" s="86">
        <f t="shared" si="54"/>
        <v>228000</v>
      </c>
      <c r="J879" s="20">
        <f t="shared" si="56"/>
        <v>102600</v>
      </c>
      <c r="K879" s="171">
        <f t="shared" si="53"/>
        <v>125400</v>
      </c>
      <c r="N879" s="17">
        <f t="shared" si="55"/>
        <v>125400</v>
      </c>
      <c r="O879" s="282" t="s">
        <v>23</v>
      </c>
      <c r="P879" s="20"/>
      <c r="Q879" s="10" t="s">
        <v>54</v>
      </c>
    </row>
    <row r="880" spans="1:17" s="364" customFormat="1" ht="15.6">
      <c r="A880" s="991">
        <v>44523</v>
      </c>
      <c r="B880" s="282" t="s">
        <v>23</v>
      </c>
      <c r="C880" s="283" t="s">
        <v>7981</v>
      </c>
      <c r="D880" s="29" t="s">
        <v>7982</v>
      </c>
      <c r="E880" s="984" t="s">
        <v>8583</v>
      </c>
      <c r="F880" s="987" t="s">
        <v>8584</v>
      </c>
      <c r="G880" s="319">
        <v>2</v>
      </c>
      <c r="H880" s="996">
        <v>123000</v>
      </c>
      <c r="I880" s="86">
        <f t="shared" si="54"/>
        <v>246000</v>
      </c>
      <c r="J880" s="20">
        <f t="shared" si="56"/>
        <v>110700</v>
      </c>
      <c r="K880" s="171">
        <f t="shared" si="53"/>
        <v>135300</v>
      </c>
      <c r="N880" s="17">
        <f t="shared" si="55"/>
        <v>135300</v>
      </c>
      <c r="O880" s="282" t="s">
        <v>23</v>
      </c>
      <c r="P880" s="20"/>
      <c r="Q880" s="10" t="s">
        <v>54</v>
      </c>
    </row>
    <row r="881" spans="1:17" s="364" customFormat="1" ht="15.6">
      <c r="A881" s="991">
        <v>44523</v>
      </c>
      <c r="B881" s="282" t="s">
        <v>23</v>
      </c>
      <c r="C881" s="283" t="s">
        <v>7981</v>
      </c>
      <c r="D881" s="29" t="s">
        <v>7982</v>
      </c>
      <c r="E881" s="984" t="s">
        <v>8585</v>
      </c>
      <c r="F881" s="987" t="s">
        <v>8586</v>
      </c>
      <c r="G881" s="319">
        <v>2</v>
      </c>
      <c r="H881" s="996">
        <v>77000</v>
      </c>
      <c r="I881" s="86">
        <f t="shared" si="54"/>
        <v>154000</v>
      </c>
      <c r="J881" s="20">
        <f t="shared" si="56"/>
        <v>69300</v>
      </c>
      <c r="K881" s="171">
        <f t="shared" si="53"/>
        <v>84700</v>
      </c>
      <c r="N881" s="17">
        <f t="shared" si="55"/>
        <v>84700</v>
      </c>
      <c r="O881" s="282" t="s">
        <v>23</v>
      </c>
      <c r="P881" s="20"/>
      <c r="Q881" s="10" t="s">
        <v>54</v>
      </c>
    </row>
    <row r="882" spans="1:17" s="364" customFormat="1">
      <c r="A882" s="991">
        <v>44523</v>
      </c>
      <c r="B882" s="282" t="s">
        <v>23</v>
      </c>
      <c r="C882" s="283" t="s">
        <v>7981</v>
      </c>
      <c r="D882" s="29" t="s">
        <v>7982</v>
      </c>
      <c r="E882" s="984" t="s">
        <v>8587</v>
      </c>
      <c r="F882" s="984" t="s">
        <v>6165</v>
      </c>
      <c r="G882" s="319">
        <v>2</v>
      </c>
      <c r="H882" s="998">
        <v>104000</v>
      </c>
      <c r="I882" s="86">
        <f t="shared" si="54"/>
        <v>208000</v>
      </c>
      <c r="J882" s="20">
        <f t="shared" si="56"/>
        <v>93600</v>
      </c>
      <c r="K882" s="171">
        <f t="shared" si="53"/>
        <v>114400</v>
      </c>
      <c r="N882" s="17">
        <f t="shared" si="55"/>
        <v>114400</v>
      </c>
      <c r="O882" s="282" t="s">
        <v>23</v>
      </c>
      <c r="P882" s="20"/>
      <c r="Q882" s="10" t="s">
        <v>54</v>
      </c>
    </row>
    <row r="883" spans="1:17" s="364" customFormat="1">
      <c r="A883" s="991">
        <v>44523</v>
      </c>
      <c r="B883" s="282" t="s">
        <v>23</v>
      </c>
      <c r="C883" s="283" t="s">
        <v>7981</v>
      </c>
      <c r="D883" s="29" t="s">
        <v>7982</v>
      </c>
      <c r="E883" s="984" t="s">
        <v>8588</v>
      </c>
      <c r="F883" s="987" t="s">
        <v>8589</v>
      </c>
      <c r="G883" s="319">
        <v>2</v>
      </c>
      <c r="H883" s="998">
        <v>82000</v>
      </c>
      <c r="I883" s="86">
        <f t="shared" si="54"/>
        <v>164000</v>
      </c>
      <c r="J883" s="20">
        <f t="shared" si="56"/>
        <v>73800</v>
      </c>
      <c r="K883" s="171">
        <f t="shared" si="53"/>
        <v>90200</v>
      </c>
      <c r="N883" s="17">
        <f t="shared" si="55"/>
        <v>90200</v>
      </c>
      <c r="O883" s="282" t="s">
        <v>23</v>
      </c>
      <c r="P883" s="20"/>
      <c r="Q883" s="10" t="s">
        <v>54</v>
      </c>
    </row>
    <row r="884" spans="1:17" s="364" customFormat="1">
      <c r="A884" s="991">
        <v>44523</v>
      </c>
      <c r="B884" s="282" t="s">
        <v>23</v>
      </c>
      <c r="C884" s="283" t="s">
        <v>7981</v>
      </c>
      <c r="D884" s="29" t="s">
        <v>7982</v>
      </c>
      <c r="E884" s="984" t="s">
        <v>5349</v>
      </c>
      <c r="F884" s="987" t="s">
        <v>5350</v>
      </c>
      <c r="G884" s="319">
        <v>2</v>
      </c>
      <c r="H884" s="998">
        <v>124000</v>
      </c>
      <c r="I884" s="86">
        <f t="shared" si="54"/>
        <v>248000</v>
      </c>
      <c r="J884" s="20">
        <f t="shared" si="56"/>
        <v>111600</v>
      </c>
      <c r="K884" s="171">
        <f t="shared" si="53"/>
        <v>136400</v>
      </c>
      <c r="N884" s="17">
        <f t="shared" si="55"/>
        <v>136400</v>
      </c>
      <c r="O884" s="282" t="s">
        <v>23</v>
      </c>
      <c r="P884" s="20"/>
      <c r="Q884" s="10" t="s">
        <v>54</v>
      </c>
    </row>
    <row r="885" spans="1:17" s="364" customFormat="1">
      <c r="A885" s="991">
        <v>44523</v>
      </c>
      <c r="B885" s="282" t="s">
        <v>23</v>
      </c>
      <c r="C885" s="283" t="s">
        <v>7981</v>
      </c>
      <c r="D885" s="29" t="s">
        <v>7982</v>
      </c>
      <c r="E885" s="984" t="s">
        <v>8590</v>
      </c>
      <c r="F885" s="984" t="s">
        <v>2321</v>
      </c>
      <c r="G885" s="319">
        <v>2</v>
      </c>
      <c r="H885" s="998">
        <v>103000</v>
      </c>
      <c r="I885" s="86">
        <f t="shared" si="54"/>
        <v>206000</v>
      </c>
      <c r="J885" s="20">
        <f t="shared" si="56"/>
        <v>92700</v>
      </c>
      <c r="K885" s="171">
        <f t="shared" si="53"/>
        <v>113300</v>
      </c>
      <c r="N885" s="17">
        <f t="shared" si="55"/>
        <v>113300</v>
      </c>
      <c r="O885" s="282" t="s">
        <v>23</v>
      </c>
      <c r="P885" s="20"/>
      <c r="Q885" s="10" t="s">
        <v>54</v>
      </c>
    </row>
    <row r="886" spans="1:17" s="364" customFormat="1">
      <c r="A886" s="991">
        <v>44523</v>
      </c>
      <c r="B886" s="282" t="s">
        <v>23</v>
      </c>
      <c r="C886" s="283" t="s">
        <v>7981</v>
      </c>
      <c r="D886" s="29" t="s">
        <v>7982</v>
      </c>
      <c r="E886" s="984" t="s">
        <v>8591</v>
      </c>
      <c r="F886" s="984" t="s">
        <v>8592</v>
      </c>
      <c r="G886" s="319">
        <v>2</v>
      </c>
      <c r="H886" s="998">
        <v>88000</v>
      </c>
      <c r="I886" s="86">
        <f t="shared" si="54"/>
        <v>176000</v>
      </c>
      <c r="J886" s="20">
        <f t="shared" si="56"/>
        <v>79200</v>
      </c>
      <c r="K886" s="171">
        <f t="shared" si="53"/>
        <v>96800</v>
      </c>
      <c r="N886" s="17">
        <f t="shared" si="55"/>
        <v>96800</v>
      </c>
      <c r="O886" s="282" t="s">
        <v>23</v>
      </c>
      <c r="P886" s="20"/>
      <c r="Q886" s="10" t="s">
        <v>54</v>
      </c>
    </row>
    <row r="887" spans="1:17" s="364" customFormat="1">
      <c r="A887" s="991">
        <v>44523</v>
      </c>
      <c r="B887" s="282" t="s">
        <v>23</v>
      </c>
      <c r="C887" s="283" t="s">
        <v>7981</v>
      </c>
      <c r="D887" s="29" t="s">
        <v>7982</v>
      </c>
      <c r="E887" s="984" t="s">
        <v>8593</v>
      </c>
      <c r="F887" s="987" t="s">
        <v>8594</v>
      </c>
      <c r="G887" s="319">
        <v>2</v>
      </c>
      <c r="H887" s="1019">
        <v>59000</v>
      </c>
      <c r="I887" s="86">
        <f t="shared" si="54"/>
        <v>118000</v>
      </c>
      <c r="J887" s="20">
        <f t="shared" si="56"/>
        <v>53100</v>
      </c>
      <c r="K887" s="171">
        <f t="shared" si="53"/>
        <v>64900</v>
      </c>
      <c r="N887" s="17">
        <f t="shared" si="55"/>
        <v>64900</v>
      </c>
      <c r="O887" s="282" t="s">
        <v>23</v>
      </c>
      <c r="P887" s="20"/>
      <c r="Q887" s="10" t="s">
        <v>54</v>
      </c>
    </row>
    <row r="888" spans="1:17" s="364" customFormat="1">
      <c r="A888" s="991">
        <v>44523</v>
      </c>
      <c r="B888" s="282" t="s">
        <v>23</v>
      </c>
      <c r="C888" s="283" t="s">
        <v>7981</v>
      </c>
      <c r="D888" s="29" t="s">
        <v>7982</v>
      </c>
      <c r="E888" s="984" t="s">
        <v>8595</v>
      </c>
      <c r="F888" s="987" t="s">
        <v>8596</v>
      </c>
      <c r="G888" s="319">
        <v>2</v>
      </c>
      <c r="H888" s="998">
        <v>41000</v>
      </c>
      <c r="I888" s="86">
        <f t="shared" si="54"/>
        <v>82000</v>
      </c>
      <c r="J888" s="20">
        <f t="shared" si="56"/>
        <v>36900</v>
      </c>
      <c r="K888" s="171">
        <f t="shared" si="53"/>
        <v>45100</v>
      </c>
      <c r="N888" s="17">
        <f t="shared" si="55"/>
        <v>45100</v>
      </c>
      <c r="O888" s="282" t="s">
        <v>23</v>
      </c>
      <c r="P888" s="20"/>
      <c r="Q888" s="10" t="s">
        <v>54</v>
      </c>
    </row>
    <row r="889" spans="1:17" s="364" customFormat="1" ht="15.6">
      <c r="A889" s="991">
        <v>44523</v>
      </c>
      <c r="B889" s="282" t="s">
        <v>23</v>
      </c>
      <c r="C889" s="283" t="s">
        <v>7981</v>
      </c>
      <c r="D889" s="29" t="s">
        <v>7982</v>
      </c>
      <c r="E889" s="984" t="s">
        <v>8597</v>
      </c>
      <c r="F889" s="987" t="s">
        <v>8598</v>
      </c>
      <c r="G889" s="319">
        <v>2</v>
      </c>
      <c r="H889" s="999">
        <v>86000</v>
      </c>
      <c r="I889" s="86">
        <f t="shared" si="54"/>
        <v>172000</v>
      </c>
      <c r="J889" s="20">
        <f t="shared" si="56"/>
        <v>77400</v>
      </c>
      <c r="K889" s="171">
        <f t="shared" si="53"/>
        <v>94600</v>
      </c>
      <c r="N889" s="17">
        <f t="shared" si="55"/>
        <v>94600</v>
      </c>
      <c r="O889" s="282" t="s">
        <v>23</v>
      </c>
      <c r="P889" s="20"/>
      <c r="Q889" s="10" t="s">
        <v>54</v>
      </c>
    </row>
    <row r="890" spans="1:17" s="364" customFormat="1" ht="15.6">
      <c r="A890" s="991">
        <v>44523</v>
      </c>
      <c r="B890" s="282" t="s">
        <v>23</v>
      </c>
      <c r="C890" s="283" t="s">
        <v>7981</v>
      </c>
      <c r="D890" s="29" t="s">
        <v>7982</v>
      </c>
      <c r="E890" s="984" t="s">
        <v>4794</v>
      </c>
      <c r="F890" s="987" t="s">
        <v>4795</v>
      </c>
      <c r="G890" s="319">
        <v>2</v>
      </c>
      <c r="H890" s="996">
        <v>87000</v>
      </c>
      <c r="I890" s="86">
        <f t="shared" si="54"/>
        <v>174000</v>
      </c>
      <c r="J890" s="20">
        <f t="shared" si="56"/>
        <v>78300</v>
      </c>
      <c r="K890" s="171">
        <f t="shared" si="53"/>
        <v>95700</v>
      </c>
      <c r="N890" s="17">
        <f t="shared" si="55"/>
        <v>95700</v>
      </c>
      <c r="O890" s="282" t="s">
        <v>23</v>
      </c>
      <c r="P890" s="20"/>
      <c r="Q890" s="10" t="s">
        <v>54</v>
      </c>
    </row>
    <row r="891" spans="1:17" s="364" customFormat="1" ht="15.6">
      <c r="A891" s="991">
        <v>44523</v>
      </c>
      <c r="B891" s="282" t="s">
        <v>23</v>
      </c>
      <c r="C891" s="283" t="s">
        <v>7981</v>
      </c>
      <c r="D891" s="29" t="s">
        <v>7982</v>
      </c>
      <c r="E891" s="984" t="s">
        <v>6963</v>
      </c>
      <c r="F891" s="984" t="s">
        <v>6964</v>
      </c>
      <c r="G891" s="319">
        <v>2</v>
      </c>
      <c r="H891" s="996">
        <v>142000</v>
      </c>
      <c r="I891" s="86">
        <f t="shared" si="54"/>
        <v>284000</v>
      </c>
      <c r="J891" s="20">
        <f t="shared" si="56"/>
        <v>127800</v>
      </c>
      <c r="K891" s="171">
        <f t="shared" si="53"/>
        <v>156200</v>
      </c>
      <c r="N891" s="17">
        <f t="shared" si="55"/>
        <v>156200</v>
      </c>
      <c r="O891" s="282" t="s">
        <v>23</v>
      </c>
      <c r="P891" s="20"/>
      <c r="Q891" s="10" t="s">
        <v>54</v>
      </c>
    </row>
    <row r="892" spans="1:17" s="364" customFormat="1" ht="15.6">
      <c r="A892" s="991">
        <v>44523</v>
      </c>
      <c r="B892" s="282" t="s">
        <v>23</v>
      </c>
      <c r="C892" s="283" t="s">
        <v>7981</v>
      </c>
      <c r="D892" s="29" t="s">
        <v>7982</v>
      </c>
      <c r="E892" s="984" t="s">
        <v>8599</v>
      </c>
      <c r="F892" s="984" t="s">
        <v>6973</v>
      </c>
      <c r="G892" s="319">
        <v>2</v>
      </c>
      <c r="H892" s="1000">
        <v>61000</v>
      </c>
      <c r="I892" s="86">
        <f t="shared" si="54"/>
        <v>122000</v>
      </c>
      <c r="J892" s="20">
        <f t="shared" si="56"/>
        <v>54900</v>
      </c>
      <c r="K892" s="171">
        <f t="shared" si="53"/>
        <v>67100</v>
      </c>
      <c r="N892" s="17">
        <f t="shared" si="55"/>
        <v>67100</v>
      </c>
      <c r="O892" s="282" t="s">
        <v>23</v>
      </c>
      <c r="P892" s="20"/>
      <c r="Q892" s="10" t="s">
        <v>54</v>
      </c>
    </row>
    <row r="893" spans="1:17" s="364" customFormat="1" ht="15.6">
      <c r="A893" s="991">
        <v>44523</v>
      </c>
      <c r="B893" s="282" t="s">
        <v>23</v>
      </c>
      <c r="C893" s="283" t="s">
        <v>7981</v>
      </c>
      <c r="D893" s="29" t="s">
        <v>7982</v>
      </c>
      <c r="E893" s="984" t="s">
        <v>8600</v>
      </c>
      <c r="F893" s="987" t="s">
        <v>1352</v>
      </c>
      <c r="G893" s="319">
        <v>2</v>
      </c>
      <c r="H893" s="1000">
        <v>101000</v>
      </c>
      <c r="I893" s="86">
        <f t="shared" si="54"/>
        <v>202000</v>
      </c>
      <c r="J893" s="20">
        <f t="shared" si="56"/>
        <v>90900</v>
      </c>
      <c r="K893" s="171">
        <f t="shared" si="53"/>
        <v>111100</v>
      </c>
      <c r="N893" s="17">
        <f t="shared" si="55"/>
        <v>111100</v>
      </c>
      <c r="O893" s="282" t="s">
        <v>23</v>
      </c>
      <c r="P893" s="20"/>
      <c r="Q893" s="10" t="s">
        <v>54</v>
      </c>
    </row>
    <row r="894" spans="1:17" s="364" customFormat="1" ht="15.6">
      <c r="A894" s="991">
        <v>44523</v>
      </c>
      <c r="B894" s="282" t="s">
        <v>23</v>
      </c>
      <c r="C894" s="283" t="s">
        <v>7981</v>
      </c>
      <c r="D894" s="29" t="s">
        <v>7982</v>
      </c>
      <c r="E894" s="984" t="s">
        <v>8601</v>
      </c>
      <c r="F894" s="984" t="s">
        <v>4799</v>
      </c>
      <c r="G894" s="319">
        <v>2</v>
      </c>
      <c r="H894" s="1000">
        <v>72000</v>
      </c>
      <c r="I894" s="86">
        <f t="shared" si="54"/>
        <v>144000</v>
      </c>
      <c r="J894" s="20">
        <f t="shared" si="56"/>
        <v>64800</v>
      </c>
      <c r="K894" s="171">
        <f t="shared" si="53"/>
        <v>79200</v>
      </c>
      <c r="N894" s="17">
        <f t="shared" si="55"/>
        <v>79200</v>
      </c>
      <c r="O894" s="282" t="s">
        <v>23</v>
      </c>
      <c r="P894" s="20"/>
      <c r="Q894" s="10" t="s">
        <v>54</v>
      </c>
    </row>
    <row r="895" spans="1:17" s="364" customFormat="1" ht="15.6">
      <c r="A895" s="991">
        <v>44523</v>
      </c>
      <c r="B895" s="282" t="s">
        <v>23</v>
      </c>
      <c r="C895" s="283" t="s">
        <v>7981</v>
      </c>
      <c r="D895" s="29" t="s">
        <v>7982</v>
      </c>
      <c r="E895" s="984" t="s">
        <v>5384</v>
      </c>
      <c r="F895" s="984" t="s">
        <v>5385</v>
      </c>
      <c r="G895" s="319">
        <v>2</v>
      </c>
      <c r="H895" s="999">
        <v>69500</v>
      </c>
      <c r="I895" s="86">
        <f t="shared" si="54"/>
        <v>139000</v>
      </c>
      <c r="J895" s="20">
        <f t="shared" si="56"/>
        <v>62550</v>
      </c>
      <c r="K895" s="171">
        <f t="shared" si="53"/>
        <v>76450</v>
      </c>
      <c r="N895" s="17">
        <f t="shared" si="55"/>
        <v>76450</v>
      </c>
      <c r="O895" s="282" t="s">
        <v>23</v>
      </c>
      <c r="P895" s="20"/>
      <c r="Q895" s="10" t="s">
        <v>54</v>
      </c>
    </row>
    <row r="896" spans="1:17" s="364" customFormat="1" ht="15.6">
      <c r="A896" s="991">
        <v>44523</v>
      </c>
      <c r="B896" s="282" t="s">
        <v>23</v>
      </c>
      <c r="C896" s="283" t="s">
        <v>7981</v>
      </c>
      <c r="D896" s="29" t="s">
        <v>7982</v>
      </c>
      <c r="E896" s="984" t="s">
        <v>6970</v>
      </c>
      <c r="F896" s="987" t="s">
        <v>6971</v>
      </c>
      <c r="G896" s="319">
        <v>2</v>
      </c>
      <c r="H896" s="1001">
        <v>135000</v>
      </c>
      <c r="I896" s="86">
        <f t="shared" si="54"/>
        <v>270000</v>
      </c>
      <c r="J896" s="20">
        <f t="shared" si="56"/>
        <v>121500</v>
      </c>
      <c r="K896" s="171">
        <f t="shared" si="53"/>
        <v>148500</v>
      </c>
      <c r="N896" s="17">
        <f t="shared" si="55"/>
        <v>148500</v>
      </c>
      <c r="O896" s="282" t="s">
        <v>23</v>
      </c>
      <c r="P896" s="20"/>
      <c r="Q896" s="10" t="s">
        <v>54</v>
      </c>
    </row>
    <row r="897" spans="1:17" s="364" customFormat="1" ht="15.6">
      <c r="A897" s="991">
        <v>44523</v>
      </c>
      <c r="B897" s="282" t="s">
        <v>23</v>
      </c>
      <c r="C897" s="283" t="s">
        <v>7981</v>
      </c>
      <c r="D897" s="29" t="s">
        <v>7982</v>
      </c>
      <c r="E897" s="984" t="s">
        <v>6972</v>
      </c>
      <c r="F897" s="984" t="s">
        <v>6973</v>
      </c>
      <c r="G897" s="319">
        <v>2</v>
      </c>
      <c r="H897" s="1001">
        <v>59000</v>
      </c>
      <c r="I897" s="86">
        <f t="shared" si="54"/>
        <v>118000</v>
      </c>
      <c r="J897" s="20">
        <f t="shared" si="56"/>
        <v>53100</v>
      </c>
      <c r="K897" s="171">
        <f t="shared" si="53"/>
        <v>64900</v>
      </c>
      <c r="N897" s="17">
        <f t="shared" si="55"/>
        <v>64900</v>
      </c>
      <c r="O897" s="282" t="s">
        <v>23</v>
      </c>
      <c r="P897" s="20"/>
      <c r="Q897" s="10" t="s">
        <v>54</v>
      </c>
    </row>
    <row r="898" spans="1:17" s="364" customFormat="1" ht="15.6">
      <c r="A898" s="991">
        <v>44523</v>
      </c>
      <c r="B898" s="282" t="s">
        <v>23</v>
      </c>
      <c r="C898" s="283" t="s">
        <v>7981</v>
      </c>
      <c r="D898" s="29" t="s">
        <v>7982</v>
      </c>
      <c r="E898" s="984" t="s">
        <v>6974</v>
      </c>
      <c r="F898" s="987" t="s">
        <v>8602</v>
      </c>
      <c r="G898" s="319">
        <v>2</v>
      </c>
      <c r="H898" s="1001">
        <v>71000</v>
      </c>
      <c r="I898" s="86">
        <f t="shared" si="54"/>
        <v>142000</v>
      </c>
      <c r="J898" s="20">
        <f t="shared" si="56"/>
        <v>63900</v>
      </c>
      <c r="K898" s="171">
        <f t="shared" si="53"/>
        <v>78100</v>
      </c>
      <c r="N898" s="17">
        <f t="shared" si="55"/>
        <v>78100</v>
      </c>
      <c r="O898" s="282" t="s">
        <v>23</v>
      </c>
      <c r="P898" s="20"/>
      <c r="Q898" s="10" t="s">
        <v>54</v>
      </c>
    </row>
    <row r="899" spans="1:17" s="364" customFormat="1" ht="15.6">
      <c r="A899" s="991">
        <v>44523</v>
      </c>
      <c r="B899" s="282" t="s">
        <v>23</v>
      </c>
      <c r="C899" s="283" t="s">
        <v>7981</v>
      </c>
      <c r="D899" s="29" t="s">
        <v>7982</v>
      </c>
      <c r="E899" s="984" t="s">
        <v>8603</v>
      </c>
      <c r="F899" s="987" t="s">
        <v>8604</v>
      </c>
      <c r="G899" s="319">
        <v>2</v>
      </c>
      <c r="H899" s="999">
        <v>68000</v>
      </c>
      <c r="I899" s="86">
        <f t="shared" si="54"/>
        <v>136000</v>
      </c>
      <c r="J899" s="20">
        <f t="shared" si="56"/>
        <v>61200</v>
      </c>
      <c r="K899" s="171">
        <f t="shared" si="53"/>
        <v>74800</v>
      </c>
      <c r="N899" s="17">
        <f t="shared" si="55"/>
        <v>74800</v>
      </c>
      <c r="O899" s="282" t="s">
        <v>23</v>
      </c>
      <c r="P899" s="20"/>
      <c r="Q899" s="10" t="s">
        <v>54</v>
      </c>
    </row>
    <row r="900" spans="1:17" s="364" customFormat="1" ht="15.6">
      <c r="A900" s="991">
        <v>44523</v>
      </c>
      <c r="B900" s="282" t="s">
        <v>23</v>
      </c>
      <c r="C900" s="283" t="s">
        <v>7981</v>
      </c>
      <c r="D900" s="29" t="s">
        <v>7982</v>
      </c>
      <c r="E900" s="984" t="s">
        <v>904</v>
      </c>
      <c r="F900" s="987" t="s">
        <v>905</v>
      </c>
      <c r="G900" s="319">
        <v>2</v>
      </c>
      <c r="H900" s="1001">
        <v>81000</v>
      </c>
      <c r="I900" s="86">
        <f t="shared" si="54"/>
        <v>162000</v>
      </c>
      <c r="J900" s="20">
        <f t="shared" si="56"/>
        <v>72900</v>
      </c>
      <c r="K900" s="171">
        <f t="shared" ref="K900:K963" si="57">I900-J900</f>
        <v>89100</v>
      </c>
      <c r="N900" s="17">
        <f t="shared" si="55"/>
        <v>89100</v>
      </c>
      <c r="O900" s="282" t="s">
        <v>23</v>
      </c>
      <c r="P900" s="20"/>
      <c r="Q900" s="10" t="s">
        <v>54</v>
      </c>
    </row>
    <row r="901" spans="1:17" s="364" customFormat="1" ht="15.6">
      <c r="A901" s="991">
        <v>44523</v>
      </c>
      <c r="B901" s="282" t="s">
        <v>23</v>
      </c>
      <c r="C901" s="283" t="s">
        <v>7981</v>
      </c>
      <c r="D901" s="29" t="s">
        <v>7982</v>
      </c>
      <c r="E901" s="984" t="s">
        <v>3540</v>
      </c>
      <c r="F901" s="987" t="s">
        <v>3541</v>
      </c>
      <c r="G901" s="319">
        <v>2</v>
      </c>
      <c r="H901" s="1000">
        <v>72500</v>
      </c>
      <c r="I901" s="86">
        <f t="shared" ref="I901:I964" si="58">H901*G901</f>
        <v>145000</v>
      </c>
      <c r="J901" s="20">
        <f t="shared" si="56"/>
        <v>65250</v>
      </c>
      <c r="K901" s="171">
        <f t="shared" si="57"/>
        <v>79750</v>
      </c>
      <c r="N901" s="17">
        <f t="shared" si="55"/>
        <v>79750</v>
      </c>
      <c r="O901" s="282" t="s">
        <v>23</v>
      </c>
      <c r="P901" s="20"/>
      <c r="Q901" s="10" t="s">
        <v>54</v>
      </c>
    </row>
    <row r="902" spans="1:17" s="364" customFormat="1" ht="15.6">
      <c r="A902" s="991">
        <v>44523</v>
      </c>
      <c r="B902" s="282" t="s">
        <v>23</v>
      </c>
      <c r="C902" s="283" t="s">
        <v>7981</v>
      </c>
      <c r="D902" s="29" t="s">
        <v>7982</v>
      </c>
      <c r="E902" s="984" t="s">
        <v>8605</v>
      </c>
      <c r="F902" s="984" t="s">
        <v>8606</v>
      </c>
      <c r="G902" s="319">
        <v>2</v>
      </c>
      <c r="H902" s="1000">
        <v>197000</v>
      </c>
      <c r="I902" s="86">
        <f t="shared" si="58"/>
        <v>394000</v>
      </c>
      <c r="J902" s="20">
        <f t="shared" si="56"/>
        <v>177300</v>
      </c>
      <c r="K902" s="171">
        <f t="shared" si="57"/>
        <v>216700</v>
      </c>
      <c r="N902" s="17">
        <f t="shared" si="55"/>
        <v>216700</v>
      </c>
      <c r="O902" s="282" t="s">
        <v>23</v>
      </c>
      <c r="P902" s="20"/>
      <c r="Q902" s="10" t="s">
        <v>54</v>
      </c>
    </row>
    <row r="903" spans="1:17" s="364" customFormat="1" ht="15.6">
      <c r="A903" s="991">
        <v>44523</v>
      </c>
      <c r="B903" s="282" t="s">
        <v>23</v>
      </c>
      <c r="C903" s="283" t="s">
        <v>7981</v>
      </c>
      <c r="D903" s="29" t="s">
        <v>7982</v>
      </c>
      <c r="E903" s="984" t="s">
        <v>1351</v>
      </c>
      <c r="F903" s="987" t="s">
        <v>1352</v>
      </c>
      <c r="G903" s="319">
        <v>2</v>
      </c>
      <c r="H903" s="1001">
        <v>52000</v>
      </c>
      <c r="I903" s="86">
        <f t="shared" si="58"/>
        <v>104000</v>
      </c>
      <c r="J903" s="20">
        <f t="shared" si="56"/>
        <v>46800</v>
      </c>
      <c r="K903" s="171">
        <f t="shared" si="57"/>
        <v>57200</v>
      </c>
      <c r="N903" s="17">
        <f t="shared" si="55"/>
        <v>57200</v>
      </c>
      <c r="O903" s="282" t="s">
        <v>23</v>
      </c>
      <c r="P903" s="20"/>
      <c r="Q903" s="10" t="s">
        <v>54</v>
      </c>
    </row>
    <row r="904" spans="1:17" s="364" customFormat="1" ht="15.6">
      <c r="A904" s="991">
        <v>44523</v>
      </c>
      <c r="B904" s="282" t="s">
        <v>23</v>
      </c>
      <c r="C904" s="283" t="s">
        <v>7981</v>
      </c>
      <c r="D904" s="29" t="s">
        <v>7982</v>
      </c>
      <c r="E904" s="984" t="s">
        <v>6912</v>
      </c>
      <c r="F904" s="987" t="s">
        <v>905</v>
      </c>
      <c r="G904" s="319">
        <v>2</v>
      </c>
      <c r="H904" s="996">
        <v>130000</v>
      </c>
      <c r="I904" s="86">
        <f t="shared" si="58"/>
        <v>260000</v>
      </c>
      <c r="J904" s="20">
        <f t="shared" si="56"/>
        <v>117000</v>
      </c>
      <c r="K904" s="171">
        <f t="shared" si="57"/>
        <v>143000</v>
      </c>
      <c r="N904" s="17">
        <f t="shared" si="55"/>
        <v>143000</v>
      </c>
      <c r="O904" s="282" t="s">
        <v>23</v>
      </c>
      <c r="P904" s="20"/>
      <c r="Q904" s="10" t="s">
        <v>54</v>
      </c>
    </row>
    <row r="905" spans="1:17" s="364" customFormat="1" ht="15.6">
      <c r="A905" s="991">
        <v>44523</v>
      </c>
      <c r="B905" s="282" t="s">
        <v>23</v>
      </c>
      <c r="C905" s="283" t="s">
        <v>7981</v>
      </c>
      <c r="D905" s="29" t="s">
        <v>7982</v>
      </c>
      <c r="E905" s="984" t="s">
        <v>6754</v>
      </c>
      <c r="F905" s="984" t="s">
        <v>6755</v>
      </c>
      <c r="G905" s="319">
        <v>2</v>
      </c>
      <c r="H905" s="1001">
        <v>113000</v>
      </c>
      <c r="I905" s="86">
        <f t="shared" si="58"/>
        <v>226000</v>
      </c>
      <c r="J905" s="20">
        <f t="shared" si="56"/>
        <v>101700</v>
      </c>
      <c r="K905" s="171">
        <f t="shared" si="57"/>
        <v>124300</v>
      </c>
      <c r="N905" s="17">
        <f t="shared" si="55"/>
        <v>124300</v>
      </c>
      <c r="O905" s="282" t="s">
        <v>23</v>
      </c>
      <c r="P905" s="20"/>
      <c r="Q905" s="10" t="s">
        <v>54</v>
      </c>
    </row>
    <row r="906" spans="1:17" s="364" customFormat="1" ht="15.6">
      <c r="A906" s="991">
        <v>44523</v>
      </c>
      <c r="B906" s="282" t="s">
        <v>23</v>
      </c>
      <c r="C906" s="283" t="s">
        <v>7981</v>
      </c>
      <c r="D906" s="29" t="s">
        <v>7982</v>
      </c>
      <c r="E906" s="984" t="s">
        <v>5742</v>
      </c>
      <c r="F906" s="984" t="s">
        <v>5743</v>
      </c>
      <c r="G906" s="319">
        <v>2</v>
      </c>
      <c r="H906" s="1001">
        <v>73500</v>
      </c>
      <c r="I906" s="86">
        <f t="shared" si="58"/>
        <v>147000</v>
      </c>
      <c r="J906" s="20">
        <f t="shared" si="56"/>
        <v>66150</v>
      </c>
      <c r="K906" s="171">
        <f t="shared" si="57"/>
        <v>80850</v>
      </c>
      <c r="N906" s="17">
        <f t="shared" si="55"/>
        <v>80850</v>
      </c>
      <c r="O906" s="282" t="s">
        <v>23</v>
      </c>
      <c r="P906" s="20"/>
      <c r="Q906" s="10" t="s">
        <v>54</v>
      </c>
    </row>
    <row r="907" spans="1:17" s="364" customFormat="1" ht="15.6">
      <c r="A907" s="991">
        <v>44523</v>
      </c>
      <c r="B907" s="282" t="s">
        <v>23</v>
      </c>
      <c r="C907" s="283" t="s">
        <v>7981</v>
      </c>
      <c r="D907" s="29" t="s">
        <v>7982</v>
      </c>
      <c r="E907" s="984" t="s">
        <v>724</v>
      </c>
      <c r="F907" s="987" t="s">
        <v>725</v>
      </c>
      <c r="G907" s="319">
        <v>2</v>
      </c>
      <c r="H907" s="996">
        <v>56000</v>
      </c>
      <c r="I907" s="86">
        <f t="shared" si="58"/>
        <v>112000</v>
      </c>
      <c r="J907" s="20">
        <f t="shared" si="56"/>
        <v>50400</v>
      </c>
      <c r="K907" s="171">
        <f t="shared" si="57"/>
        <v>61600</v>
      </c>
      <c r="N907" s="17">
        <f t="shared" si="55"/>
        <v>61600</v>
      </c>
      <c r="O907" s="282" t="s">
        <v>23</v>
      </c>
      <c r="P907" s="20"/>
      <c r="Q907" s="10" t="s">
        <v>54</v>
      </c>
    </row>
    <row r="908" spans="1:17" s="364" customFormat="1" ht="15.6">
      <c r="A908" s="991">
        <v>44523</v>
      </c>
      <c r="B908" s="282" t="s">
        <v>23</v>
      </c>
      <c r="C908" s="283" t="s">
        <v>7981</v>
      </c>
      <c r="D908" s="29" t="s">
        <v>7982</v>
      </c>
      <c r="E908" s="984" t="s">
        <v>6978</v>
      </c>
      <c r="F908" s="987" t="s">
        <v>6979</v>
      </c>
      <c r="G908" s="319">
        <v>2</v>
      </c>
      <c r="H908" s="1000">
        <v>85000</v>
      </c>
      <c r="I908" s="86">
        <f t="shared" si="58"/>
        <v>170000</v>
      </c>
      <c r="J908" s="20">
        <f t="shared" si="56"/>
        <v>76500</v>
      </c>
      <c r="K908" s="171">
        <f t="shared" si="57"/>
        <v>93500</v>
      </c>
      <c r="N908" s="17">
        <f t="shared" si="55"/>
        <v>93500</v>
      </c>
      <c r="O908" s="282" t="s">
        <v>23</v>
      </c>
      <c r="P908" s="20"/>
      <c r="Q908" s="10" t="s">
        <v>54</v>
      </c>
    </row>
    <row r="909" spans="1:17" s="364" customFormat="1" ht="15.6">
      <c r="A909" s="991">
        <v>44523</v>
      </c>
      <c r="B909" s="282" t="s">
        <v>23</v>
      </c>
      <c r="C909" s="283" t="s">
        <v>7981</v>
      </c>
      <c r="D909" s="29" t="s">
        <v>7982</v>
      </c>
      <c r="E909" s="984" t="s">
        <v>391</v>
      </c>
      <c r="F909" s="984" t="s">
        <v>392</v>
      </c>
      <c r="G909" s="319">
        <v>2</v>
      </c>
      <c r="H909" s="999">
        <v>59000</v>
      </c>
      <c r="I909" s="86">
        <f t="shared" si="58"/>
        <v>118000</v>
      </c>
      <c r="J909" s="20">
        <f t="shared" si="56"/>
        <v>53100</v>
      </c>
      <c r="K909" s="171">
        <f t="shared" si="57"/>
        <v>64900</v>
      </c>
      <c r="N909" s="17">
        <f t="shared" si="55"/>
        <v>64900</v>
      </c>
      <c r="O909" s="282" t="s">
        <v>23</v>
      </c>
      <c r="P909" s="20"/>
      <c r="Q909" s="10" t="s">
        <v>54</v>
      </c>
    </row>
    <row r="910" spans="1:17" s="364" customFormat="1" ht="15.6">
      <c r="A910" s="991">
        <v>44523</v>
      </c>
      <c r="B910" s="282" t="s">
        <v>23</v>
      </c>
      <c r="C910" s="283" t="s">
        <v>7981</v>
      </c>
      <c r="D910" s="29" t="s">
        <v>7982</v>
      </c>
      <c r="E910" s="984" t="s">
        <v>6908</v>
      </c>
      <c r="F910" s="987" t="s">
        <v>6909</v>
      </c>
      <c r="G910" s="319">
        <v>2</v>
      </c>
      <c r="H910" s="999">
        <v>78500</v>
      </c>
      <c r="I910" s="86">
        <f t="shared" si="58"/>
        <v>157000</v>
      </c>
      <c r="J910" s="20">
        <f t="shared" si="56"/>
        <v>70650</v>
      </c>
      <c r="K910" s="171">
        <f t="shared" si="57"/>
        <v>86350</v>
      </c>
      <c r="N910" s="17">
        <f t="shared" si="55"/>
        <v>86350</v>
      </c>
      <c r="O910" s="282" t="s">
        <v>23</v>
      </c>
      <c r="P910" s="20"/>
      <c r="Q910" s="10" t="s">
        <v>54</v>
      </c>
    </row>
    <row r="911" spans="1:17" s="364" customFormat="1" ht="15.6">
      <c r="A911" s="991">
        <v>44523</v>
      </c>
      <c r="B911" s="282" t="s">
        <v>23</v>
      </c>
      <c r="C911" s="283" t="s">
        <v>7981</v>
      </c>
      <c r="D911" s="29" t="s">
        <v>7982</v>
      </c>
      <c r="E911" s="984" t="s">
        <v>679</v>
      </c>
      <c r="F911" s="987" t="s">
        <v>680</v>
      </c>
      <c r="G911" s="319">
        <v>2</v>
      </c>
      <c r="H911" s="999">
        <v>58500</v>
      </c>
      <c r="I911" s="86">
        <f t="shared" si="58"/>
        <v>117000</v>
      </c>
      <c r="J911" s="20">
        <f t="shared" si="56"/>
        <v>52650</v>
      </c>
      <c r="K911" s="171">
        <f t="shared" si="57"/>
        <v>64350</v>
      </c>
      <c r="N911" s="17">
        <f t="shared" si="55"/>
        <v>64350</v>
      </c>
      <c r="O911" s="282" t="s">
        <v>23</v>
      </c>
      <c r="P911" s="20"/>
      <c r="Q911" s="10" t="s">
        <v>54</v>
      </c>
    </row>
    <row r="912" spans="1:17" s="364" customFormat="1" ht="15.6">
      <c r="A912" s="991">
        <v>44523</v>
      </c>
      <c r="B912" s="282" t="s">
        <v>23</v>
      </c>
      <c r="C912" s="283" t="s">
        <v>7981</v>
      </c>
      <c r="D912" s="29" t="s">
        <v>7982</v>
      </c>
      <c r="E912" s="984" t="s">
        <v>2485</v>
      </c>
      <c r="F912" s="987" t="s">
        <v>2486</v>
      </c>
      <c r="G912" s="319">
        <v>2</v>
      </c>
      <c r="H912" s="996">
        <v>70000</v>
      </c>
      <c r="I912" s="86">
        <f t="shared" si="58"/>
        <v>140000</v>
      </c>
      <c r="J912" s="20">
        <f t="shared" si="56"/>
        <v>63000</v>
      </c>
      <c r="K912" s="171">
        <f t="shared" si="57"/>
        <v>77000</v>
      </c>
      <c r="N912" s="17">
        <f t="shared" si="55"/>
        <v>77000</v>
      </c>
      <c r="O912" s="282" t="s">
        <v>23</v>
      </c>
      <c r="P912" s="20"/>
      <c r="Q912" s="10" t="s">
        <v>54</v>
      </c>
    </row>
    <row r="913" spans="1:17" s="364" customFormat="1" ht="15.6">
      <c r="A913" s="991">
        <v>44523</v>
      </c>
      <c r="B913" s="282" t="s">
        <v>23</v>
      </c>
      <c r="C913" s="283" t="s">
        <v>7981</v>
      </c>
      <c r="D913" s="29" t="s">
        <v>7982</v>
      </c>
      <c r="E913" s="984" t="s">
        <v>3451</v>
      </c>
      <c r="F913" s="987" t="s">
        <v>8607</v>
      </c>
      <c r="G913" s="319">
        <v>2</v>
      </c>
      <c r="H913" s="996">
        <v>86000</v>
      </c>
      <c r="I913" s="86">
        <f t="shared" si="58"/>
        <v>172000</v>
      </c>
      <c r="J913" s="20">
        <f t="shared" si="56"/>
        <v>77400</v>
      </c>
      <c r="K913" s="171">
        <f t="shared" si="57"/>
        <v>94600</v>
      </c>
      <c r="N913" s="17">
        <f t="shared" si="55"/>
        <v>94600</v>
      </c>
      <c r="O913" s="282" t="s">
        <v>23</v>
      </c>
      <c r="P913" s="20"/>
      <c r="Q913" s="10" t="s">
        <v>54</v>
      </c>
    </row>
    <row r="914" spans="1:17" s="364" customFormat="1" ht="15.6">
      <c r="A914" s="991">
        <v>44523</v>
      </c>
      <c r="B914" s="282" t="s">
        <v>23</v>
      </c>
      <c r="C914" s="283" t="s">
        <v>7981</v>
      </c>
      <c r="D914" s="29" t="s">
        <v>7982</v>
      </c>
      <c r="E914" s="984" t="s">
        <v>4920</v>
      </c>
      <c r="F914" s="987" t="s">
        <v>4921</v>
      </c>
      <c r="G914" s="319">
        <v>2</v>
      </c>
      <c r="H914" s="999">
        <v>112000</v>
      </c>
      <c r="I914" s="86">
        <f t="shared" si="58"/>
        <v>224000</v>
      </c>
      <c r="J914" s="20">
        <f t="shared" si="56"/>
        <v>100800</v>
      </c>
      <c r="K914" s="171">
        <f t="shared" si="57"/>
        <v>123200</v>
      </c>
      <c r="N914" s="17">
        <f t="shared" si="55"/>
        <v>123200</v>
      </c>
      <c r="O914" s="282" t="s">
        <v>23</v>
      </c>
      <c r="P914" s="20"/>
      <c r="Q914" s="10" t="s">
        <v>54</v>
      </c>
    </row>
    <row r="915" spans="1:17" s="364" customFormat="1" ht="15.6">
      <c r="A915" s="991">
        <v>44523</v>
      </c>
      <c r="B915" s="282" t="s">
        <v>23</v>
      </c>
      <c r="C915" s="283" t="s">
        <v>7981</v>
      </c>
      <c r="D915" s="29" t="s">
        <v>7982</v>
      </c>
      <c r="E915" s="984" t="s">
        <v>8608</v>
      </c>
      <c r="F915" s="987" t="s">
        <v>8609</v>
      </c>
      <c r="G915" s="319">
        <v>2</v>
      </c>
      <c r="H915" s="1001">
        <v>68000</v>
      </c>
      <c r="I915" s="86">
        <f t="shared" si="58"/>
        <v>136000</v>
      </c>
      <c r="J915" s="20">
        <f t="shared" si="56"/>
        <v>61200</v>
      </c>
      <c r="K915" s="171">
        <f t="shared" si="57"/>
        <v>74800</v>
      </c>
      <c r="N915" s="17">
        <f t="shared" si="55"/>
        <v>74800</v>
      </c>
      <c r="O915" s="282" t="s">
        <v>23</v>
      </c>
      <c r="P915" s="20"/>
      <c r="Q915" s="10" t="s">
        <v>54</v>
      </c>
    </row>
    <row r="916" spans="1:17" s="364" customFormat="1" ht="15.6">
      <c r="A916" s="991">
        <v>44523</v>
      </c>
      <c r="B916" s="282" t="s">
        <v>23</v>
      </c>
      <c r="C916" s="283" t="s">
        <v>7981</v>
      </c>
      <c r="D916" s="29" t="s">
        <v>7982</v>
      </c>
      <c r="E916" s="984" t="s">
        <v>2757</v>
      </c>
      <c r="F916" s="987" t="s">
        <v>265</v>
      </c>
      <c r="G916" s="319">
        <v>2</v>
      </c>
      <c r="H916" s="999">
        <v>132000</v>
      </c>
      <c r="I916" s="86">
        <f t="shared" si="58"/>
        <v>264000</v>
      </c>
      <c r="J916" s="20">
        <f t="shared" si="56"/>
        <v>118800</v>
      </c>
      <c r="K916" s="171">
        <f t="shared" si="57"/>
        <v>145200</v>
      </c>
      <c r="N916" s="17">
        <f t="shared" si="55"/>
        <v>145200</v>
      </c>
      <c r="O916" s="282" t="s">
        <v>23</v>
      </c>
      <c r="P916" s="20"/>
      <c r="Q916" s="10" t="s">
        <v>54</v>
      </c>
    </row>
    <row r="917" spans="1:17" s="364" customFormat="1" ht="15.6">
      <c r="A917" s="991">
        <v>44523</v>
      </c>
      <c r="B917" s="282" t="s">
        <v>23</v>
      </c>
      <c r="C917" s="283" t="s">
        <v>7981</v>
      </c>
      <c r="D917" s="29" t="s">
        <v>7982</v>
      </c>
      <c r="E917" s="984" t="s">
        <v>8610</v>
      </c>
      <c r="F917" s="984" t="s">
        <v>1323</v>
      </c>
      <c r="G917" s="319">
        <v>2</v>
      </c>
      <c r="H917" s="999">
        <v>104000</v>
      </c>
      <c r="I917" s="86">
        <f t="shared" si="58"/>
        <v>208000</v>
      </c>
      <c r="J917" s="20">
        <f t="shared" si="56"/>
        <v>93600</v>
      </c>
      <c r="K917" s="171">
        <f t="shared" si="57"/>
        <v>114400</v>
      </c>
      <c r="N917" s="17">
        <f t="shared" si="55"/>
        <v>114400</v>
      </c>
      <c r="O917" s="282" t="s">
        <v>23</v>
      </c>
      <c r="P917" s="20"/>
      <c r="Q917" s="10" t="s">
        <v>54</v>
      </c>
    </row>
    <row r="918" spans="1:17" s="364" customFormat="1" ht="15.6">
      <c r="A918" s="991">
        <v>44523</v>
      </c>
      <c r="B918" s="282" t="s">
        <v>23</v>
      </c>
      <c r="C918" s="283" t="s">
        <v>7981</v>
      </c>
      <c r="D918" s="29" t="s">
        <v>7982</v>
      </c>
      <c r="E918" s="984" t="s">
        <v>7286</v>
      </c>
      <c r="F918" s="987" t="s">
        <v>7287</v>
      </c>
      <c r="G918" s="319">
        <v>2</v>
      </c>
      <c r="H918" s="1002">
        <v>85000</v>
      </c>
      <c r="I918" s="86">
        <f t="shared" si="58"/>
        <v>170000</v>
      </c>
      <c r="J918" s="20">
        <f t="shared" si="56"/>
        <v>76500</v>
      </c>
      <c r="K918" s="171">
        <f t="shared" si="57"/>
        <v>93500</v>
      </c>
      <c r="N918" s="17">
        <f t="shared" si="55"/>
        <v>93500</v>
      </c>
      <c r="O918" s="282" t="s">
        <v>23</v>
      </c>
      <c r="P918" s="20"/>
      <c r="Q918" s="10" t="s">
        <v>54</v>
      </c>
    </row>
    <row r="919" spans="1:17" s="364" customFormat="1" ht="15.6">
      <c r="A919" s="991">
        <v>44523</v>
      </c>
      <c r="B919" s="282" t="s">
        <v>23</v>
      </c>
      <c r="C919" s="283" t="s">
        <v>7981</v>
      </c>
      <c r="D919" s="29" t="s">
        <v>7982</v>
      </c>
      <c r="E919" s="984" t="s">
        <v>8611</v>
      </c>
      <c r="F919" s="987" t="s">
        <v>8612</v>
      </c>
      <c r="G919" s="319">
        <v>2</v>
      </c>
      <c r="H919" s="999">
        <v>90000</v>
      </c>
      <c r="I919" s="86">
        <f t="shared" si="58"/>
        <v>180000</v>
      </c>
      <c r="J919" s="20">
        <f t="shared" si="56"/>
        <v>81000</v>
      </c>
      <c r="K919" s="171">
        <f t="shared" si="57"/>
        <v>99000</v>
      </c>
      <c r="N919" s="17">
        <f t="shared" si="55"/>
        <v>99000</v>
      </c>
      <c r="O919" s="282" t="s">
        <v>23</v>
      </c>
      <c r="P919" s="20"/>
      <c r="Q919" s="10" t="s">
        <v>54</v>
      </c>
    </row>
    <row r="920" spans="1:17" s="364" customFormat="1" ht="15.6">
      <c r="A920" s="991">
        <v>44523</v>
      </c>
      <c r="B920" s="282" t="s">
        <v>23</v>
      </c>
      <c r="C920" s="283" t="s">
        <v>7981</v>
      </c>
      <c r="D920" s="29" t="s">
        <v>7982</v>
      </c>
      <c r="E920" s="984" t="s">
        <v>7180</v>
      </c>
      <c r="F920" s="984" t="s">
        <v>7181</v>
      </c>
      <c r="G920" s="319">
        <v>2</v>
      </c>
      <c r="H920" s="1002">
        <v>57500</v>
      </c>
      <c r="I920" s="86">
        <f t="shared" si="58"/>
        <v>115000</v>
      </c>
      <c r="J920" s="20">
        <f t="shared" si="56"/>
        <v>51750</v>
      </c>
      <c r="K920" s="171">
        <f t="shared" si="57"/>
        <v>63250</v>
      </c>
      <c r="N920" s="17">
        <f t="shared" si="55"/>
        <v>63250</v>
      </c>
      <c r="O920" s="282" t="s">
        <v>23</v>
      </c>
      <c r="P920" s="20"/>
      <c r="Q920" s="10" t="s">
        <v>54</v>
      </c>
    </row>
    <row r="921" spans="1:17" s="364" customFormat="1" ht="15.6">
      <c r="A921" s="991">
        <v>44523</v>
      </c>
      <c r="B921" s="282" t="s">
        <v>23</v>
      </c>
      <c r="C921" s="283" t="s">
        <v>7981</v>
      </c>
      <c r="D921" s="29" t="s">
        <v>7982</v>
      </c>
      <c r="E921" s="984" t="s">
        <v>8613</v>
      </c>
      <c r="F921" s="984" t="s">
        <v>8614</v>
      </c>
      <c r="G921" s="319">
        <v>2</v>
      </c>
      <c r="H921" s="1002">
        <v>106000</v>
      </c>
      <c r="I921" s="86">
        <f t="shared" si="58"/>
        <v>212000</v>
      </c>
      <c r="J921" s="20">
        <f t="shared" si="56"/>
        <v>95400</v>
      </c>
      <c r="K921" s="171">
        <f t="shared" si="57"/>
        <v>116600</v>
      </c>
      <c r="N921" s="17">
        <f t="shared" si="55"/>
        <v>116600</v>
      </c>
      <c r="O921" s="282" t="s">
        <v>23</v>
      </c>
      <c r="P921" s="20"/>
      <c r="Q921" s="10" t="s">
        <v>54</v>
      </c>
    </row>
    <row r="922" spans="1:17" s="364" customFormat="1" ht="15.6">
      <c r="A922" s="991">
        <v>44523</v>
      </c>
      <c r="B922" s="282" t="s">
        <v>23</v>
      </c>
      <c r="C922" s="283" t="s">
        <v>7981</v>
      </c>
      <c r="D922" s="29" t="s">
        <v>7982</v>
      </c>
      <c r="E922" s="984" t="s">
        <v>2142</v>
      </c>
      <c r="F922" s="987" t="s">
        <v>2143</v>
      </c>
      <c r="G922" s="319">
        <v>2</v>
      </c>
      <c r="H922" s="999">
        <v>75500</v>
      </c>
      <c r="I922" s="86">
        <f t="shared" si="58"/>
        <v>151000</v>
      </c>
      <c r="J922" s="20">
        <f t="shared" si="56"/>
        <v>67950</v>
      </c>
      <c r="K922" s="171">
        <f t="shared" si="57"/>
        <v>83050</v>
      </c>
      <c r="N922" s="17">
        <f t="shared" si="55"/>
        <v>83050</v>
      </c>
      <c r="O922" s="282" t="s">
        <v>23</v>
      </c>
      <c r="P922" s="20"/>
      <c r="Q922" s="10" t="s">
        <v>54</v>
      </c>
    </row>
    <row r="923" spans="1:17" s="364" customFormat="1" ht="15.6">
      <c r="A923" s="991">
        <v>44523</v>
      </c>
      <c r="B923" s="282" t="s">
        <v>23</v>
      </c>
      <c r="C923" s="283" t="s">
        <v>7981</v>
      </c>
      <c r="D923" s="29" t="s">
        <v>7982</v>
      </c>
      <c r="E923" s="984" t="s">
        <v>7180</v>
      </c>
      <c r="F923" s="984" t="s">
        <v>8615</v>
      </c>
      <c r="G923" s="319">
        <v>2</v>
      </c>
      <c r="H923" s="999">
        <v>57500</v>
      </c>
      <c r="I923" s="86">
        <f t="shared" si="58"/>
        <v>115000</v>
      </c>
      <c r="J923" s="20">
        <f t="shared" si="56"/>
        <v>51750</v>
      </c>
      <c r="K923" s="171">
        <f t="shared" si="57"/>
        <v>63250</v>
      </c>
      <c r="N923" s="17">
        <f t="shared" ref="N923:N986" si="59">K923+L923+M923</f>
        <v>63250</v>
      </c>
      <c r="O923" s="282" t="s">
        <v>23</v>
      </c>
      <c r="P923" s="20"/>
      <c r="Q923" s="10" t="s">
        <v>54</v>
      </c>
    </row>
    <row r="924" spans="1:17" s="364" customFormat="1" ht="15.6">
      <c r="A924" s="991">
        <v>44523</v>
      </c>
      <c r="B924" s="282" t="s">
        <v>23</v>
      </c>
      <c r="C924" s="283" t="s">
        <v>7981</v>
      </c>
      <c r="D924" s="29" t="s">
        <v>7982</v>
      </c>
      <c r="E924" s="984" t="s">
        <v>1024</v>
      </c>
      <c r="F924" s="987" t="s">
        <v>1025</v>
      </c>
      <c r="G924" s="319">
        <v>2</v>
      </c>
      <c r="H924" s="999">
        <v>58500</v>
      </c>
      <c r="I924" s="86">
        <f t="shared" si="58"/>
        <v>117000</v>
      </c>
      <c r="J924" s="20">
        <f t="shared" si="56"/>
        <v>52650</v>
      </c>
      <c r="K924" s="171">
        <f t="shared" si="57"/>
        <v>64350</v>
      </c>
      <c r="N924" s="17">
        <f t="shared" si="59"/>
        <v>64350</v>
      </c>
      <c r="O924" s="282" t="s">
        <v>23</v>
      </c>
      <c r="P924" s="20"/>
      <c r="Q924" s="10" t="s">
        <v>54</v>
      </c>
    </row>
    <row r="925" spans="1:17" s="364" customFormat="1" ht="15.6">
      <c r="A925" s="991">
        <v>44523</v>
      </c>
      <c r="B925" s="282" t="s">
        <v>23</v>
      </c>
      <c r="C925" s="283" t="s">
        <v>7981</v>
      </c>
      <c r="D925" s="29" t="s">
        <v>7982</v>
      </c>
      <c r="E925" s="984" t="s">
        <v>8616</v>
      </c>
      <c r="F925" s="987" t="s">
        <v>8617</v>
      </c>
      <c r="G925" s="319">
        <v>2</v>
      </c>
      <c r="H925" s="999">
        <v>125000</v>
      </c>
      <c r="I925" s="86">
        <f t="shared" si="58"/>
        <v>250000</v>
      </c>
      <c r="J925" s="20">
        <f t="shared" si="56"/>
        <v>112500</v>
      </c>
      <c r="K925" s="171">
        <f t="shared" si="57"/>
        <v>137500</v>
      </c>
      <c r="N925" s="17">
        <f t="shared" si="59"/>
        <v>137500</v>
      </c>
      <c r="O925" s="282" t="s">
        <v>23</v>
      </c>
      <c r="P925" s="20"/>
      <c r="Q925" s="10" t="s">
        <v>54</v>
      </c>
    </row>
    <row r="926" spans="1:17" s="364" customFormat="1" ht="15.6">
      <c r="A926" s="991">
        <v>44523</v>
      </c>
      <c r="B926" s="282" t="s">
        <v>23</v>
      </c>
      <c r="C926" s="283" t="s">
        <v>7981</v>
      </c>
      <c r="D926" s="29" t="s">
        <v>7982</v>
      </c>
      <c r="E926" s="984" t="s">
        <v>81</v>
      </c>
      <c r="F926" s="987" t="s">
        <v>8618</v>
      </c>
      <c r="G926" s="319">
        <v>2</v>
      </c>
      <c r="H926" s="1002">
        <v>172000</v>
      </c>
      <c r="I926" s="86">
        <f t="shared" si="58"/>
        <v>344000</v>
      </c>
      <c r="J926" s="20">
        <f t="shared" si="56"/>
        <v>154800</v>
      </c>
      <c r="K926" s="171">
        <f t="shared" si="57"/>
        <v>189200</v>
      </c>
      <c r="N926" s="17">
        <f t="shared" si="59"/>
        <v>189200</v>
      </c>
      <c r="O926" s="282" t="s">
        <v>23</v>
      </c>
      <c r="P926" s="20"/>
      <c r="Q926" s="10" t="s">
        <v>54</v>
      </c>
    </row>
    <row r="927" spans="1:17" s="364" customFormat="1">
      <c r="A927" s="991">
        <v>44523</v>
      </c>
      <c r="B927" s="282" t="s">
        <v>23</v>
      </c>
      <c r="C927" s="283" t="s">
        <v>7981</v>
      </c>
      <c r="D927" s="29" t="s">
        <v>7982</v>
      </c>
      <c r="E927" s="1015" t="s">
        <v>3426</v>
      </c>
      <c r="F927" s="987" t="s">
        <v>3427</v>
      </c>
      <c r="G927" s="319">
        <v>2</v>
      </c>
      <c r="H927" s="998">
        <v>54000</v>
      </c>
      <c r="I927" s="86">
        <f t="shared" si="58"/>
        <v>108000</v>
      </c>
      <c r="J927" s="20">
        <f t="shared" si="56"/>
        <v>48600</v>
      </c>
      <c r="K927" s="171">
        <f t="shared" si="57"/>
        <v>59400</v>
      </c>
      <c r="N927" s="17">
        <f t="shared" si="59"/>
        <v>59400</v>
      </c>
      <c r="O927" s="282" t="s">
        <v>23</v>
      </c>
      <c r="P927" s="20"/>
      <c r="Q927" s="10" t="s">
        <v>54</v>
      </c>
    </row>
    <row r="928" spans="1:17" s="364" customFormat="1">
      <c r="A928" s="991">
        <v>44523</v>
      </c>
      <c r="B928" s="282" t="s">
        <v>23</v>
      </c>
      <c r="C928" s="283" t="s">
        <v>7981</v>
      </c>
      <c r="D928" s="29" t="s">
        <v>7982</v>
      </c>
      <c r="E928" s="984" t="s">
        <v>4458</v>
      </c>
      <c r="F928" s="984" t="s">
        <v>499</v>
      </c>
      <c r="G928" s="319">
        <v>2</v>
      </c>
      <c r="H928" s="998">
        <v>93000</v>
      </c>
      <c r="I928" s="86">
        <f t="shared" si="58"/>
        <v>186000</v>
      </c>
      <c r="J928" s="20">
        <f t="shared" si="56"/>
        <v>83700</v>
      </c>
      <c r="K928" s="171">
        <f t="shared" si="57"/>
        <v>102300</v>
      </c>
      <c r="N928" s="17">
        <f t="shared" si="59"/>
        <v>102300</v>
      </c>
      <c r="O928" s="282" t="s">
        <v>23</v>
      </c>
      <c r="P928" s="20"/>
      <c r="Q928" s="10" t="s">
        <v>54</v>
      </c>
    </row>
    <row r="929" spans="1:17" s="364" customFormat="1">
      <c r="A929" s="991">
        <v>44523</v>
      </c>
      <c r="B929" s="282" t="s">
        <v>23</v>
      </c>
      <c r="C929" s="283" t="s">
        <v>7981</v>
      </c>
      <c r="D929" s="29" t="s">
        <v>7982</v>
      </c>
      <c r="E929" s="984" t="s">
        <v>8619</v>
      </c>
      <c r="F929" s="987" t="s">
        <v>8620</v>
      </c>
      <c r="G929" s="319">
        <v>2</v>
      </c>
      <c r="H929" s="998">
        <v>234000</v>
      </c>
      <c r="I929" s="86">
        <f t="shared" si="58"/>
        <v>468000</v>
      </c>
      <c r="J929" s="20">
        <f t="shared" si="56"/>
        <v>210600</v>
      </c>
      <c r="K929" s="171">
        <f t="shared" si="57"/>
        <v>257400</v>
      </c>
      <c r="N929" s="17">
        <f t="shared" si="59"/>
        <v>257400</v>
      </c>
      <c r="O929" s="282" t="s">
        <v>23</v>
      </c>
      <c r="P929" s="20"/>
      <c r="Q929" s="10" t="s">
        <v>54</v>
      </c>
    </row>
    <row r="930" spans="1:17" s="364" customFormat="1">
      <c r="A930" s="991">
        <v>44523</v>
      </c>
      <c r="B930" s="282" t="s">
        <v>23</v>
      </c>
      <c r="C930" s="283" t="s">
        <v>7981</v>
      </c>
      <c r="D930" s="29" t="s">
        <v>7982</v>
      </c>
      <c r="E930" s="984" t="s">
        <v>8621</v>
      </c>
      <c r="F930" s="987" t="s">
        <v>8622</v>
      </c>
      <c r="G930" s="319">
        <v>2</v>
      </c>
      <c r="H930" s="998">
        <v>190000</v>
      </c>
      <c r="I930" s="86">
        <f t="shared" si="58"/>
        <v>380000</v>
      </c>
      <c r="J930" s="20">
        <f t="shared" si="56"/>
        <v>171000</v>
      </c>
      <c r="K930" s="171">
        <f t="shared" si="57"/>
        <v>209000</v>
      </c>
      <c r="N930" s="17">
        <f t="shared" si="59"/>
        <v>209000</v>
      </c>
      <c r="O930" s="282" t="s">
        <v>23</v>
      </c>
      <c r="P930" s="20"/>
      <c r="Q930" s="10" t="s">
        <v>54</v>
      </c>
    </row>
    <row r="931" spans="1:17" s="364" customFormat="1">
      <c r="A931" s="991">
        <v>44523</v>
      </c>
      <c r="B931" s="282" t="s">
        <v>23</v>
      </c>
      <c r="C931" s="283" t="s">
        <v>7981</v>
      </c>
      <c r="D931" s="29" t="s">
        <v>7982</v>
      </c>
      <c r="E931" s="984" t="s">
        <v>8623</v>
      </c>
      <c r="F931" s="984" t="s">
        <v>8624</v>
      </c>
      <c r="G931" s="319">
        <v>2</v>
      </c>
      <c r="H931" s="998">
        <v>97000</v>
      </c>
      <c r="I931" s="86">
        <f t="shared" si="58"/>
        <v>194000</v>
      </c>
      <c r="J931" s="20">
        <f t="shared" si="56"/>
        <v>87300</v>
      </c>
      <c r="K931" s="171">
        <f t="shared" si="57"/>
        <v>106700</v>
      </c>
      <c r="N931" s="17">
        <f t="shared" si="59"/>
        <v>106700</v>
      </c>
      <c r="O931" s="282" t="s">
        <v>23</v>
      </c>
      <c r="P931" s="20"/>
      <c r="Q931" s="10" t="s">
        <v>54</v>
      </c>
    </row>
    <row r="932" spans="1:17" s="364" customFormat="1">
      <c r="A932" s="991">
        <v>44523</v>
      </c>
      <c r="B932" s="282" t="s">
        <v>23</v>
      </c>
      <c r="C932" s="283" t="s">
        <v>7981</v>
      </c>
      <c r="D932" s="29" t="s">
        <v>7982</v>
      </c>
      <c r="E932" s="984" t="s">
        <v>8625</v>
      </c>
      <c r="F932" s="987" t="s">
        <v>8626</v>
      </c>
      <c r="G932" s="319">
        <v>2</v>
      </c>
      <c r="H932" s="998">
        <v>161000</v>
      </c>
      <c r="I932" s="86">
        <f t="shared" si="58"/>
        <v>322000</v>
      </c>
      <c r="J932" s="20">
        <f t="shared" si="56"/>
        <v>144900</v>
      </c>
      <c r="K932" s="171">
        <f t="shared" si="57"/>
        <v>177100</v>
      </c>
      <c r="N932" s="17">
        <f t="shared" si="59"/>
        <v>177100</v>
      </c>
      <c r="O932" s="282" t="s">
        <v>23</v>
      </c>
      <c r="P932" s="20"/>
      <c r="Q932" s="10" t="s">
        <v>54</v>
      </c>
    </row>
    <row r="933" spans="1:17" s="364" customFormat="1">
      <c r="A933" s="991">
        <v>44523</v>
      </c>
      <c r="B933" s="282" t="s">
        <v>23</v>
      </c>
      <c r="C933" s="283" t="s">
        <v>7981</v>
      </c>
      <c r="D933" s="29" t="s">
        <v>7982</v>
      </c>
      <c r="E933" s="984" t="s">
        <v>8627</v>
      </c>
      <c r="F933" s="987" t="s">
        <v>885</v>
      </c>
      <c r="G933" s="319">
        <v>2</v>
      </c>
      <c r="H933" s="998">
        <v>182000</v>
      </c>
      <c r="I933" s="86">
        <f t="shared" si="58"/>
        <v>364000</v>
      </c>
      <c r="J933" s="20">
        <f t="shared" si="56"/>
        <v>163800</v>
      </c>
      <c r="K933" s="171">
        <f t="shared" si="57"/>
        <v>200200</v>
      </c>
      <c r="N933" s="17">
        <f t="shared" si="59"/>
        <v>200200</v>
      </c>
      <c r="O933" s="282" t="s">
        <v>23</v>
      </c>
      <c r="P933" s="20"/>
      <c r="Q933" s="10" t="s">
        <v>54</v>
      </c>
    </row>
    <row r="934" spans="1:17" s="364" customFormat="1">
      <c r="A934" s="991">
        <v>44523</v>
      </c>
      <c r="B934" s="282" t="s">
        <v>23</v>
      </c>
      <c r="C934" s="283" t="s">
        <v>7981</v>
      </c>
      <c r="D934" s="29" t="s">
        <v>7982</v>
      </c>
      <c r="E934" s="984" t="s">
        <v>8628</v>
      </c>
      <c r="F934" s="987" t="s">
        <v>8629</v>
      </c>
      <c r="G934" s="319">
        <v>2</v>
      </c>
      <c r="H934" s="998">
        <v>113000</v>
      </c>
      <c r="I934" s="86">
        <f t="shared" si="58"/>
        <v>226000</v>
      </c>
      <c r="J934" s="20">
        <f t="shared" si="56"/>
        <v>101700</v>
      </c>
      <c r="K934" s="171">
        <f t="shared" si="57"/>
        <v>124300</v>
      </c>
      <c r="N934" s="17">
        <f t="shared" si="59"/>
        <v>124300</v>
      </c>
      <c r="O934" s="282" t="s">
        <v>23</v>
      </c>
      <c r="P934" s="20"/>
      <c r="Q934" s="10" t="s">
        <v>54</v>
      </c>
    </row>
    <row r="935" spans="1:17" s="364" customFormat="1">
      <c r="A935" s="991">
        <v>44523</v>
      </c>
      <c r="B935" s="282" t="s">
        <v>23</v>
      </c>
      <c r="C935" s="283" t="s">
        <v>7981</v>
      </c>
      <c r="D935" s="29" t="s">
        <v>7982</v>
      </c>
      <c r="E935" s="984" t="s">
        <v>8630</v>
      </c>
      <c r="F935" s="984" t="s">
        <v>8631</v>
      </c>
      <c r="G935" s="319">
        <v>2</v>
      </c>
      <c r="H935" s="998">
        <v>70000</v>
      </c>
      <c r="I935" s="86">
        <f t="shared" si="58"/>
        <v>140000</v>
      </c>
      <c r="J935" s="20">
        <f t="shared" si="56"/>
        <v>63000</v>
      </c>
      <c r="K935" s="171">
        <f t="shared" si="57"/>
        <v>77000</v>
      </c>
      <c r="N935" s="17">
        <f t="shared" si="59"/>
        <v>77000</v>
      </c>
      <c r="O935" s="282" t="s">
        <v>23</v>
      </c>
      <c r="P935" s="20"/>
      <c r="Q935" s="10" t="s">
        <v>54</v>
      </c>
    </row>
    <row r="936" spans="1:17" s="364" customFormat="1">
      <c r="A936" s="991">
        <v>44523</v>
      </c>
      <c r="B936" s="282" t="s">
        <v>23</v>
      </c>
      <c r="C936" s="283" t="s">
        <v>7981</v>
      </c>
      <c r="D936" s="29" t="s">
        <v>7982</v>
      </c>
      <c r="E936" s="984" t="s">
        <v>8632</v>
      </c>
      <c r="F936" s="987" t="s">
        <v>8633</v>
      </c>
      <c r="G936" s="319">
        <v>2</v>
      </c>
      <c r="H936" s="998">
        <v>126000</v>
      </c>
      <c r="I936" s="86">
        <f t="shared" si="58"/>
        <v>252000</v>
      </c>
      <c r="J936" s="20">
        <f t="shared" si="56"/>
        <v>113400</v>
      </c>
      <c r="K936" s="171">
        <f t="shared" si="57"/>
        <v>138600</v>
      </c>
      <c r="N936" s="17">
        <f t="shared" si="59"/>
        <v>138600</v>
      </c>
      <c r="O936" s="282" t="s">
        <v>23</v>
      </c>
      <c r="P936" s="20"/>
      <c r="Q936" s="10" t="s">
        <v>54</v>
      </c>
    </row>
    <row r="937" spans="1:17" s="364" customFormat="1">
      <c r="A937" s="991">
        <v>44523</v>
      </c>
      <c r="B937" s="282" t="s">
        <v>23</v>
      </c>
      <c r="C937" s="283" t="s">
        <v>7981</v>
      </c>
      <c r="D937" s="29" t="s">
        <v>7982</v>
      </c>
      <c r="E937" s="984" t="s">
        <v>4456</v>
      </c>
      <c r="F937" s="987" t="s">
        <v>4457</v>
      </c>
      <c r="G937" s="319">
        <v>2</v>
      </c>
      <c r="H937" s="998">
        <v>63000</v>
      </c>
      <c r="I937" s="86">
        <f t="shared" si="58"/>
        <v>126000</v>
      </c>
      <c r="J937" s="20">
        <f t="shared" ref="J937:J990" si="60">I937*45%</f>
        <v>56700</v>
      </c>
      <c r="K937" s="171">
        <f t="shared" si="57"/>
        <v>69300</v>
      </c>
      <c r="N937" s="17">
        <f t="shared" si="59"/>
        <v>69300</v>
      </c>
      <c r="O937" s="282" t="s">
        <v>23</v>
      </c>
      <c r="P937" s="20"/>
      <c r="Q937" s="10" t="s">
        <v>54</v>
      </c>
    </row>
    <row r="938" spans="1:17" s="364" customFormat="1">
      <c r="A938" s="991">
        <v>44523</v>
      </c>
      <c r="B938" s="282" t="s">
        <v>23</v>
      </c>
      <c r="C938" s="283" t="s">
        <v>7981</v>
      </c>
      <c r="D938" s="29" t="s">
        <v>7982</v>
      </c>
      <c r="E938" s="984" t="s">
        <v>8634</v>
      </c>
      <c r="F938" s="984" t="s">
        <v>8635</v>
      </c>
      <c r="G938" s="319">
        <v>2</v>
      </c>
      <c r="H938" s="998">
        <v>176000</v>
      </c>
      <c r="I938" s="86">
        <f t="shared" si="58"/>
        <v>352000</v>
      </c>
      <c r="J938" s="20">
        <f t="shared" si="60"/>
        <v>158400</v>
      </c>
      <c r="K938" s="171">
        <f t="shared" si="57"/>
        <v>193600</v>
      </c>
      <c r="N938" s="17">
        <f t="shared" si="59"/>
        <v>193600</v>
      </c>
      <c r="O938" s="282" t="s">
        <v>23</v>
      </c>
      <c r="P938" s="20"/>
      <c r="Q938" s="10" t="s">
        <v>54</v>
      </c>
    </row>
    <row r="939" spans="1:17" s="364" customFormat="1">
      <c r="A939" s="991">
        <v>44523</v>
      </c>
      <c r="B939" s="282" t="s">
        <v>23</v>
      </c>
      <c r="C939" s="283" t="s">
        <v>7981</v>
      </c>
      <c r="D939" s="29" t="s">
        <v>7982</v>
      </c>
      <c r="E939" s="984" t="s">
        <v>8636</v>
      </c>
      <c r="F939" s="984" t="s">
        <v>8637</v>
      </c>
      <c r="G939" s="319">
        <v>2</v>
      </c>
      <c r="H939" s="998">
        <v>83000</v>
      </c>
      <c r="I939" s="86">
        <f t="shared" si="58"/>
        <v>166000</v>
      </c>
      <c r="J939" s="20">
        <f t="shared" si="60"/>
        <v>74700</v>
      </c>
      <c r="K939" s="171">
        <f t="shared" si="57"/>
        <v>91300</v>
      </c>
      <c r="N939" s="17">
        <f t="shared" si="59"/>
        <v>91300</v>
      </c>
      <c r="O939" s="282" t="s">
        <v>23</v>
      </c>
      <c r="P939" s="20"/>
      <c r="Q939" s="10" t="s">
        <v>54</v>
      </c>
    </row>
    <row r="940" spans="1:17" s="364" customFormat="1">
      <c r="A940" s="991">
        <v>44523</v>
      </c>
      <c r="B940" s="282" t="s">
        <v>23</v>
      </c>
      <c r="C940" s="283" t="s">
        <v>7981</v>
      </c>
      <c r="D940" s="29" t="s">
        <v>7982</v>
      </c>
      <c r="E940" s="984" t="s">
        <v>8638</v>
      </c>
      <c r="F940" s="987" t="s">
        <v>8639</v>
      </c>
      <c r="G940" s="319">
        <v>2</v>
      </c>
      <c r="H940" s="998">
        <v>177000</v>
      </c>
      <c r="I940" s="86">
        <f t="shared" si="58"/>
        <v>354000</v>
      </c>
      <c r="J940" s="20">
        <f t="shared" si="60"/>
        <v>159300</v>
      </c>
      <c r="K940" s="171">
        <f t="shared" si="57"/>
        <v>194700</v>
      </c>
      <c r="N940" s="17">
        <f t="shared" si="59"/>
        <v>194700</v>
      </c>
      <c r="O940" s="282" t="s">
        <v>23</v>
      </c>
      <c r="P940" s="20"/>
      <c r="Q940" s="10" t="s">
        <v>54</v>
      </c>
    </row>
    <row r="941" spans="1:17" s="364" customFormat="1">
      <c r="A941" s="991">
        <v>44523</v>
      </c>
      <c r="B941" s="282" t="s">
        <v>23</v>
      </c>
      <c r="C941" s="283" t="s">
        <v>7981</v>
      </c>
      <c r="D941" s="29" t="s">
        <v>7982</v>
      </c>
      <c r="E941" s="984" t="s">
        <v>8640</v>
      </c>
      <c r="F941" s="987" t="s">
        <v>8641</v>
      </c>
      <c r="G941" s="319">
        <v>2</v>
      </c>
      <c r="H941" s="998">
        <v>230000</v>
      </c>
      <c r="I941" s="86">
        <f t="shared" si="58"/>
        <v>460000</v>
      </c>
      <c r="J941" s="20">
        <f t="shared" si="60"/>
        <v>207000</v>
      </c>
      <c r="K941" s="171">
        <f t="shared" si="57"/>
        <v>253000</v>
      </c>
      <c r="N941" s="17">
        <f t="shared" si="59"/>
        <v>253000</v>
      </c>
      <c r="O941" s="282" t="s">
        <v>23</v>
      </c>
      <c r="P941" s="20"/>
      <c r="Q941" s="10" t="s">
        <v>54</v>
      </c>
    </row>
    <row r="942" spans="1:17" s="364" customFormat="1">
      <c r="A942" s="991">
        <v>44523</v>
      </c>
      <c r="B942" s="282" t="s">
        <v>23</v>
      </c>
      <c r="C942" s="283" t="s">
        <v>7981</v>
      </c>
      <c r="D942" s="29" t="s">
        <v>7982</v>
      </c>
      <c r="E942" s="984" t="s">
        <v>4955</v>
      </c>
      <c r="F942" s="987" t="s">
        <v>4956</v>
      </c>
      <c r="G942" s="319">
        <v>2</v>
      </c>
      <c r="H942" s="998">
        <v>68000</v>
      </c>
      <c r="I942" s="86">
        <f t="shared" si="58"/>
        <v>136000</v>
      </c>
      <c r="J942" s="20">
        <f t="shared" si="60"/>
        <v>61200</v>
      </c>
      <c r="K942" s="171">
        <f t="shared" si="57"/>
        <v>74800</v>
      </c>
      <c r="N942" s="17">
        <f t="shared" si="59"/>
        <v>74800</v>
      </c>
      <c r="O942" s="282" t="s">
        <v>23</v>
      </c>
      <c r="P942" s="20"/>
      <c r="Q942" s="10" t="s">
        <v>54</v>
      </c>
    </row>
    <row r="943" spans="1:17" s="364" customFormat="1">
      <c r="A943" s="991">
        <v>44523</v>
      </c>
      <c r="B943" s="282" t="s">
        <v>23</v>
      </c>
      <c r="C943" s="283" t="s">
        <v>7981</v>
      </c>
      <c r="D943" s="29" t="s">
        <v>7982</v>
      </c>
      <c r="E943" s="984" t="s">
        <v>8642</v>
      </c>
      <c r="F943" s="987" t="s">
        <v>8643</v>
      </c>
      <c r="G943" s="319">
        <v>2</v>
      </c>
      <c r="H943" s="998">
        <v>108000</v>
      </c>
      <c r="I943" s="86">
        <f t="shared" si="58"/>
        <v>216000</v>
      </c>
      <c r="J943" s="20">
        <f t="shared" si="60"/>
        <v>97200</v>
      </c>
      <c r="K943" s="171">
        <f t="shared" si="57"/>
        <v>118800</v>
      </c>
      <c r="N943" s="17">
        <f t="shared" si="59"/>
        <v>118800</v>
      </c>
      <c r="O943" s="282" t="s">
        <v>23</v>
      </c>
      <c r="P943" s="20"/>
      <c r="Q943" s="10" t="s">
        <v>54</v>
      </c>
    </row>
    <row r="944" spans="1:17" s="364" customFormat="1">
      <c r="A944" s="991">
        <v>44523</v>
      </c>
      <c r="B944" s="282" t="s">
        <v>23</v>
      </c>
      <c r="C944" s="283" t="s">
        <v>7981</v>
      </c>
      <c r="D944" s="29" t="s">
        <v>7982</v>
      </c>
      <c r="E944" s="984" t="s">
        <v>8644</v>
      </c>
      <c r="F944" s="987" t="s">
        <v>8645</v>
      </c>
      <c r="G944" s="319">
        <v>2</v>
      </c>
      <c r="H944" s="998">
        <v>161000</v>
      </c>
      <c r="I944" s="86">
        <f t="shared" si="58"/>
        <v>322000</v>
      </c>
      <c r="J944" s="20">
        <f t="shared" si="60"/>
        <v>144900</v>
      </c>
      <c r="K944" s="171">
        <f t="shared" si="57"/>
        <v>177100</v>
      </c>
      <c r="N944" s="17">
        <f t="shared" si="59"/>
        <v>177100</v>
      </c>
      <c r="O944" s="282" t="s">
        <v>23</v>
      </c>
      <c r="P944" s="20"/>
      <c r="Q944" s="10" t="s">
        <v>54</v>
      </c>
    </row>
    <row r="945" spans="1:17" s="364" customFormat="1">
      <c r="A945" s="991">
        <v>44523</v>
      </c>
      <c r="B945" s="282" t="s">
        <v>23</v>
      </c>
      <c r="C945" s="283" t="s">
        <v>7981</v>
      </c>
      <c r="D945" s="29" t="s">
        <v>7982</v>
      </c>
      <c r="E945" s="984" t="s">
        <v>8646</v>
      </c>
      <c r="F945" s="987" t="s">
        <v>1329</v>
      </c>
      <c r="G945" s="319">
        <v>2</v>
      </c>
      <c r="H945" s="998">
        <v>114000</v>
      </c>
      <c r="I945" s="86">
        <f t="shared" si="58"/>
        <v>228000</v>
      </c>
      <c r="J945" s="20">
        <f t="shared" si="60"/>
        <v>102600</v>
      </c>
      <c r="K945" s="171">
        <f t="shared" si="57"/>
        <v>125400</v>
      </c>
      <c r="N945" s="17">
        <f t="shared" si="59"/>
        <v>125400</v>
      </c>
      <c r="O945" s="282" t="s">
        <v>23</v>
      </c>
      <c r="P945" s="20"/>
      <c r="Q945" s="10" t="s">
        <v>54</v>
      </c>
    </row>
    <row r="946" spans="1:17" s="364" customFormat="1">
      <c r="A946" s="991">
        <v>44523</v>
      </c>
      <c r="B946" s="282" t="s">
        <v>23</v>
      </c>
      <c r="C946" s="283" t="s">
        <v>7981</v>
      </c>
      <c r="D946" s="29" t="s">
        <v>7982</v>
      </c>
      <c r="E946" s="984" t="s">
        <v>8647</v>
      </c>
      <c r="F946" s="984" t="s">
        <v>8648</v>
      </c>
      <c r="G946" s="319">
        <v>2</v>
      </c>
      <c r="H946" s="998">
        <v>211000</v>
      </c>
      <c r="I946" s="86">
        <f t="shared" si="58"/>
        <v>422000</v>
      </c>
      <c r="J946" s="20">
        <f t="shared" si="60"/>
        <v>189900</v>
      </c>
      <c r="K946" s="171">
        <f t="shared" si="57"/>
        <v>232100</v>
      </c>
      <c r="N946" s="17">
        <f t="shared" si="59"/>
        <v>232100</v>
      </c>
      <c r="O946" s="282" t="s">
        <v>23</v>
      </c>
      <c r="P946" s="20"/>
      <c r="Q946" s="10" t="s">
        <v>54</v>
      </c>
    </row>
    <row r="947" spans="1:17" s="364" customFormat="1">
      <c r="A947" s="991">
        <v>44523</v>
      </c>
      <c r="B947" s="282" t="s">
        <v>23</v>
      </c>
      <c r="C947" s="283" t="s">
        <v>7981</v>
      </c>
      <c r="D947" s="29" t="s">
        <v>7982</v>
      </c>
      <c r="E947" s="984" t="s">
        <v>8649</v>
      </c>
      <c r="F947" s="984" t="s">
        <v>8650</v>
      </c>
      <c r="G947" s="319">
        <v>2</v>
      </c>
      <c r="H947" s="998">
        <v>111000</v>
      </c>
      <c r="I947" s="86">
        <f t="shared" si="58"/>
        <v>222000</v>
      </c>
      <c r="J947" s="20">
        <f t="shared" si="60"/>
        <v>99900</v>
      </c>
      <c r="K947" s="171">
        <f t="shared" si="57"/>
        <v>122100</v>
      </c>
      <c r="N947" s="17">
        <f t="shared" si="59"/>
        <v>122100</v>
      </c>
      <c r="O947" s="282" t="s">
        <v>23</v>
      </c>
      <c r="P947" s="20"/>
      <c r="Q947" s="10" t="s">
        <v>54</v>
      </c>
    </row>
    <row r="948" spans="1:17" s="364" customFormat="1">
      <c r="A948" s="991">
        <v>44523</v>
      </c>
      <c r="B948" s="282" t="s">
        <v>23</v>
      </c>
      <c r="C948" s="283" t="s">
        <v>7981</v>
      </c>
      <c r="D948" s="29" t="s">
        <v>7982</v>
      </c>
      <c r="E948" s="984" t="s">
        <v>8651</v>
      </c>
      <c r="F948" s="984" t="s">
        <v>8652</v>
      </c>
      <c r="G948" s="319">
        <v>2</v>
      </c>
      <c r="H948" s="998">
        <v>59000</v>
      </c>
      <c r="I948" s="86">
        <f t="shared" si="58"/>
        <v>118000</v>
      </c>
      <c r="J948" s="20">
        <f t="shared" si="60"/>
        <v>53100</v>
      </c>
      <c r="K948" s="171">
        <f t="shared" si="57"/>
        <v>64900</v>
      </c>
      <c r="N948" s="17">
        <f t="shared" si="59"/>
        <v>64900</v>
      </c>
      <c r="O948" s="282" t="s">
        <v>23</v>
      </c>
      <c r="P948" s="20"/>
      <c r="Q948" s="10" t="s">
        <v>54</v>
      </c>
    </row>
    <row r="949" spans="1:17" s="364" customFormat="1">
      <c r="A949" s="991">
        <v>44523</v>
      </c>
      <c r="B949" s="282" t="s">
        <v>23</v>
      </c>
      <c r="C949" s="283" t="s">
        <v>7981</v>
      </c>
      <c r="D949" s="29" t="s">
        <v>7982</v>
      </c>
      <c r="E949" s="984" t="s">
        <v>7857</v>
      </c>
      <c r="F949" s="987" t="s">
        <v>7858</v>
      </c>
      <c r="G949" s="319">
        <v>2</v>
      </c>
      <c r="H949" s="998">
        <v>94000</v>
      </c>
      <c r="I949" s="86">
        <f t="shared" si="58"/>
        <v>188000</v>
      </c>
      <c r="J949" s="20">
        <f t="shared" si="60"/>
        <v>84600</v>
      </c>
      <c r="K949" s="171">
        <f t="shared" si="57"/>
        <v>103400</v>
      </c>
      <c r="N949" s="17">
        <f t="shared" si="59"/>
        <v>103400</v>
      </c>
      <c r="O949" s="282" t="s">
        <v>23</v>
      </c>
      <c r="P949" s="20"/>
      <c r="Q949" s="10" t="s">
        <v>54</v>
      </c>
    </row>
    <row r="950" spans="1:17" s="364" customFormat="1">
      <c r="A950" s="991">
        <v>44523</v>
      </c>
      <c r="B950" s="282" t="s">
        <v>23</v>
      </c>
      <c r="C950" s="283" t="s">
        <v>7981</v>
      </c>
      <c r="D950" s="29" t="s">
        <v>7982</v>
      </c>
      <c r="E950" s="984" t="s">
        <v>8653</v>
      </c>
      <c r="F950" s="987" t="s">
        <v>8654</v>
      </c>
      <c r="G950" s="319">
        <v>2</v>
      </c>
      <c r="H950" s="998">
        <v>120000</v>
      </c>
      <c r="I950" s="86">
        <f t="shared" si="58"/>
        <v>240000</v>
      </c>
      <c r="J950" s="20">
        <f t="shared" si="60"/>
        <v>108000</v>
      </c>
      <c r="K950" s="171">
        <f t="shared" si="57"/>
        <v>132000</v>
      </c>
      <c r="N950" s="17">
        <f t="shared" si="59"/>
        <v>132000</v>
      </c>
      <c r="O950" s="282" t="s">
        <v>23</v>
      </c>
      <c r="P950" s="20"/>
      <c r="Q950" s="10" t="s">
        <v>54</v>
      </c>
    </row>
    <row r="951" spans="1:17" s="364" customFormat="1">
      <c r="A951" s="991">
        <v>44523</v>
      </c>
      <c r="B951" s="282" t="s">
        <v>23</v>
      </c>
      <c r="C951" s="283" t="s">
        <v>7981</v>
      </c>
      <c r="D951" s="29" t="s">
        <v>7982</v>
      </c>
      <c r="E951" s="984" t="s">
        <v>8655</v>
      </c>
      <c r="F951" s="987" t="s">
        <v>8656</v>
      </c>
      <c r="G951" s="319">
        <v>2</v>
      </c>
      <c r="H951" s="998">
        <v>97000</v>
      </c>
      <c r="I951" s="86">
        <f t="shared" si="58"/>
        <v>194000</v>
      </c>
      <c r="J951" s="20">
        <f t="shared" si="60"/>
        <v>87300</v>
      </c>
      <c r="K951" s="171">
        <f t="shared" si="57"/>
        <v>106700</v>
      </c>
      <c r="N951" s="17">
        <f t="shared" si="59"/>
        <v>106700</v>
      </c>
      <c r="O951" s="282" t="s">
        <v>23</v>
      </c>
      <c r="P951" s="20"/>
      <c r="Q951" s="10" t="s">
        <v>54</v>
      </c>
    </row>
    <row r="952" spans="1:17" s="364" customFormat="1">
      <c r="A952" s="991">
        <v>44523</v>
      </c>
      <c r="B952" s="282" t="s">
        <v>23</v>
      </c>
      <c r="C952" s="283" t="s">
        <v>7981</v>
      </c>
      <c r="D952" s="29" t="s">
        <v>7982</v>
      </c>
      <c r="E952" s="984" t="s">
        <v>8657</v>
      </c>
      <c r="F952" s="987" t="s">
        <v>8658</v>
      </c>
      <c r="G952" s="319">
        <v>2</v>
      </c>
      <c r="H952" s="998">
        <v>108000</v>
      </c>
      <c r="I952" s="86">
        <f t="shared" si="58"/>
        <v>216000</v>
      </c>
      <c r="J952" s="20">
        <f t="shared" si="60"/>
        <v>97200</v>
      </c>
      <c r="K952" s="171">
        <f t="shared" si="57"/>
        <v>118800</v>
      </c>
      <c r="N952" s="17">
        <f t="shared" si="59"/>
        <v>118800</v>
      </c>
      <c r="O952" s="282" t="s">
        <v>23</v>
      </c>
      <c r="P952" s="20"/>
      <c r="Q952" s="10" t="s">
        <v>54</v>
      </c>
    </row>
    <row r="953" spans="1:17" s="364" customFormat="1">
      <c r="A953" s="991">
        <v>44523</v>
      </c>
      <c r="B953" s="282" t="s">
        <v>23</v>
      </c>
      <c r="C953" s="283" t="s">
        <v>7981</v>
      </c>
      <c r="D953" s="29" t="s">
        <v>7982</v>
      </c>
      <c r="E953" s="984" t="s">
        <v>8659</v>
      </c>
      <c r="F953" s="987" t="s">
        <v>8660</v>
      </c>
      <c r="G953" s="319">
        <v>2</v>
      </c>
      <c r="H953" s="998">
        <v>224000</v>
      </c>
      <c r="I953" s="86">
        <f t="shared" si="58"/>
        <v>448000</v>
      </c>
      <c r="J953" s="20">
        <f t="shared" si="60"/>
        <v>201600</v>
      </c>
      <c r="K953" s="171">
        <f t="shared" si="57"/>
        <v>246400</v>
      </c>
      <c r="N953" s="17">
        <f t="shared" si="59"/>
        <v>246400</v>
      </c>
      <c r="O953" s="282" t="s">
        <v>23</v>
      </c>
      <c r="P953" s="20"/>
      <c r="Q953" s="10" t="s">
        <v>54</v>
      </c>
    </row>
    <row r="954" spans="1:17" s="364" customFormat="1">
      <c r="A954" s="991">
        <v>44523</v>
      </c>
      <c r="B954" s="282" t="s">
        <v>23</v>
      </c>
      <c r="C954" s="283" t="s">
        <v>7981</v>
      </c>
      <c r="D954" s="29" t="s">
        <v>7982</v>
      </c>
      <c r="E954" s="984" t="s">
        <v>8661</v>
      </c>
      <c r="F954" s="987" t="s">
        <v>8662</v>
      </c>
      <c r="G954" s="319">
        <v>2</v>
      </c>
      <c r="H954" s="998">
        <v>87000</v>
      </c>
      <c r="I954" s="86">
        <f t="shared" si="58"/>
        <v>174000</v>
      </c>
      <c r="J954" s="20">
        <f t="shared" si="60"/>
        <v>78300</v>
      </c>
      <c r="K954" s="171">
        <f t="shared" si="57"/>
        <v>95700</v>
      </c>
      <c r="N954" s="17">
        <f t="shared" si="59"/>
        <v>95700</v>
      </c>
      <c r="O954" s="282" t="s">
        <v>23</v>
      </c>
      <c r="P954" s="20"/>
      <c r="Q954" s="10" t="s">
        <v>54</v>
      </c>
    </row>
    <row r="955" spans="1:17" s="364" customFormat="1">
      <c r="A955" s="991">
        <v>44523</v>
      </c>
      <c r="B955" s="282" t="s">
        <v>23</v>
      </c>
      <c r="C955" s="283" t="s">
        <v>7981</v>
      </c>
      <c r="D955" s="29" t="s">
        <v>7982</v>
      </c>
      <c r="E955" s="984" t="s">
        <v>8663</v>
      </c>
      <c r="F955" s="987" t="s">
        <v>8664</v>
      </c>
      <c r="G955" s="319">
        <v>2</v>
      </c>
      <c r="H955" s="998">
        <v>116000</v>
      </c>
      <c r="I955" s="86">
        <f t="shared" si="58"/>
        <v>232000</v>
      </c>
      <c r="J955" s="20">
        <f t="shared" si="60"/>
        <v>104400</v>
      </c>
      <c r="K955" s="171">
        <f t="shared" si="57"/>
        <v>127600</v>
      </c>
      <c r="N955" s="17">
        <f t="shared" si="59"/>
        <v>127600</v>
      </c>
      <c r="O955" s="282" t="s">
        <v>23</v>
      </c>
      <c r="P955" s="20"/>
      <c r="Q955" s="10" t="s">
        <v>54</v>
      </c>
    </row>
    <row r="956" spans="1:17" s="364" customFormat="1">
      <c r="A956" s="991">
        <v>44523</v>
      </c>
      <c r="B956" s="282" t="s">
        <v>23</v>
      </c>
      <c r="C956" s="283" t="s">
        <v>7981</v>
      </c>
      <c r="D956" s="29" t="s">
        <v>7982</v>
      </c>
      <c r="E956" s="984" t="s">
        <v>4498</v>
      </c>
      <c r="F956" s="987" t="s">
        <v>4499</v>
      </c>
      <c r="G956" s="319">
        <v>2</v>
      </c>
      <c r="H956" s="998">
        <v>124000</v>
      </c>
      <c r="I956" s="86">
        <f t="shared" si="58"/>
        <v>248000</v>
      </c>
      <c r="J956" s="20">
        <f t="shared" si="60"/>
        <v>111600</v>
      </c>
      <c r="K956" s="171">
        <f t="shared" si="57"/>
        <v>136400</v>
      </c>
      <c r="N956" s="17">
        <f t="shared" si="59"/>
        <v>136400</v>
      </c>
      <c r="O956" s="282" t="s">
        <v>23</v>
      </c>
      <c r="P956" s="20"/>
      <c r="Q956" s="10" t="s">
        <v>54</v>
      </c>
    </row>
    <row r="957" spans="1:17" s="364" customFormat="1" ht="15.6">
      <c r="A957" s="991">
        <v>44523</v>
      </c>
      <c r="B957" s="282" t="s">
        <v>23</v>
      </c>
      <c r="C957" s="283" t="s">
        <v>7981</v>
      </c>
      <c r="D957" s="29" t="s">
        <v>7982</v>
      </c>
      <c r="E957" s="984" t="s">
        <v>8665</v>
      </c>
      <c r="F957" s="984" t="s">
        <v>8666</v>
      </c>
      <c r="G957" s="319">
        <v>2</v>
      </c>
      <c r="H957" s="999">
        <v>100000</v>
      </c>
      <c r="I957" s="86">
        <f t="shared" si="58"/>
        <v>200000</v>
      </c>
      <c r="J957" s="20">
        <f t="shared" si="60"/>
        <v>90000</v>
      </c>
      <c r="K957" s="171">
        <f t="shared" si="57"/>
        <v>110000</v>
      </c>
      <c r="N957" s="17">
        <f t="shared" si="59"/>
        <v>110000</v>
      </c>
      <c r="O957" s="282" t="s">
        <v>23</v>
      </c>
      <c r="P957" s="20"/>
      <c r="Q957" s="10" t="s">
        <v>54</v>
      </c>
    </row>
    <row r="958" spans="1:17" s="364" customFormat="1" ht="15.6">
      <c r="A958" s="991">
        <v>44523</v>
      </c>
      <c r="B958" s="282" t="s">
        <v>23</v>
      </c>
      <c r="C958" s="283" t="s">
        <v>7981</v>
      </c>
      <c r="D958" s="29" t="s">
        <v>7982</v>
      </c>
      <c r="E958" s="984" t="s">
        <v>5446</v>
      </c>
      <c r="F958" s="987" t="s">
        <v>5447</v>
      </c>
      <c r="G958" s="319">
        <v>2</v>
      </c>
      <c r="H958" s="999">
        <v>97000</v>
      </c>
      <c r="I958" s="86">
        <f t="shared" si="58"/>
        <v>194000</v>
      </c>
      <c r="J958" s="20">
        <f t="shared" si="60"/>
        <v>87300</v>
      </c>
      <c r="K958" s="171">
        <f t="shared" si="57"/>
        <v>106700</v>
      </c>
      <c r="N958" s="17">
        <f t="shared" si="59"/>
        <v>106700</v>
      </c>
      <c r="O958" s="282" t="s">
        <v>23</v>
      </c>
      <c r="P958" s="20"/>
      <c r="Q958" s="10" t="s">
        <v>54</v>
      </c>
    </row>
    <row r="959" spans="1:17" s="364" customFormat="1" ht="15.6">
      <c r="A959" s="991">
        <v>44523</v>
      </c>
      <c r="B959" s="282" t="s">
        <v>23</v>
      </c>
      <c r="C959" s="283" t="s">
        <v>7981</v>
      </c>
      <c r="D959" s="29" t="s">
        <v>7982</v>
      </c>
      <c r="E959" s="984" t="s">
        <v>8667</v>
      </c>
      <c r="F959" s="984" t="s">
        <v>8668</v>
      </c>
      <c r="G959" s="319">
        <v>2</v>
      </c>
      <c r="H959" s="999">
        <v>102000</v>
      </c>
      <c r="I959" s="86">
        <f t="shared" si="58"/>
        <v>204000</v>
      </c>
      <c r="J959" s="20">
        <f t="shared" si="60"/>
        <v>91800</v>
      </c>
      <c r="K959" s="171">
        <f t="shared" si="57"/>
        <v>112200</v>
      </c>
      <c r="N959" s="17">
        <f t="shared" si="59"/>
        <v>112200</v>
      </c>
      <c r="O959" s="282" t="s">
        <v>23</v>
      </c>
      <c r="P959" s="20"/>
      <c r="Q959" s="10" t="s">
        <v>54</v>
      </c>
    </row>
    <row r="960" spans="1:17" s="364" customFormat="1" ht="15.6">
      <c r="A960" s="991">
        <v>44523</v>
      </c>
      <c r="B960" s="282" t="s">
        <v>23</v>
      </c>
      <c r="C960" s="283" t="s">
        <v>7981</v>
      </c>
      <c r="D960" s="29" t="s">
        <v>7982</v>
      </c>
      <c r="E960" s="984" t="s">
        <v>8669</v>
      </c>
      <c r="F960" s="987" t="s">
        <v>8670</v>
      </c>
      <c r="G960" s="319">
        <v>2</v>
      </c>
      <c r="H960" s="999">
        <v>148000</v>
      </c>
      <c r="I960" s="86">
        <f t="shared" si="58"/>
        <v>296000</v>
      </c>
      <c r="J960" s="20">
        <f t="shared" si="60"/>
        <v>133200</v>
      </c>
      <c r="K960" s="171">
        <f t="shared" si="57"/>
        <v>162800</v>
      </c>
      <c r="N960" s="17">
        <f t="shared" si="59"/>
        <v>162800</v>
      </c>
      <c r="O960" s="282" t="s">
        <v>23</v>
      </c>
      <c r="P960" s="20"/>
      <c r="Q960" s="10" t="s">
        <v>54</v>
      </c>
    </row>
    <row r="961" spans="1:17" s="364" customFormat="1" ht="15.6">
      <c r="A961" s="991">
        <v>44523</v>
      </c>
      <c r="B961" s="282" t="s">
        <v>23</v>
      </c>
      <c r="C961" s="283" t="s">
        <v>7981</v>
      </c>
      <c r="D961" s="29" t="s">
        <v>7982</v>
      </c>
      <c r="E961" s="984" t="s">
        <v>8671</v>
      </c>
      <c r="F961" s="987" t="s">
        <v>8672</v>
      </c>
      <c r="G961" s="319">
        <v>2</v>
      </c>
      <c r="H961" s="999">
        <v>82000</v>
      </c>
      <c r="I961" s="86">
        <f t="shared" si="58"/>
        <v>164000</v>
      </c>
      <c r="J961" s="20">
        <f t="shared" si="60"/>
        <v>73800</v>
      </c>
      <c r="K961" s="171">
        <f t="shared" si="57"/>
        <v>90200</v>
      </c>
      <c r="N961" s="17">
        <f t="shared" si="59"/>
        <v>90200</v>
      </c>
      <c r="O961" s="282" t="s">
        <v>23</v>
      </c>
      <c r="P961" s="20"/>
      <c r="Q961" s="10" t="s">
        <v>54</v>
      </c>
    </row>
    <row r="962" spans="1:17" s="364" customFormat="1" ht="15.6">
      <c r="A962" s="991">
        <v>44523</v>
      </c>
      <c r="B962" s="282" t="s">
        <v>23</v>
      </c>
      <c r="C962" s="283" t="s">
        <v>7981</v>
      </c>
      <c r="D962" s="29" t="s">
        <v>7982</v>
      </c>
      <c r="E962" s="984" t="s">
        <v>316</v>
      </c>
      <c r="F962" s="984" t="s">
        <v>128</v>
      </c>
      <c r="G962" s="319">
        <v>2</v>
      </c>
      <c r="H962" s="1002">
        <v>75500</v>
      </c>
      <c r="I962" s="86">
        <f t="shared" si="58"/>
        <v>151000</v>
      </c>
      <c r="J962" s="20">
        <f t="shared" si="60"/>
        <v>67950</v>
      </c>
      <c r="K962" s="171">
        <f t="shared" si="57"/>
        <v>83050</v>
      </c>
      <c r="N962" s="17">
        <f t="shared" si="59"/>
        <v>83050</v>
      </c>
      <c r="O962" s="282" t="s">
        <v>23</v>
      </c>
      <c r="P962" s="20"/>
      <c r="Q962" s="10" t="s">
        <v>54</v>
      </c>
    </row>
    <row r="963" spans="1:17" s="364" customFormat="1" ht="15.6">
      <c r="A963" s="991">
        <v>44523</v>
      </c>
      <c r="B963" s="282" t="s">
        <v>23</v>
      </c>
      <c r="C963" s="283" t="s">
        <v>7981</v>
      </c>
      <c r="D963" s="29" t="s">
        <v>7982</v>
      </c>
      <c r="E963" s="984" t="s">
        <v>81</v>
      </c>
      <c r="F963" s="987" t="s">
        <v>476</v>
      </c>
      <c r="G963" s="319">
        <v>2</v>
      </c>
      <c r="H963" s="1002">
        <v>172000</v>
      </c>
      <c r="I963" s="86">
        <f t="shared" si="58"/>
        <v>344000</v>
      </c>
      <c r="J963" s="20">
        <f t="shared" si="60"/>
        <v>154800</v>
      </c>
      <c r="K963" s="171">
        <f t="shared" si="57"/>
        <v>189200</v>
      </c>
      <c r="N963" s="17">
        <f t="shared" si="59"/>
        <v>189200</v>
      </c>
      <c r="O963" s="282" t="s">
        <v>23</v>
      </c>
      <c r="P963" s="20"/>
      <c r="Q963" s="10" t="s">
        <v>54</v>
      </c>
    </row>
    <row r="964" spans="1:17" s="364" customFormat="1" ht="15.6">
      <c r="A964" s="991">
        <v>44523</v>
      </c>
      <c r="B964" s="282" t="s">
        <v>23</v>
      </c>
      <c r="C964" s="283" t="s">
        <v>7981</v>
      </c>
      <c r="D964" s="29" t="s">
        <v>7982</v>
      </c>
      <c r="E964" s="984" t="s">
        <v>2462</v>
      </c>
      <c r="F964" s="987" t="s">
        <v>2463</v>
      </c>
      <c r="G964" s="319">
        <v>2</v>
      </c>
      <c r="H964" s="1001">
        <v>126000</v>
      </c>
      <c r="I964" s="86">
        <f t="shared" si="58"/>
        <v>252000</v>
      </c>
      <c r="J964" s="20">
        <f t="shared" si="60"/>
        <v>113400</v>
      </c>
      <c r="K964" s="171">
        <f t="shared" ref="K964:K990" si="61">I964-J964</f>
        <v>138600</v>
      </c>
      <c r="N964" s="17">
        <f t="shared" si="59"/>
        <v>138600</v>
      </c>
      <c r="O964" s="282" t="s">
        <v>23</v>
      </c>
      <c r="P964" s="20"/>
      <c r="Q964" s="10" t="s">
        <v>54</v>
      </c>
    </row>
    <row r="965" spans="1:17" s="364" customFormat="1" ht="15.6">
      <c r="A965" s="991">
        <v>44523</v>
      </c>
      <c r="B965" s="282" t="s">
        <v>23</v>
      </c>
      <c r="C965" s="283" t="s">
        <v>7981</v>
      </c>
      <c r="D965" s="29" t="s">
        <v>7982</v>
      </c>
      <c r="E965" s="984" t="s">
        <v>8673</v>
      </c>
      <c r="F965" s="987" t="s">
        <v>8674</v>
      </c>
      <c r="G965" s="319">
        <v>2</v>
      </c>
      <c r="H965" s="1002">
        <v>73000</v>
      </c>
      <c r="I965" s="86">
        <f t="shared" ref="I965:I990" si="62">H965*G965</f>
        <v>146000</v>
      </c>
      <c r="J965" s="20">
        <f t="shared" si="60"/>
        <v>65700</v>
      </c>
      <c r="K965" s="171">
        <f t="shared" si="61"/>
        <v>80300</v>
      </c>
      <c r="N965" s="17">
        <f t="shared" si="59"/>
        <v>80300</v>
      </c>
      <c r="O965" s="282" t="s">
        <v>23</v>
      </c>
      <c r="P965" s="20"/>
      <c r="Q965" s="10" t="s">
        <v>54</v>
      </c>
    </row>
    <row r="966" spans="1:17" s="364" customFormat="1" ht="15.6">
      <c r="A966" s="991">
        <v>44523</v>
      </c>
      <c r="B966" s="282" t="s">
        <v>23</v>
      </c>
      <c r="C966" s="283" t="s">
        <v>7981</v>
      </c>
      <c r="D966" s="29" t="s">
        <v>7982</v>
      </c>
      <c r="E966" s="984" t="s">
        <v>8675</v>
      </c>
      <c r="F966" s="987" t="s">
        <v>8676</v>
      </c>
      <c r="G966" s="319">
        <v>2</v>
      </c>
      <c r="H966" s="996">
        <v>86000</v>
      </c>
      <c r="I966" s="86">
        <f t="shared" si="62"/>
        <v>172000</v>
      </c>
      <c r="J966" s="20">
        <f t="shared" si="60"/>
        <v>77400</v>
      </c>
      <c r="K966" s="171">
        <f t="shared" si="61"/>
        <v>94600</v>
      </c>
      <c r="N966" s="17">
        <f t="shared" si="59"/>
        <v>94600</v>
      </c>
      <c r="O966" s="282" t="s">
        <v>23</v>
      </c>
      <c r="P966" s="20"/>
      <c r="Q966" s="10" t="s">
        <v>54</v>
      </c>
    </row>
    <row r="967" spans="1:17" s="364" customFormat="1">
      <c r="A967" s="991">
        <v>44523</v>
      </c>
      <c r="B967" s="282" t="s">
        <v>23</v>
      </c>
      <c r="C967" s="283" t="s">
        <v>7981</v>
      </c>
      <c r="D967" s="29" t="s">
        <v>7982</v>
      </c>
      <c r="E967" s="984" t="s">
        <v>8677</v>
      </c>
      <c r="F967" s="987" t="s">
        <v>8678</v>
      </c>
      <c r="G967" s="319">
        <v>2</v>
      </c>
      <c r="H967" s="998">
        <v>191000</v>
      </c>
      <c r="I967" s="86">
        <f t="shared" si="62"/>
        <v>382000</v>
      </c>
      <c r="J967" s="20">
        <f t="shared" si="60"/>
        <v>171900</v>
      </c>
      <c r="K967" s="171">
        <f t="shared" si="61"/>
        <v>210100</v>
      </c>
      <c r="N967" s="17">
        <f t="shared" si="59"/>
        <v>210100</v>
      </c>
      <c r="O967" s="282" t="s">
        <v>23</v>
      </c>
      <c r="P967" s="20"/>
      <c r="Q967" s="10" t="s">
        <v>54</v>
      </c>
    </row>
    <row r="968" spans="1:17" s="364" customFormat="1">
      <c r="A968" s="991">
        <v>44523</v>
      </c>
      <c r="B968" s="282" t="s">
        <v>23</v>
      </c>
      <c r="C968" s="283" t="s">
        <v>7981</v>
      </c>
      <c r="D968" s="29" t="s">
        <v>7982</v>
      </c>
      <c r="E968" s="984" t="s">
        <v>3320</v>
      </c>
      <c r="F968" s="987" t="s">
        <v>3321</v>
      </c>
      <c r="G968" s="319">
        <v>2</v>
      </c>
      <c r="H968" s="998">
        <v>104000</v>
      </c>
      <c r="I968" s="86">
        <f t="shared" si="62"/>
        <v>208000</v>
      </c>
      <c r="J968" s="20">
        <f t="shared" si="60"/>
        <v>93600</v>
      </c>
      <c r="K968" s="171">
        <f t="shared" si="61"/>
        <v>114400</v>
      </c>
      <c r="N968" s="17">
        <f t="shared" si="59"/>
        <v>114400</v>
      </c>
      <c r="O968" s="282" t="s">
        <v>23</v>
      </c>
      <c r="P968" s="20"/>
      <c r="Q968" s="10" t="s">
        <v>54</v>
      </c>
    </row>
    <row r="969" spans="1:17" s="364" customFormat="1">
      <c r="A969" s="991">
        <v>44523</v>
      </c>
      <c r="B969" s="282" t="s">
        <v>23</v>
      </c>
      <c r="C969" s="283" t="s">
        <v>7981</v>
      </c>
      <c r="D969" s="29" t="s">
        <v>7982</v>
      </c>
      <c r="E969" s="984" t="s">
        <v>5669</v>
      </c>
      <c r="F969" s="987" t="s">
        <v>5670</v>
      </c>
      <c r="G969" s="319">
        <v>2</v>
      </c>
      <c r="H969" s="998">
        <v>227000</v>
      </c>
      <c r="I969" s="86">
        <f t="shared" si="62"/>
        <v>454000</v>
      </c>
      <c r="J969" s="20">
        <f t="shared" si="60"/>
        <v>204300</v>
      </c>
      <c r="K969" s="171">
        <f t="shared" si="61"/>
        <v>249700</v>
      </c>
      <c r="N969" s="17">
        <f t="shared" si="59"/>
        <v>249700</v>
      </c>
      <c r="O969" s="282" t="s">
        <v>23</v>
      </c>
      <c r="P969" s="20"/>
      <c r="Q969" s="10" t="s">
        <v>54</v>
      </c>
    </row>
    <row r="970" spans="1:17" s="364" customFormat="1">
      <c r="A970" s="991">
        <v>44523</v>
      </c>
      <c r="B970" s="282" t="s">
        <v>23</v>
      </c>
      <c r="C970" s="283" t="s">
        <v>7981</v>
      </c>
      <c r="D970" s="29" t="s">
        <v>7982</v>
      </c>
      <c r="E970" s="984" t="s">
        <v>8679</v>
      </c>
      <c r="F970" s="987" t="s">
        <v>8680</v>
      </c>
      <c r="G970" s="319">
        <v>2</v>
      </c>
      <c r="H970" s="998">
        <v>73000</v>
      </c>
      <c r="I970" s="86">
        <f t="shared" si="62"/>
        <v>146000</v>
      </c>
      <c r="J970" s="20">
        <f t="shared" si="60"/>
        <v>65700</v>
      </c>
      <c r="K970" s="171">
        <f t="shared" si="61"/>
        <v>80300</v>
      </c>
      <c r="N970" s="17">
        <f t="shared" si="59"/>
        <v>80300</v>
      </c>
      <c r="O970" s="282" t="s">
        <v>23</v>
      </c>
      <c r="P970" s="20"/>
      <c r="Q970" s="10" t="s">
        <v>54</v>
      </c>
    </row>
    <row r="971" spans="1:17" s="364" customFormat="1">
      <c r="A971" s="991">
        <v>44523</v>
      </c>
      <c r="B971" s="282" t="s">
        <v>23</v>
      </c>
      <c r="C971" s="283" t="s">
        <v>7981</v>
      </c>
      <c r="D971" s="29" t="s">
        <v>7982</v>
      </c>
      <c r="E971" s="984" t="s">
        <v>8681</v>
      </c>
      <c r="F971" s="987" t="s">
        <v>8682</v>
      </c>
      <c r="G971" s="319">
        <v>2</v>
      </c>
      <c r="H971" s="998">
        <v>187000</v>
      </c>
      <c r="I971" s="86">
        <f t="shared" si="62"/>
        <v>374000</v>
      </c>
      <c r="J971" s="20">
        <f t="shared" si="60"/>
        <v>168300</v>
      </c>
      <c r="K971" s="171">
        <f t="shared" si="61"/>
        <v>205700</v>
      </c>
      <c r="N971" s="17">
        <f t="shared" si="59"/>
        <v>205700</v>
      </c>
      <c r="O971" s="282" t="s">
        <v>23</v>
      </c>
      <c r="P971" s="20"/>
      <c r="Q971" s="10" t="s">
        <v>54</v>
      </c>
    </row>
    <row r="972" spans="1:17" s="364" customFormat="1">
      <c r="A972" s="991">
        <v>44523</v>
      </c>
      <c r="B972" s="282" t="s">
        <v>23</v>
      </c>
      <c r="C972" s="283" t="s">
        <v>7981</v>
      </c>
      <c r="D972" s="29" t="s">
        <v>7982</v>
      </c>
      <c r="E972" s="984" t="s">
        <v>8683</v>
      </c>
      <c r="F972" s="984" t="s">
        <v>5822</v>
      </c>
      <c r="G972" s="319">
        <v>2</v>
      </c>
      <c r="H972" s="998">
        <v>408000</v>
      </c>
      <c r="I972" s="86">
        <f t="shared" si="62"/>
        <v>816000</v>
      </c>
      <c r="J972" s="20">
        <f t="shared" si="60"/>
        <v>367200</v>
      </c>
      <c r="K972" s="171">
        <f t="shared" si="61"/>
        <v>448800</v>
      </c>
      <c r="N972" s="17">
        <f t="shared" si="59"/>
        <v>448800</v>
      </c>
      <c r="O972" s="282" t="s">
        <v>23</v>
      </c>
      <c r="P972" s="20"/>
      <c r="Q972" s="10" t="s">
        <v>54</v>
      </c>
    </row>
    <row r="973" spans="1:17" s="364" customFormat="1">
      <c r="A973" s="991">
        <v>44523</v>
      </c>
      <c r="B973" s="282" t="s">
        <v>23</v>
      </c>
      <c r="C973" s="283" t="s">
        <v>7981</v>
      </c>
      <c r="D973" s="29" t="s">
        <v>7982</v>
      </c>
      <c r="E973" s="984" t="s">
        <v>8684</v>
      </c>
      <c r="F973" s="987" t="s">
        <v>8685</v>
      </c>
      <c r="G973" s="319">
        <v>2</v>
      </c>
      <c r="H973" s="998">
        <v>78000</v>
      </c>
      <c r="I973" s="86">
        <f t="shared" si="62"/>
        <v>156000</v>
      </c>
      <c r="J973" s="20">
        <f t="shared" si="60"/>
        <v>70200</v>
      </c>
      <c r="K973" s="171">
        <f t="shared" si="61"/>
        <v>85800</v>
      </c>
      <c r="N973" s="17">
        <f t="shared" si="59"/>
        <v>85800</v>
      </c>
      <c r="O973" s="282" t="s">
        <v>23</v>
      </c>
      <c r="P973" s="20"/>
      <c r="Q973" s="10" t="s">
        <v>54</v>
      </c>
    </row>
    <row r="974" spans="1:17" s="364" customFormat="1">
      <c r="A974" s="991">
        <v>44523</v>
      </c>
      <c r="B974" s="282" t="s">
        <v>23</v>
      </c>
      <c r="C974" s="283" t="s">
        <v>7981</v>
      </c>
      <c r="D974" s="29" t="s">
        <v>7982</v>
      </c>
      <c r="E974" s="984" t="s">
        <v>7093</v>
      </c>
      <c r="F974" s="987" t="s">
        <v>7094</v>
      </c>
      <c r="G974" s="319">
        <v>2</v>
      </c>
      <c r="H974" s="998">
        <v>157000</v>
      </c>
      <c r="I974" s="86">
        <f t="shared" si="62"/>
        <v>314000</v>
      </c>
      <c r="J974" s="20">
        <f t="shared" si="60"/>
        <v>141300</v>
      </c>
      <c r="K974" s="171">
        <f t="shared" si="61"/>
        <v>172700</v>
      </c>
      <c r="N974" s="17">
        <f t="shared" si="59"/>
        <v>172700</v>
      </c>
      <c r="O974" s="282" t="s">
        <v>23</v>
      </c>
      <c r="P974" s="20"/>
      <c r="Q974" s="10" t="s">
        <v>54</v>
      </c>
    </row>
    <row r="975" spans="1:17" s="364" customFormat="1">
      <c r="A975" s="991">
        <v>44523</v>
      </c>
      <c r="B975" s="282" t="s">
        <v>23</v>
      </c>
      <c r="C975" s="283" t="s">
        <v>7981</v>
      </c>
      <c r="D975" s="29" t="s">
        <v>7982</v>
      </c>
      <c r="E975" s="984" t="s">
        <v>8686</v>
      </c>
      <c r="F975" s="987" t="s">
        <v>8687</v>
      </c>
      <c r="G975" s="319">
        <v>2</v>
      </c>
      <c r="H975" s="998">
        <v>100000</v>
      </c>
      <c r="I975" s="86">
        <f t="shared" si="62"/>
        <v>200000</v>
      </c>
      <c r="J975" s="20">
        <f t="shared" si="60"/>
        <v>90000</v>
      </c>
      <c r="K975" s="171">
        <f t="shared" si="61"/>
        <v>110000</v>
      </c>
      <c r="N975" s="17">
        <f t="shared" si="59"/>
        <v>110000</v>
      </c>
      <c r="O975" s="282" t="s">
        <v>23</v>
      </c>
      <c r="P975" s="20"/>
      <c r="Q975" s="10" t="s">
        <v>54</v>
      </c>
    </row>
    <row r="976" spans="1:17" s="364" customFormat="1" ht="15.6">
      <c r="A976" s="991">
        <v>44523</v>
      </c>
      <c r="B976" s="282" t="s">
        <v>23</v>
      </c>
      <c r="C976" s="283" t="s">
        <v>7981</v>
      </c>
      <c r="D976" s="29" t="s">
        <v>7982</v>
      </c>
      <c r="E976" s="984" t="s">
        <v>4525</v>
      </c>
      <c r="F976" s="984" t="s">
        <v>4526</v>
      </c>
      <c r="G976" s="319">
        <v>2</v>
      </c>
      <c r="H976" s="996">
        <v>129000</v>
      </c>
      <c r="I976" s="86">
        <f t="shared" si="62"/>
        <v>258000</v>
      </c>
      <c r="J976" s="20">
        <f t="shared" si="60"/>
        <v>116100</v>
      </c>
      <c r="K976" s="171">
        <f t="shared" si="61"/>
        <v>141900</v>
      </c>
      <c r="N976" s="17">
        <f t="shared" si="59"/>
        <v>141900</v>
      </c>
      <c r="O976" s="282" t="s">
        <v>23</v>
      </c>
      <c r="P976" s="20"/>
      <c r="Q976" s="10" t="s">
        <v>54</v>
      </c>
    </row>
    <row r="977" spans="1:17" s="364" customFormat="1" ht="15.6">
      <c r="A977" s="991">
        <v>44523</v>
      </c>
      <c r="B977" s="282" t="s">
        <v>23</v>
      </c>
      <c r="C977" s="283" t="s">
        <v>7981</v>
      </c>
      <c r="D977" s="29" t="s">
        <v>7982</v>
      </c>
      <c r="E977" s="984" t="s">
        <v>8688</v>
      </c>
      <c r="F977" s="987" t="s">
        <v>8689</v>
      </c>
      <c r="G977" s="319">
        <v>2</v>
      </c>
      <c r="H977" s="996">
        <v>127000</v>
      </c>
      <c r="I977" s="86">
        <f t="shared" si="62"/>
        <v>254000</v>
      </c>
      <c r="J977" s="20">
        <f t="shared" si="60"/>
        <v>114300</v>
      </c>
      <c r="K977" s="171">
        <f t="shared" si="61"/>
        <v>139700</v>
      </c>
      <c r="N977" s="17">
        <f t="shared" si="59"/>
        <v>139700</v>
      </c>
      <c r="O977" s="282" t="s">
        <v>23</v>
      </c>
      <c r="P977" s="20"/>
      <c r="Q977" s="10" t="s">
        <v>54</v>
      </c>
    </row>
    <row r="978" spans="1:17" s="364" customFormat="1" ht="15.6">
      <c r="A978" s="991">
        <v>44523</v>
      </c>
      <c r="B978" s="282" t="s">
        <v>23</v>
      </c>
      <c r="C978" s="283" t="s">
        <v>7981</v>
      </c>
      <c r="D978" s="29" t="s">
        <v>7982</v>
      </c>
      <c r="E978" s="984" t="s">
        <v>7049</v>
      </c>
      <c r="F978" s="987" t="s">
        <v>7050</v>
      </c>
      <c r="G978" s="319">
        <v>2</v>
      </c>
      <c r="H978" s="1001">
        <v>89000</v>
      </c>
      <c r="I978" s="86">
        <f t="shared" si="62"/>
        <v>178000</v>
      </c>
      <c r="J978" s="20">
        <f t="shared" si="60"/>
        <v>80100</v>
      </c>
      <c r="K978" s="171">
        <f t="shared" si="61"/>
        <v>97900</v>
      </c>
      <c r="N978" s="17">
        <f t="shared" si="59"/>
        <v>97900</v>
      </c>
      <c r="O978" s="282" t="s">
        <v>23</v>
      </c>
      <c r="P978" s="20"/>
      <c r="Q978" s="10" t="s">
        <v>54</v>
      </c>
    </row>
    <row r="979" spans="1:17" s="364" customFormat="1" ht="15.6">
      <c r="A979" s="991">
        <v>44523</v>
      </c>
      <c r="B979" s="282" t="s">
        <v>23</v>
      </c>
      <c r="C979" s="283" t="s">
        <v>7981</v>
      </c>
      <c r="D979" s="29" t="s">
        <v>7982</v>
      </c>
      <c r="E979" s="984" t="s">
        <v>8690</v>
      </c>
      <c r="F979" s="987" t="s">
        <v>8691</v>
      </c>
      <c r="G979" s="319">
        <v>2</v>
      </c>
      <c r="H979" s="1001">
        <v>72000</v>
      </c>
      <c r="I979" s="86">
        <f t="shared" si="62"/>
        <v>144000</v>
      </c>
      <c r="J979" s="20">
        <f t="shared" si="60"/>
        <v>64800</v>
      </c>
      <c r="K979" s="171">
        <f t="shared" si="61"/>
        <v>79200</v>
      </c>
      <c r="N979" s="17">
        <f t="shared" si="59"/>
        <v>79200</v>
      </c>
      <c r="O979" s="282" t="s">
        <v>23</v>
      </c>
      <c r="P979" s="20"/>
      <c r="Q979" s="10" t="s">
        <v>54</v>
      </c>
    </row>
    <row r="980" spans="1:17" s="364" customFormat="1" ht="15.6">
      <c r="A980" s="991">
        <v>44523</v>
      </c>
      <c r="B980" s="282" t="s">
        <v>23</v>
      </c>
      <c r="C980" s="283" t="s">
        <v>7981</v>
      </c>
      <c r="D980" s="29" t="s">
        <v>7982</v>
      </c>
      <c r="E980" s="984" t="s">
        <v>6111</v>
      </c>
      <c r="F980" s="984" t="s">
        <v>2700</v>
      </c>
      <c r="G980" s="319">
        <v>2</v>
      </c>
      <c r="H980" s="996">
        <v>96000</v>
      </c>
      <c r="I980" s="86">
        <f t="shared" si="62"/>
        <v>192000</v>
      </c>
      <c r="J980" s="20">
        <f t="shared" si="60"/>
        <v>86400</v>
      </c>
      <c r="K980" s="171">
        <f t="shared" si="61"/>
        <v>105600</v>
      </c>
      <c r="N980" s="17">
        <f t="shared" si="59"/>
        <v>105600</v>
      </c>
      <c r="O980" s="282" t="s">
        <v>23</v>
      </c>
      <c r="P980" s="20"/>
      <c r="Q980" s="10" t="s">
        <v>54</v>
      </c>
    </row>
    <row r="981" spans="1:17" s="364" customFormat="1" ht="15.6">
      <c r="A981" s="991">
        <v>44523</v>
      </c>
      <c r="B981" s="282" t="s">
        <v>23</v>
      </c>
      <c r="C981" s="283" t="s">
        <v>7981</v>
      </c>
      <c r="D981" s="29" t="s">
        <v>7982</v>
      </c>
      <c r="E981" s="984" t="s">
        <v>8692</v>
      </c>
      <c r="F981" s="984" t="s">
        <v>8693</v>
      </c>
      <c r="G981" s="319">
        <v>2</v>
      </c>
      <c r="H981" s="996">
        <v>59500</v>
      </c>
      <c r="I981" s="86">
        <f t="shared" si="62"/>
        <v>119000</v>
      </c>
      <c r="J981" s="20">
        <f t="shared" si="60"/>
        <v>53550</v>
      </c>
      <c r="K981" s="171">
        <f t="shared" si="61"/>
        <v>65450</v>
      </c>
      <c r="N981" s="17">
        <f t="shared" si="59"/>
        <v>65450</v>
      </c>
      <c r="O981" s="282" t="s">
        <v>23</v>
      </c>
      <c r="P981" s="20"/>
      <c r="Q981" s="10" t="s">
        <v>54</v>
      </c>
    </row>
    <row r="982" spans="1:17" s="364" customFormat="1" ht="15.6">
      <c r="A982" s="991">
        <v>44523</v>
      </c>
      <c r="B982" s="282" t="s">
        <v>23</v>
      </c>
      <c r="C982" s="283" t="s">
        <v>7981</v>
      </c>
      <c r="D982" s="29" t="s">
        <v>7982</v>
      </c>
      <c r="E982" s="984" t="s">
        <v>8694</v>
      </c>
      <c r="F982" s="984" t="s">
        <v>8695</v>
      </c>
      <c r="G982" s="319">
        <v>2</v>
      </c>
      <c r="H982" s="996">
        <v>99000</v>
      </c>
      <c r="I982" s="86">
        <f t="shared" si="62"/>
        <v>198000</v>
      </c>
      <c r="J982" s="20">
        <f t="shared" si="60"/>
        <v>89100</v>
      </c>
      <c r="K982" s="171">
        <f t="shared" si="61"/>
        <v>108900</v>
      </c>
      <c r="N982" s="17">
        <f t="shared" si="59"/>
        <v>108900</v>
      </c>
      <c r="O982" s="282" t="s">
        <v>23</v>
      </c>
      <c r="P982" s="20"/>
      <c r="Q982" s="10" t="s">
        <v>54</v>
      </c>
    </row>
    <row r="983" spans="1:17" s="364" customFormat="1" ht="15.6">
      <c r="A983" s="991">
        <v>44523</v>
      </c>
      <c r="B983" s="282" t="s">
        <v>23</v>
      </c>
      <c r="C983" s="283" t="s">
        <v>7981</v>
      </c>
      <c r="D983" s="29" t="s">
        <v>7982</v>
      </c>
      <c r="E983" s="984" t="s">
        <v>8696</v>
      </c>
      <c r="F983" s="987" t="s">
        <v>8697</v>
      </c>
      <c r="G983" s="319">
        <v>2</v>
      </c>
      <c r="H983" s="996">
        <v>87000</v>
      </c>
      <c r="I983" s="86">
        <f t="shared" si="62"/>
        <v>174000</v>
      </c>
      <c r="J983" s="20">
        <f t="shared" si="60"/>
        <v>78300</v>
      </c>
      <c r="K983" s="171">
        <f t="shared" si="61"/>
        <v>95700</v>
      </c>
      <c r="N983" s="17">
        <f t="shared" si="59"/>
        <v>95700</v>
      </c>
      <c r="O983" s="282" t="s">
        <v>23</v>
      </c>
      <c r="P983" s="20"/>
      <c r="Q983" s="10" t="s">
        <v>54</v>
      </c>
    </row>
    <row r="984" spans="1:17" s="364" customFormat="1" ht="15.6">
      <c r="A984" s="991">
        <v>44523</v>
      </c>
      <c r="B984" s="282" t="s">
        <v>23</v>
      </c>
      <c r="C984" s="283" t="s">
        <v>7981</v>
      </c>
      <c r="D984" s="29" t="s">
        <v>7982</v>
      </c>
      <c r="E984" s="984" t="s">
        <v>8698</v>
      </c>
      <c r="F984" s="987" t="s">
        <v>8699</v>
      </c>
      <c r="G984" s="319">
        <v>2</v>
      </c>
      <c r="H984" s="996">
        <v>106500</v>
      </c>
      <c r="I984" s="86">
        <f t="shared" si="62"/>
        <v>213000</v>
      </c>
      <c r="J984" s="20">
        <f t="shared" si="60"/>
        <v>95850</v>
      </c>
      <c r="K984" s="171">
        <f t="shared" si="61"/>
        <v>117150</v>
      </c>
      <c r="N984" s="17">
        <f t="shared" si="59"/>
        <v>117150</v>
      </c>
      <c r="O984" s="282" t="s">
        <v>23</v>
      </c>
      <c r="P984" s="20"/>
      <c r="Q984" s="10" t="s">
        <v>54</v>
      </c>
    </row>
    <row r="985" spans="1:17" s="364" customFormat="1" ht="15.6">
      <c r="A985" s="991">
        <v>44523</v>
      </c>
      <c r="B985" s="282" t="s">
        <v>23</v>
      </c>
      <c r="C985" s="283" t="s">
        <v>7981</v>
      </c>
      <c r="D985" s="29" t="s">
        <v>7982</v>
      </c>
      <c r="E985" s="984" t="s">
        <v>8700</v>
      </c>
      <c r="F985" s="987" t="s">
        <v>8701</v>
      </c>
      <c r="G985" s="319">
        <v>2</v>
      </c>
      <c r="H985" s="1001">
        <v>96000</v>
      </c>
      <c r="I985" s="86">
        <f t="shared" si="62"/>
        <v>192000</v>
      </c>
      <c r="J985" s="20">
        <f t="shared" si="60"/>
        <v>86400</v>
      </c>
      <c r="K985" s="171">
        <f t="shared" si="61"/>
        <v>105600</v>
      </c>
      <c r="N985" s="17">
        <f t="shared" si="59"/>
        <v>105600</v>
      </c>
      <c r="O985" s="282" t="s">
        <v>23</v>
      </c>
      <c r="P985" s="20"/>
      <c r="Q985" s="10" t="s">
        <v>54</v>
      </c>
    </row>
    <row r="986" spans="1:17" s="364" customFormat="1" ht="15.6">
      <c r="A986" s="991">
        <v>44523</v>
      </c>
      <c r="B986" s="282" t="s">
        <v>23</v>
      </c>
      <c r="C986" s="283" t="s">
        <v>7981</v>
      </c>
      <c r="D986" s="29" t="s">
        <v>7982</v>
      </c>
      <c r="E986" s="984" t="s">
        <v>8702</v>
      </c>
      <c r="F986" s="987" t="s">
        <v>8703</v>
      </c>
      <c r="G986" s="319">
        <v>2</v>
      </c>
      <c r="H986" s="996">
        <v>62500</v>
      </c>
      <c r="I986" s="86">
        <f t="shared" si="62"/>
        <v>125000</v>
      </c>
      <c r="J986" s="20">
        <f t="shared" si="60"/>
        <v>56250</v>
      </c>
      <c r="K986" s="171">
        <f t="shared" si="61"/>
        <v>68750</v>
      </c>
      <c r="N986" s="17">
        <f t="shared" si="59"/>
        <v>68750</v>
      </c>
      <c r="O986" s="282" t="s">
        <v>23</v>
      </c>
      <c r="P986" s="20"/>
      <c r="Q986" s="10" t="s">
        <v>54</v>
      </c>
    </row>
    <row r="987" spans="1:17" s="364" customFormat="1">
      <c r="A987" s="991">
        <v>44523</v>
      </c>
      <c r="B987" s="282" t="s">
        <v>23</v>
      </c>
      <c r="C987" s="283" t="s">
        <v>7981</v>
      </c>
      <c r="D987" s="29" t="s">
        <v>7982</v>
      </c>
      <c r="E987" s="984" t="s">
        <v>8704</v>
      </c>
      <c r="F987" s="987" t="s">
        <v>8705</v>
      </c>
      <c r="G987" s="319">
        <v>2</v>
      </c>
      <c r="H987" s="998">
        <v>80000</v>
      </c>
      <c r="I987" s="86">
        <f t="shared" si="62"/>
        <v>160000</v>
      </c>
      <c r="J987" s="20">
        <f t="shared" si="60"/>
        <v>72000</v>
      </c>
      <c r="K987" s="171">
        <f t="shared" si="61"/>
        <v>88000</v>
      </c>
      <c r="N987" s="17">
        <f t="shared" ref="N987:N990" si="63">K987+L987+M987</f>
        <v>88000</v>
      </c>
      <c r="O987" s="282" t="s">
        <v>23</v>
      </c>
      <c r="P987" s="20"/>
      <c r="Q987" s="10" t="s">
        <v>54</v>
      </c>
    </row>
    <row r="988" spans="1:17" s="364" customFormat="1">
      <c r="A988" s="991">
        <v>44523</v>
      </c>
      <c r="B988" s="282" t="s">
        <v>23</v>
      </c>
      <c r="C988" s="283" t="s">
        <v>7981</v>
      </c>
      <c r="D988" s="29" t="s">
        <v>7982</v>
      </c>
      <c r="E988" s="984" t="s">
        <v>8706</v>
      </c>
      <c r="F988" s="987" t="s">
        <v>8707</v>
      </c>
      <c r="G988" s="319">
        <v>2</v>
      </c>
      <c r="H988" s="998">
        <v>172000</v>
      </c>
      <c r="I988" s="86">
        <f t="shared" si="62"/>
        <v>344000</v>
      </c>
      <c r="J988" s="20">
        <f t="shared" si="60"/>
        <v>154800</v>
      </c>
      <c r="K988" s="171">
        <f t="shared" si="61"/>
        <v>189200</v>
      </c>
      <c r="N988" s="17">
        <f t="shared" si="63"/>
        <v>189200</v>
      </c>
      <c r="O988" s="282" t="s">
        <v>23</v>
      </c>
      <c r="P988" s="20"/>
      <c r="Q988" s="10" t="s">
        <v>54</v>
      </c>
    </row>
    <row r="989" spans="1:17" s="364" customFormat="1" ht="15.6">
      <c r="A989" s="991">
        <v>44523</v>
      </c>
      <c r="B989" s="282" t="s">
        <v>23</v>
      </c>
      <c r="C989" s="283" t="s">
        <v>7981</v>
      </c>
      <c r="D989" s="29" t="s">
        <v>7982</v>
      </c>
      <c r="E989" s="984" t="s">
        <v>7504</v>
      </c>
      <c r="F989" s="984" t="s">
        <v>7505</v>
      </c>
      <c r="G989" s="319">
        <v>2</v>
      </c>
      <c r="H989" s="1000">
        <v>127000</v>
      </c>
      <c r="I989" s="86">
        <f t="shared" si="62"/>
        <v>254000</v>
      </c>
      <c r="J989" s="20">
        <f t="shared" si="60"/>
        <v>114300</v>
      </c>
      <c r="K989" s="171">
        <f t="shared" si="61"/>
        <v>139700</v>
      </c>
      <c r="N989" s="17">
        <f t="shared" si="63"/>
        <v>139700</v>
      </c>
      <c r="O989" s="282" t="s">
        <v>23</v>
      </c>
      <c r="P989" s="20"/>
      <c r="Q989" s="10" t="s">
        <v>54</v>
      </c>
    </row>
    <row r="990" spans="1:17" s="364" customFormat="1" ht="15.6">
      <c r="A990" s="991">
        <v>44523</v>
      </c>
      <c r="B990" s="282" t="s">
        <v>23</v>
      </c>
      <c r="C990" s="283" t="s">
        <v>7981</v>
      </c>
      <c r="D990" s="29" t="s">
        <v>7982</v>
      </c>
      <c r="E990" s="984" t="s">
        <v>8708</v>
      </c>
      <c r="F990" s="987" t="s">
        <v>6004</v>
      </c>
      <c r="G990" s="319">
        <v>2</v>
      </c>
      <c r="H990" s="1001">
        <v>99000</v>
      </c>
      <c r="I990" s="86">
        <f t="shared" si="62"/>
        <v>198000</v>
      </c>
      <c r="J990" s="20">
        <f t="shared" si="60"/>
        <v>89100</v>
      </c>
      <c r="K990" s="171">
        <f t="shared" si="61"/>
        <v>108900</v>
      </c>
      <c r="N990" s="17">
        <f t="shared" si="63"/>
        <v>108900</v>
      </c>
      <c r="O990" s="282" t="s">
        <v>23</v>
      </c>
      <c r="P990" s="20"/>
      <c r="Q990" s="10" t="s">
        <v>54</v>
      </c>
    </row>
  </sheetData>
  <dataValidations count="1">
    <dataValidation type="list" allowBlank="1" showErrorMessage="1" sqref="Q1" xr:uid="{00000000-0002-0000-0A00-000000000000}">
      <formula1>#REF!</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391"/>
  <sheetViews>
    <sheetView tabSelected="1" topLeftCell="A197" workbookViewId="0">
      <selection activeCell="D219" sqref="D219"/>
    </sheetView>
  </sheetViews>
  <sheetFormatPr defaultRowHeight="14.4"/>
  <cols>
    <col min="1" max="1" width="10.5546875" bestFit="1" customWidth="1"/>
  </cols>
  <sheetData>
    <row r="1" spans="1:23" s="1020" customFormat="1" ht="14.25" customHeight="1">
      <c r="A1" s="411" t="s">
        <v>0</v>
      </c>
      <c r="B1" s="412" t="s">
        <v>4666</v>
      </c>
      <c r="C1" s="412" t="s">
        <v>4667</v>
      </c>
      <c r="D1" s="412" t="s">
        <v>3</v>
      </c>
      <c r="E1" s="412" t="s">
        <v>4</v>
      </c>
      <c r="F1" s="412" t="s">
        <v>5</v>
      </c>
      <c r="G1" s="414" t="s">
        <v>4668</v>
      </c>
      <c r="H1" s="416" t="s">
        <v>6</v>
      </c>
      <c r="I1" s="735" t="s">
        <v>8</v>
      </c>
      <c r="J1" s="416" t="s">
        <v>9</v>
      </c>
      <c r="K1" s="416" t="s">
        <v>10</v>
      </c>
      <c r="L1" s="416" t="s">
        <v>11</v>
      </c>
      <c r="M1" s="416" t="s">
        <v>12</v>
      </c>
      <c r="N1" s="416" t="s">
        <v>13</v>
      </c>
      <c r="O1" s="418" t="s">
        <v>14</v>
      </c>
      <c r="P1" s="419" t="s">
        <v>15</v>
      </c>
      <c r="Q1" s="412" t="s">
        <v>16</v>
      </c>
      <c r="R1" s="412" t="s">
        <v>17</v>
      </c>
      <c r="S1" s="414" t="s">
        <v>18</v>
      </c>
      <c r="T1" s="416" t="s">
        <v>19</v>
      </c>
      <c r="U1" s="416" t="s">
        <v>20</v>
      </c>
      <c r="V1" s="416" t="s">
        <v>21</v>
      </c>
      <c r="W1" s="418" t="s">
        <v>22</v>
      </c>
    </row>
    <row r="2" spans="1:23" s="20" customFormat="1" ht="14.25" customHeight="1">
      <c r="A2" s="1021">
        <v>44524</v>
      </c>
      <c r="B2" s="930" t="s">
        <v>43</v>
      </c>
      <c r="C2" s="406" t="s">
        <v>8709</v>
      </c>
      <c r="D2" s="92" t="s">
        <v>8710</v>
      </c>
      <c r="E2" s="750" t="s">
        <v>8374</v>
      </c>
      <c r="F2" s="750" t="s">
        <v>8375</v>
      </c>
      <c r="G2" s="1022">
        <v>1</v>
      </c>
      <c r="H2" s="17">
        <v>58000</v>
      </c>
      <c r="I2" s="17">
        <f>H2*G2</f>
        <v>58000</v>
      </c>
      <c r="J2" s="17"/>
      <c r="K2" s="18">
        <f>I2-J2</f>
        <v>58000</v>
      </c>
      <c r="L2" s="17"/>
      <c r="M2" s="17"/>
      <c r="N2" s="17">
        <f>K2+L2+M2</f>
        <v>58000</v>
      </c>
      <c r="O2" s="930" t="s">
        <v>43</v>
      </c>
      <c r="P2" s="183"/>
      <c r="Q2" s="406" t="s">
        <v>176</v>
      </c>
      <c r="R2" s="930" t="s">
        <v>8711</v>
      </c>
      <c r="S2" s="17"/>
      <c r="T2" s="17"/>
      <c r="U2" s="17"/>
      <c r="V2" s="17"/>
      <c r="W2" s="17"/>
    </row>
    <row r="3" spans="1:23" s="20" customFormat="1" ht="14.25" customHeight="1">
      <c r="A3" s="1021">
        <v>44524</v>
      </c>
      <c r="B3" s="930" t="s">
        <v>43</v>
      </c>
      <c r="C3" s="406" t="s">
        <v>8712</v>
      </c>
      <c r="D3" s="92" t="s">
        <v>8713</v>
      </c>
      <c r="E3" s="930" t="s">
        <v>4574</v>
      </c>
      <c r="F3" s="930" t="s">
        <v>4048</v>
      </c>
      <c r="G3" s="1023">
        <v>1</v>
      </c>
      <c r="H3" s="17">
        <v>192500</v>
      </c>
      <c r="I3" s="17">
        <f t="shared" ref="I3:I66" si="0">H3*G3</f>
        <v>192500</v>
      </c>
      <c r="J3" s="17"/>
      <c r="K3" s="18">
        <f t="shared" ref="K3:K66" si="1">I3-J3</f>
        <v>192500</v>
      </c>
      <c r="L3" s="17"/>
      <c r="M3" s="17">
        <v>-10780</v>
      </c>
      <c r="N3" s="17">
        <f t="shared" ref="N3:N66" si="2">K3+L3+M3</f>
        <v>181720</v>
      </c>
      <c r="O3" s="930" t="s">
        <v>43</v>
      </c>
      <c r="P3" s="72"/>
      <c r="Q3" s="406" t="s">
        <v>176</v>
      </c>
      <c r="R3" s="930" t="s">
        <v>8711</v>
      </c>
      <c r="S3" s="17"/>
      <c r="T3" s="17"/>
      <c r="U3" s="17"/>
      <c r="V3" s="17"/>
      <c r="W3" s="17"/>
    </row>
    <row r="4" spans="1:23" s="20" customFormat="1" ht="14.25" customHeight="1">
      <c r="A4" s="991">
        <v>44525</v>
      </c>
      <c r="B4" s="76" t="s">
        <v>23</v>
      </c>
      <c r="C4" s="10" t="s">
        <v>6511</v>
      </c>
      <c r="D4" s="92" t="s">
        <v>8714</v>
      </c>
      <c r="E4" s="934" t="s">
        <v>8715</v>
      </c>
      <c r="F4" s="934" t="s">
        <v>1268</v>
      </c>
      <c r="G4" s="16">
        <v>1</v>
      </c>
      <c r="H4" s="17">
        <v>52000</v>
      </c>
      <c r="I4" s="17">
        <f t="shared" si="0"/>
        <v>52000</v>
      </c>
      <c r="J4" s="17">
        <f>I4*25%</f>
        <v>13000</v>
      </c>
      <c r="K4" s="18">
        <f t="shared" si="1"/>
        <v>39000</v>
      </c>
      <c r="L4" s="17">
        <v>68000</v>
      </c>
      <c r="M4" s="17"/>
      <c r="N4" s="17">
        <f t="shared" si="2"/>
        <v>107000</v>
      </c>
      <c r="O4" s="76" t="s">
        <v>23</v>
      </c>
      <c r="P4" s="72"/>
      <c r="Q4" s="10" t="s">
        <v>40</v>
      </c>
      <c r="R4" s="739" t="s">
        <v>8716</v>
      </c>
      <c r="S4" s="17"/>
      <c r="T4" s="17"/>
      <c r="U4" s="17"/>
      <c r="V4" s="17"/>
      <c r="W4" s="17"/>
    </row>
    <row r="5" spans="1:23" s="20" customFormat="1" ht="14.25" customHeight="1">
      <c r="A5" s="991">
        <v>44525</v>
      </c>
      <c r="B5" s="76" t="s">
        <v>23</v>
      </c>
      <c r="C5" s="10" t="s">
        <v>6511</v>
      </c>
      <c r="D5" s="92" t="s">
        <v>8714</v>
      </c>
      <c r="E5" s="934" t="s">
        <v>8717</v>
      </c>
      <c r="F5" s="934" t="s">
        <v>8718</v>
      </c>
      <c r="G5" s="16">
        <v>1</v>
      </c>
      <c r="H5" s="17">
        <v>80500</v>
      </c>
      <c r="I5" s="17">
        <f t="shared" si="0"/>
        <v>80500</v>
      </c>
      <c r="J5" s="17">
        <f t="shared" ref="J5:J15" si="3">I5*25%</f>
        <v>20125</v>
      </c>
      <c r="K5" s="18">
        <f t="shared" si="1"/>
        <v>60375</v>
      </c>
      <c r="L5" s="17"/>
      <c r="M5" s="17"/>
      <c r="N5" s="17">
        <f t="shared" si="2"/>
        <v>60375</v>
      </c>
      <c r="O5" s="76" t="s">
        <v>23</v>
      </c>
      <c r="P5" s="72"/>
      <c r="Q5" s="10" t="s">
        <v>40</v>
      </c>
      <c r="R5" s="739" t="s">
        <v>8716</v>
      </c>
      <c r="S5" s="13"/>
      <c r="T5" s="17"/>
      <c r="U5" s="17"/>
      <c r="V5" s="17"/>
      <c r="W5" s="17"/>
    </row>
    <row r="6" spans="1:23" s="20" customFormat="1" ht="14.25" customHeight="1">
      <c r="A6" s="991">
        <v>44525</v>
      </c>
      <c r="B6" s="76" t="s">
        <v>23</v>
      </c>
      <c r="C6" s="10" t="s">
        <v>6511</v>
      </c>
      <c r="D6" s="92" t="s">
        <v>8714</v>
      </c>
      <c r="E6" s="934" t="s">
        <v>8719</v>
      </c>
      <c r="F6" s="934" t="s">
        <v>8720</v>
      </c>
      <c r="G6" s="16">
        <v>1</v>
      </c>
      <c r="H6" s="92">
        <v>73000</v>
      </c>
      <c r="I6" s="17">
        <f t="shared" si="0"/>
        <v>73000</v>
      </c>
      <c r="J6" s="17">
        <f t="shared" si="3"/>
        <v>18250</v>
      </c>
      <c r="K6" s="18">
        <f t="shared" si="1"/>
        <v>54750</v>
      </c>
      <c r="L6" s="17"/>
      <c r="M6" s="17"/>
      <c r="N6" s="17">
        <f t="shared" si="2"/>
        <v>54750</v>
      </c>
      <c r="O6" s="76" t="s">
        <v>23</v>
      </c>
      <c r="P6" s="72"/>
      <c r="Q6" s="10" t="s">
        <v>40</v>
      </c>
      <c r="R6" s="76" t="s">
        <v>8716</v>
      </c>
      <c r="S6" s="17"/>
      <c r="T6" s="17"/>
      <c r="U6" s="17"/>
      <c r="V6" s="17"/>
      <c r="W6" s="17"/>
    </row>
    <row r="7" spans="1:23" s="20" customFormat="1" ht="14.25" customHeight="1">
      <c r="A7" s="991">
        <v>44525</v>
      </c>
      <c r="B7" s="76" t="s">
        <v>23</v>
      </c>
      <c r="C7" s="10" t="s">
        <v>6511</v>
      </c>
      <c r="D7" s="92" t="s">
        <v>8714</v>
      </c>
      <c r="E7" s="934" t="s">
        <v>8721</v>
      </c>
      <c r="F7" s="934" t="s">
        <v>8722</v>
      </c>
      <c r="G7" s="16">
        <v>1</v>
      </c>
      <c r="H7" s="92">
        <v>64500</v>
      </c>
      <c r="I7" s="17">
        <f t="shared" si="0"/>
        <v>64500</v>
      </c>
      <c r="J7" s="17">
        <f t="shared" si="3"/>
        <v>16125</v>
      </c>
      <c r="K7" s="18">
        <f t="shared" si="1"/>
        <v>48375</v>
      </c>
      <c r="L7" s="17"/>
      <c r="M7" s="17"/>
      <c r="N7" s="17">
        <f t="shared" si="2"/>
        <v>48375</v>
      </c>
      <c r="O7" s="76" t="s">
        <v>23</v>
      </c>
      <c r="P7" s="72"/>
      <c r="Q7" s="10" t="s">
        <v>40</v>
      </c>
      <c r="R7" s="739" t="s">
        <v>8716</v>
      </c>
      <c r="S7" s="17"/>
      <c r="T7" s="17"/>
      <c r="U7" s="17"/>
      <c r="V7" s="17"/>
      <c r="W7" s="17"/>
    </row>
    <row r="8" spans="1:23" s="20" customFormat="1" ht="14.25" customHeight="1">
      <c r="A8" s="991">
        <v>44525</v>
      </c>
      <c r="B8" s="76" t="s">
        <v>23</v>
      </c>
      <c r="C8" s="10" t="s">
        <v>6511</v>
      </c>
      <c r="D8" s="92" t="s">
        <v>8714</v>
      </c>
      <c r="E8" s="934" t="s">
        <v>8388</v>
      </c>
      <c r="F8" s="934" t="s">
        <v>8389</v>
      </c>
      <c r="G8" s="16">
        <v>1</v>
      </c>
      <c r="H8" s="92">
        <v>75000</v>
      </c>
      <c r="I8" s="17">
        <f t="shared" si="0"/>
        <v>75000</v>
      </c>
      <c r="J8" s="17">
        <f t="shared" si="3"/>
        <v>18750</v>
      </c>
      <c r="K8" s="18">
        <f t="shared" si="1"/>
        <v>56250</v>
      </c>
      <c r="L8" s="17"/>
      <c r="M8" s="17"/>
      <c r="N8" s="17">
        <f t="shared" si="2"/>
        <v>56250</v>
      </c>
      <c r="O8" s="76" t="s">
        <v>23</v>
      </c>
      <c r="P8" s="72"/>
      <c r="Q8" s="10" t="s">
        <v>40</v>
      </c>
      <c r="R8" s="739" t="s">
        <v>8716</v>
      </c>
      <c r="S8" s="17"/>
      <c r="T8" s="17"/>
      <c r="U8" s="17"/>
      <c r="V8" s="17"/>
      <c r="W8" s="17"/>
    </row>
    <row r="9" spans="1:23" s="20" customFormat="1" ht="14.25" customHeight="1">
      <c r="A9" s="991">
        <v>44525</v>
      </c>
      <c r="B9" s="76" t="s">
        <v>23</v>
      </c>
      <c r="C9" s="10" t="s">
        <v>6511</v>
      </c>
      <c r="D9" s="92" t="s">
        <v>8714</v>
      </c>
      <c r="E9" s="934" t="s">
        <v>3432</v>
      </c>
      <c r="F9" s="934" t="s">
        <v>3433</v>
      </c>
      <c r="G9" s="16">
        <v>1</v>
      </c>
      <c r="H9" s="92">
        <v>188000</v>
      </c>
      <c r="I9" s="17">
        <f t="shared" si="0"/>
        <v>188000</v>
      </c>
      <c r="J9" s="17">
        <f t="shared" si="3"/>
        <v>47000</v>
      </c>
      <c r="K9" s="18">
        <f t="shared" si="1"/>
        <v>141000</v>
      </c>
      <c r="L9" s="17"/>
      <c r="M9" s="17"/>
      <c r="N9" s="17">
        <f t="shared" si="2"/>
        <v>141000</v>
      </c>
      <c r="O9" s="76" t="s">
        <v>23</v>
      </c>
      <c r="P9" s="72"/>
      <c r="Q9" s="10" t="s">
        <v>40</v>
      </c>
      <c r="R9" s="739" t="s">
        <v>8716</v>
      </c>
      <c r="S9" s="17"/>
      <c r="T9" s="17"/>
      <c r="U9" s="17"/>
      <c r="V9" s="17"/>
      <c r="W9" s="17"/>
    </row>
    <row r="10" spans="1:23" s="20" customFormat="1" ht="14.25" customHeight="1">
      <c r="A10" s="991">
        <v>44525</v>
      </c>
      <c r="B10" s="76" t="s">
        <v>23</v>
      </c>
      <c r="C10" s="10" t="s">
        <v>6511</v>
      </c>
      <c r="D10" s="92" t="s">
        <v>8714</v>
      </c>
      <c r="E10" s="934" t="s">
        <v>8480</v>
      </c>
      <c r="F10" s="934" t="s">
        <v>976</v>
      </c>
      <c r="G10" s="16">
        <v>1</v>
      </c>
      <c r="H10" s="92">
        <v>64000</v>
      </c>
      <c r="I10" s="17">
        <f t="shared" si="0"/>
        <v>64000</v>
      </c>
      <c r="J10" s="17">
        <f t="shared" si="3"/>
        <v>16000</v>
      </c>
      <c r="K10" s="18">
        <f t="shared" si="1"/>
        <v>48000</v>
      </c>
      <c r="L10" s="17"/>
      <c r="M10" s="17"/>
      <c r="N10" s="17">
        <f t="shared" si="2"/>
        <v>48000</v>
      </c>
      <c r="O10" s="76" t="s">
        <v>23</v>
      </c>
      <c r="P10" s="72"/>
      <c r="Q10" s="10" t="s">
        <v>40</v>
      </c>
      <c r="R10" s="739" t="s">
        <v>8716</v>
      </c>
      <c r="S10" s="17"/>
      <c r="T10" s="17"/>
      <c r="U10" s="17"/>
      <c r="V10" s="17"/>
      <c r="W10" s="17"/>
    </row>
    <row r="11" spans="1:23" s="20" customFormat="1" ht="14.25" customHeight="1">
      <c r="A11" s="991">
        <v>44525</v>
      </c>
      <c r="B11" s="76" t="s">
        <v>23</v>
      </c>
      <c r="C11" s="10" t="s">
        <v>6511</v>
      </c>
      <c r="D11" s="92" t="s">
        <v>8714</v>
      </c>
      <c r="E11" s="934" t="s">
        <v>8723</v>
      </c>
      <c r="F11" s="934" t="s">
        <v>8724</v>
      </c>
      <c r="G11" s="16">
        <v>1</v>
      </c>
      <c r="H11" s="92">
        <v>59000</v>
      </c>
      <c r="I11" s="17">
        <f t="shared" si="0"/>
        <v>59000</v>
      </c>
      <c r="J11" s="17">
        <f t="shared" si="3"/>
        <v>14750</v>
      </c>
      <c r="K11" s="18">
        <f t="shared" si="1"/>
        <v>44250</v>
      </c>
      <c r="L11" s="17"/>
      <c r="M11" s="17"/>
      <c r="N11" s="17">
        <f t="shared" si="2"/>
        <v>44250</v>
      </c>
      <c r="O11" s="76" t="s">
        <v>23</v>
      </c>
      <c r="P11" s="183"/>
      <c r="Q11" s="10" t="s">
        <v>40</v>
      </c>
      <c r="R11" s="739" t="s">
        <v>8716</v>
      </c>
      <c r="S11" s="17"/>
      <c r="T11" s="17"/>
      <c r="U11" s="17"/>
      <c r="V11" s="17"/>
      <c r="W11" s="17"/>
    </row>
    <row r="12" spans="1:23" s="20" customFormat="1" ht="14.25" customHeight="1">
      <c r="A12" s="991">
        <v>44525</v>
      </c>
      <c r="B12" s="76" t="s">
        <v>23</v>
      </c>
      <c r="C12" s="10" t="s">
        <v>6511</v>
      </c>
      <c r="D12" s="92" t="s">
        <v>8714</v>
      </c>
      <c r="E12" s="913" t="s">
        <v>8725</v>
      </c>
      <c r="F12" s="913" t="s">
        <v>8726</v>
      </c>
      <c r="G12" s="16">
        <v>1</v>
      </c>
      <c r="H12" s="92">
        <v>52000</v>
      </c>
      <c r="I12" s="17">
        <f t="shared" si="0"/>
        <v>52000</v>
      </c>
      <c r="J12" s="17">
        <f t="shared" si="3"/>
        <v>13000</v>
      </c>
      <c r="K12" s="18">
        <f t="shared" si="1"/>
        <v>39000</v>
      </c>
      <c r="L12" s="17"/>
      <c r="M12" s="17"/>
      <c r="N12" s="17">
        <f t="shared" si="2"/>
        <v>39000</v>
      </c>
      <c r="O12" s="76" t="s">
        <v>23</v>
      </c>
      <c r="P12" s="72"/>
      <c r="Q12" s="10" t="s">
        <v>40</v>
      </c>
      <c r="R12" s="739" t="s">
        <v>8716</v>
      </c>
      <c r="S12" s="17"/>
      <c r="T12" s="17"/>
      <c r="U12" s="17"/>
      <c r="V12" s="17"/>
      <c r="W12" s="17"/>
    </row>
    <row r="13" spans="1:23" s="20" customFormat="1" ht="14.25" customHeight="1">
      <c r="A13" s="991">
        <v>44525</v>
      </c>
      <c r="B13" s="76" t="s">
        <v>23</v>
      </c>
      <c r="C13" s="10" t="s">
        <v>6511</v>
      </c>
      <c r="D13" s="92" t="s">
        <v>8714</v>
      </c>
      <c r="E13" s="913" t="s">
        <v>8727</v>
      </c>
      <c r="F13" s="913" t="s">
        <v>8728</v>
      </c>
      <c r="G13" s="16">
        <v>1</v>
      </c>
      <c r="H13" s="92">
        <v>55000</v>
      </c>
      <c r="I13" s="17">
        <f t="shared" si="0"/>
        <v>55000</v>
      </c>
      <c r="J13" s="17">
        <f t="shared" si="3"/>
        <v>13750</v>
      </c>
      <c r="K13" s="18">
        <f t="shared" si="1"/>
        <v>41250</v>
      </c>
      <c r="L13" s="17"/>
      <c r="M13" s="17"/>
      <c r="N13" s="17">
        <f t="shared" si="2"/>
        <v>41250</v>
      </c>
      <c r="O13" s="76" t="s">
        <v>23</v>
      </c>
      <c r="P13" s="183"/>
      <c r="Q13" s="10" t="s">
        <v>40</v>
      </c>
      <c r="R13" s="739" t="s">
        <v>8716</v>
      </c>
      <c r="S13" s="13"/>
      <c r="T13" s="17"/>
      <c r="U13" s="17"/>
      <c r="V13" s="17"/>
      <c r="W13" s="17"/>
    </row>
    <row r="14" spans="1:23" s="20" customFormat="1" ht="14.25" customHeight="1">
      <c r="A14" s="991">
        <v>44525</v>
      </c>
      <c r="B14" s="76" t="s">
        <v>23</v>
      </c>
      <c r="C14" s="10" t="s">
        <v>6511</v>
      </c>
      <c r="D14" s="92" t="s">
        <v>8714</v>
      </c>
      <c r="E14" s="913" t="s">
        <v>8729</v>
      </c>
      <c r="F14" s="913" t="s">
        <v>8730</v>
      </c>
      <c r="G14" s="16">
        <v>1</v>
      </c>
      <c r="H14" s="92">
        <v>49000</v>
      </c>
      <c r="I14" s="17">
        <f t="shared" si="0"/>
        <v>49000</v>
      </c>
      <c r="J14" s="17">
        <f t="shared" si="3"/>
        <v>12250</v>
      </c>
      <c r="K14" s="18">
        <f t="shared" si="1"/>
        <v>36750</v>
      </c>
      <c r="L14" s="17"/>
      <c r="M14" s="17"/>
      <c r="N14" s="17">
        <f t="shared" si="2"/>
        <v>36750</v>
      </c>
      <c r="O14" s="76" t="s">
        <v>23</v>
      </c>
      <c r="P14" s="183"/>
      <c r="Q14" s="10" t="s">
        <v>40</v>
      </c>
      <c r="R14" s="739" t="s">
        <v>8716</v>
      </c>
      <c r="S14" s="13"/>
      <c r="T14" s="17"/>
      <c r="U14" s="17"/>
      <c r="V14" s="17"/>
      <c r="W14" s="17"/>
    </row>
    <row r="15" spans="1:23" s="20" customFormat="1" ht="14.25" customHeight="1">
      <c r="A15" s="991">
        <v>44525</v>
      </c>
      <c r="B15" s="76" t="s">
        <v>23</v>
      </c>
      <c r="C15" s="10" t="s">
        <v>6511</v>
      </c>
      <c r="D15" s="92" t="s">
        <v>8714</v>
      </c>
      <c r="E15" s="934" t="s">
        <v>3468</v>
      </c>
      <c r="F15" s="934" t="s">
        <v>3469</v>
      </c>
      <c r="G15" s="16">
        <v>1</v>
      </c>
      <c r="H15" s="92">
        <v>107000</v>
      </c>
      <c r="I15" s="17">
        <f t="shared" si="0"/>
        <v>107000</v>
      </c>
      <c r="J15" s="17">
        <f t="shared" si="3"/>
        <v>26750</v>
      </c>
      <c r="K15" s="18">
        <f t="shared" si="1"/>
        <v>80250</v>
      </c>
      <c r="L15" s="17"/>
      <c r="M15" s="17"/>
      <c r="N15" s="17">
        <f t="shared" si="2"/>
        <v>80250</v>
      </c>
      <c r="O15" s="76" t="s">
        <v>23</v>
      </c>
      <c r="P15" s="183"/>
      <c r="Q15" s="10" t="s">
        <v>40</v>
      </c>
      <c r="R15" s="739" t="s">
        <v>8716</v>
      </c>
      <c r="S15" s="13"/>
      <c r="T15" s="17"/>
      <c r="U15" s="17"/>
      <c r="V15" s="17"/>
      <c r="W15" s="17"/>
    </row>
    <row r="16" spans="1:23" s="20" customFormat="1" ht="14.25" customHeight="1">
      <c r="A16" s="991">
        <v>44525</v>
      </c>
      <c r="B16" s="76" t="s">
        <v>23</v>
      </c>
      <c r="C16" s="10" t="s">
        <v>8731</v>
      </c>
      <c r="D16" s="92" t="s">
        <v>31</v>
      </c>
      <c r="E16" s="966" t="s">
        <v>1107</v>
      </c>
      <c r="F16" s="966" t="s">
        <v>1108</v>
      </c>
      <c r="G16" s="16">
        <v>2</v>
      </c>
      <c r="H16" s="92">
        <v>118000</v>
      </c>
      <c r="I16" s="17">
        <f t="shared" si="0"/>
        <v>236000</v>
      </c>
      <c r="J16" s="17">
        <f>I16*30%</f>
        <v>70800</v>
      </c>
      <c r="K16" s="18">
        <f t="shared" si="1"/>
        <v>165200</v>
      </c>
      <c r="L16" s="17"/>
      <c r="M16" s="17"/>
      <c r="N16" s="17">
        <f t="shared" si="2"/>
        <v>165200</v>
      </c>
      <c r="O16" s="76" t="s">
        <v>23</v>
      </c>
      <c r="P16" s="72"/>
      <c r="Q16" s="10" t="s">
        <v>35</v>
      </c>
      <c r="R16" s="739" t="s">
        <v>8716</v>
      </c>
      <c r="S16" s="17"/>
      <c r="T16" s="17"/>
      <c r="U16" s="17"/>
      <c r="V16" s="17"/>
      <c r="W16" s="17"/>
    </row>
    <row r="17" spans="1:23" s="20" customFormat="1" ht="14.25" customHeight="1">
      <c r="A17" s="991">
        <v>44525</v>
      </c>
      <c r="B17" s="76" t="s">
        <v>23</v>
      </c>
      <c r="C17" s="10" t="s">
        <v>8731</v>
      </c>
      <c r="D17" s="92" t="s">
        <v>31</v>
      </c>
      <c r="E17" s="967" t="s">
        <v>8732</v>
      </c>
      <c r="F17" s="967" t="s">
        <v>8733</v>
      </c>
      <c r="G17" s="16">
        <v>2</v>
      </c>
      <c r="H17" s="92">
        <v>57000</v>
      </c>
      <c r="I17" s="17">
        <f t="shared" si="0"/>
        <v>114000</v>
      </c>
      <c r="J17" s="17">
        <f t="shared" ref="J17:J23" si="4">I17*30%</f>
        <v>34200</v>
      </c>
      <c r="K17" s="18">
        <f t="shared" si="1"/>
        <v>79800</v>
      </c>
      <c r="L17" s="17"/>
      <c r="M17" s="17"/>
      <c r="N17" s="17">
        <f t="shared" si="2"/>
        <v>79800</v>
      </c>
      <c r="O17" s="76" t="s">
        <v>23</v>
      </c>
      <c r="P17" s="183"/>
      <c r="Q17" s="10" t="s">
        <v>35</v>
      </c>
      <c r="R17" s="739" t="s">
        <v>8716</v>
      </c>
      <c r="S17" s="17"/>
      <c r="T17" s="17"/>
      <c r="U17" s="17"/>
      <c r="V17" s="17"/>
      <c r="W17" s="17"/>
    </row>
    <row r="18" spans="1:23" s="20" customFormat="1" ht="14.25" customHeight="1">
      <c r="A18" s="991">
        <v>44525</v>
      </c>
      <c r="B18" s="76" t="s">
        <v>23</v>
      </c>
      <c r="C18" s="10" t="s">
        <v>8731</v>
      </c>
      <c r="D18" s="92" t="s">
        <v>31</v>
      </c>
      <c r="E18" s="967" t="s">
        <v>2485</v>
      </c>
      <c r="F18" s="967" t="s">
        <v>2486</v>
      </c>
      <c r="G18" s="16">
        <v>2</v>
      </c>
      <c r="H18" s="92">
        <v>70000</v>
      </c>
      <c r="I18" s="17">
        <f t="shared" si="0"/>
        <v>140000</v>
      </c>
      <c r="J18" s="17">
        <f t="shared" si="4"/>
        <v>42000</v>
      </c>
      <c r="K18" s="18">
        <f t="shared" si="1"/>
        <v>98000</v>
      </c>
      <c r="L18" s="17"/>
      <c r="M18" s="17"/>
      <c r="N18" s="17">
        <f t="shared" si="2"/>
        <v>98000</v>
      </c>
      <c r="O18" s="76" t="s">
        <v>23</v>
      </c>
      <c r="P18" s="183"/>
      <c r="Q18" s="10" t="s">
        <v>35</v>
      </c>
      <c r="R18" s="739" t="s">
        <v>8716</v>
      </c>
      <c r="S18" s="17"/>
      <c r="T18" s="17"/>
      <c r="U18" s="17"/>
      <c r="V18" s="17"/>
      <c r="W18" s="17"/>
    </row>
    <row r="19" spans="1:23" s="20" customFormat="1" ht="14.25" customHeight="1">
      <c r="A19" s="991">
        <v>44525</v>
      </c>
      <c r="B19" s="76" t="s">
        <v>23</v>
      </c>
      <c r="C19" s="10" t="s">
        <v>8731</v>
      </c>
      <c r="D19" s="92" t="s">
        <v>31</v>
      </c>
      <c r="E19" s="967" t="s">
        <v>8734</v>
      </c>
      <c r="F19" s="967" t="s">
        <v>4727</v>
      </c>
      <c r="G19" s="16">
        <v>2</v>
      </c>
      <c r="H19" s="92">
        <v>105000</v>
      </c>
      <c r="I19" s="17">
        <f t="shared" si="0"/>
        <v>210000</v>
      </c>
      <c r="J19" s="17">
        <f t="shared" si="4"/>
        <v>63000</v>
      </c>
      <c r="K19" s="18">
        <f t="shared" si="1"/>
        <v>147000</v>
      </c>
      <c r="L19" s="17"/>
      <c r="M19" s="17"/>
      <c r="N19" s="17">
        <f t="shared" si="2"/>
        <v>147000</v>
      </c>
      <c r="O19" s="76" t="s">
        <v>23</v>
      </c>
      <c r="P19" s="183"/>
      <c r="Q19" s="10" t="s">
        <v>35</v>
      </c>
      <c r="R19" s="739" t="s">
        <v>8716</v>
      </c>
      <c r="S19" s="17"/>
      <c r="T19" s="17"/>
      <c r="U19" s="17"/>
      <c r="V19" s="17"/>
      <c r="W19" s="17"/>
    </row>
    <row r="20" spans="1:23" s="20" customFormat="1" ht="14.25" customHeight="1">
      <c r="A20" s="991">
        <v>44525</v>
      </c>
      <c r="B20" s="76" t="s">
        <v>23</v>
      </c>
      <c r="C20" s="10" t="s">
        <v>8731</v>
      </c>
      <c r="D20" s="92" t="s">
        <v>31</v>
      </c>
      <c r="E20" s="966" t="s">
        <v>8735</v>
      </c>
      <c r="F20" s="966" t="s">
        <v>8736</v>
      </c>
      <c r="G20" s="16">
        <v>2</v>
      </c>
      <c r="H20" s="92">
        <v>167000</v>
      </c>
      <c r="I20" s="17">
        <f t="shared" si="0"/>
        <v>334000</v>
      </c>
      <c r="J20" s="17">
        <f t="shared" si="4"/>
        <v>100200</v>
      </c>
      <c r="K20" s="18">
        <f t="shared" si="1"/>
        <v>233800</v>
      </c>
      <c r="L20" s="17"/>
      <c r="M20" s="17"/>
      <c r="N20" s="17">
        <f t="shared" si="2"/>
        <v>233800</v>
      </c>
      <c r="O20" s="76" t="s">
        <v>23</v>
      </c>
      <c r="P20" s="183"/>
      <c r="Q20" s="10" t="s">
        <v>35</v>
      </c>
      <c r="R20" s="739" t="s">
        <v>8716</v>
      </c>
      <c r="S20" s="17"/>
      <c r="T20" s="17"/>
      <c r="U20" s="17"/>
      <c r="V20" s="17"/>
      <c r="W20" s="17"/>
    </row>
    <row r="21" spans="1:23" s="20" customFormat="1" ht="14.25" customHeight="1">
      <c r="A21" s="991">
        <v>44525</v>
      </c>
      <c r="B21" s="76" t="s">
        <v>23</v>
      </c>
      <c r="C21" s="10" t="s">
        <v>8731</v>
      </c>
      <c r="D21" s="92" t="s">
        <v>31</v>
      </c>
      <c r="E21" s="967" t="s">
        <v>5188</v>
      </c>
      <c r="F21" s="967" t="s">
        <v>5189</v>
      </c>
      <c r="G21" s="16">
        <v>2</v>
      </c>
      <c r="H21" s="92">
        <v>75500</v>
      </c>
      <c r="I21" s="17">
        <f t="shared" si="0"/>
        <v>151000</v>
      </c>
      <c r="J21" s="17">
        <f t="shared" si="4"/>
        <v>45300</v>
      </c>
      <c r="K21" s="18">
        <f t="shared" si="1"/>
        <v>105700</v>
      </c>
      <c r="L21" s="17"/>
      <c r="M21" s="17"/>
      <c r="N21" s="17">
        <f t="shared" si="2"/>
        <v>105700</v>
      </c>
      <c r="O21" s="76" t="s">
        <v>23</v>
      </c>
      <c r="P21" s="183"/>
      <c r="Q21" s="10" t="s">
        <v>35</v>
      </c>
      <c r="R21" s="739" t="s">
        <v>8716</v>
      </c>
      <c r="S21" s="17"/>
      <c r="T21" s="17"/>
      <c r="U21" s="17"/>
      <c r="V21" s="17"/>
      <c r="W21" s="17"/>
    </row>
    <row r="22" spans="1:23" s="20" customFormat="1" ht="14.25" customHeight="1">
      <c r="A22" s="991">
        <v>44525</v>
      </c>
      <c r="B22" s="76" t="s">
        <v>23</v>
      </c>
      <c r="C22" s="10" t="s">
        <v>8731</v>
      </c>
      <c r="D22" s="92" t="s">
        <v>31</v>
      </c>
      <c r="E22" s="967" t="s">
        <v>1295</v>
      </c>
      <c r="F22" s="967" t="s">
        <v>1296</v>
      </c>
      <c r="G22" s="16">
        <v>2</v>
      </c>
      <c r="H22" s="92">
        <v>84000</v>
      </c>
      <c r="I22" s="17">
        <f t="shared" si="0"/>
        <v>168000</v>
      </c>
      <c r="J22" s="17">
        <f t="shared" si="4"/>
        <v>50400</v>
      </c>
      <c r="K22" s="18">
        <f t="shared" si="1"/>
        <v>117600</v>
      </c>
      <c r="L22" s="17"/>
      <c r="M22" s="17"/>
      <c r="N22" s="17">
        <f t="shared" si="2"/>
        <v>117600</v>
      </c>
      <c r="O22" s="76" t="s">
        <v>23</v>
      </c>
      <c r="P22" s="183"/>
      <c r="Q22" s="10" t="s">
        <v>35</v>
      </c>
      <c r="R22" s="739" t="s">
        <v>8716</v>
      </c>
      <c r="S22" s="17"/>
      <c r="T22" s="17"/>
      <c r="U22" s="17"/>
      <c r="V22" s="17"/>
      <c r="W22" s="17"/>
    </row>
    <row r="23" spans="1:23" s="20" customFormat="1" ht="14.25" customHeight="1">
      <c r="A23" s="991">
        <v>44525</v>
      </c>
      <c r="B23" s="76" t="s">
        <v>23</v>
      </c>
      <c r="C23" s="10" t="s">
        <v>8731</v>
      </c>
      <c r="D23" s="92" t="s">
        <v>31</v>
      </c>
      <c r="E23" s="967" t="s">
        <v>252</v>
      </c>
      <c r="F23" s="967" t="s">
        <v>253</v>
      </c>
      <c r="G23" s="16">
        <v>2</v>
      </c>
      <c r="H23" s="92">
        <v>82500</v>
      </c>
      <c r="I23" s="17">
        <f t="shared" si="0"/>
        <v>165000</v>
      </c>
      <c r="J23" s="17">
        <f t="shared" si="4"/>
        <v>49500</v>
      </c>
      <c r="K23" s="18">
        <f t="shared" si="1"/>
        <v>115500</v>
      </c>
      <c r="L23" s="17"/>
      <c r="M23" s="17"/>
      <c r="N23" s="17">
        <f t="shared" si="2"/>
        <v>115500</v>
      </c>
      <c r="O23" s="76" t="s">
        <v>23</v>
      </c>
      <c r="P23" s="183"/>
      <c r="Q23" s="10" t="s">
        <v>35</v>
      </c>
      <c r="R23" s="739" t="s">
        <v>8716</v>
      </c>
      <c r="S23" s="17"/>
      <c r="T23" s="17"/>
      <c r="U23" s="17"/>
      <c r="V23" s="17"/>
      <c r="W23" s="17"/>
    </row>
    <row r="24" spans="1:23" s="20" customFormat="1" ht="14.25" customHeight="1">
      <c r="A24" s="991">
        <v>44525</v>
      </c>
      <c r="B24" s="76" t="s">
        <v>23</v>
      </c>
      <c r="C24" s="10" t="s">
        <v>8737</v>
      </c>
      <c r="D24" s="29" t="s">
        <v>8738</v>
      </c>
      <c r="E24" s="911" t="s">
        <v>728</v>
      </c>
      <c r="F24" s="911" t="s">
        <v>729</v>
      </c>
      <c r="G24" s="16">
        <v>1</v>
      </c>
      <c r="H24" s="92">
        <v>70000</v>
      </c>
      <c r="I24" s="17">
        <f t="shared" si="0"/>
        <v>70000</v>
      </c>
      <c r="J24" s="17"/>
      <c r="K24" s="18">
        <f t="shared" si="1"/>
        <v>70000</v>
      </c>
      <c r="L24" s="17">
        <v>30000</v>
      </c>
      <c r="M24" s="17"/>
      <c r="N24" s="17">
        <f t="shared" si="2"/>
        <v>100000</v>
      </c>
      <c r="O24" s="76" t="s">
        <v>23</v>
      </c>
      <c r="P24" s="183"/>
      <c r="Q24" s="10" t="s">
        <v>40</v>
      </c>
      <c r="R24" s="76" t="s">
        <v>8711</v>
      </c>
      <c r="S24" s="17"/>
      <c r="T24" s="17"/>
      <c r="U24" s="17"/>
      <c r="V24" s="17"/>
      <c r="W24" s="17"/>
    </row>
    <row r="25" spans="1:23" s="20" customFormat="1" ht="14.25" customHeight="1">
      <c r="A25" s="991">
        <v>44525</v>
      </c>
      <c r="B25" s="76" t="s">
        <v>23</v>
      </c>
      <c r="C25" s="10" t="s">
        <v>8737</v>
      </c>
      <c r="D25" s="29" t="s">
        <v>8738</v>
      </c>
      <c r="E25" s="911" t="s">
        <v>8739</v>
      </c>
      <c r="F25" s="911" t="s">
        <v>8740</v>
      </c>
      <c r="G25" s="16">
        <v>1</v>
      </c>
      <c r="H25" s="92">
        <v>72000</v>
      </c>
      <c r="I25" s="17">
        <f t="shared" si="0"/>
        <v>72000</v>
      </c>
      <c r="J25" s="17"/>
      <c r="K25" s="18">
        <f t="shared" si="1"/>
        <v>72000</v>
      </c>
      <c r="L25" s="17"/>
      <c r="M25" s="17"/>
      <c r="N25" s="17">
        <f t="shared" si="2"/>
        <v>72000</v>
      </c>
      <c r="O25" s="76" t="s">
        <v>23</v>
      </c>
      <c r="P25" s="183"/>
      <c r="Q25" s="10" t="s">
        <v>40</v>
      </c>
      <c r="R25" s="76" t="s">
        <v>8711</v>
      </c>
      <c r="S25" s="17"/>
      <c r="T25" s="17"/>
      <c r="U25" s="17"/>
      <c r="V25" s="17"/>
      <c r="W25" s="17"/>
    </row>
    <row r="26" spans="1:23" s="20" customFormat="1" ht="14.25" customHeight="1">
      <c r="A26" s="991">
        <v>44525</v>
      </c>
      <c r="B26" s="76" t="s">
        <v>23</v>
      </c>
      <c r="C26" s="10" t="s">
        <v>8737</v>
      </c>
      <c r="D26" s="29" t="s">
        <v>8738</v>
      </c>
      <c r="E26" s="912" t="s">
        <v>3532</v>
      </c>
      <c r="F26" s="912" t="s">
        <v>3533</v>
      </c>
      <c r="G26" s="16">
        <v>1</v>
      </c>
      <c r="H26" s="92">
        <v>114000</v>
      </c>
      <c r="I26" s="17">
        <f t="shared" si="0"/>
        <v>114000</v>
      </c>
      <c r="J26" s="17"/>
      <c r="K26" s="18">
        <f t="shared" si="1"/>
        <v>114000</v>
      </c>
      <c r="L26" s="17"/>
      <c r="M26" s="17"/>
      <c r="N26" s="17">
        <f t="shared" si="2"/>
        <v>114000</v>
      </c>
      <c r="O26" s="76" t="s">
        <v>23</v>
      </c>
      <c r="P26" s="183"/>
      <c r="Q26" s="10" t="s">
        <v>40</v>
      </c>
      <c r="R26" s="76" t="s">
        <v>8711</v>
      </c>
      <c r="S26" s="17"/>
      <c r="T26" s="17"/>
      <c r="U26" s="17"/>
      <c r="V26" s="17"/>
      <c r="W26" s="17"/>
    </row>
    <row r="27" spans="1:23" s="20" customFormat="1" ht="14.25" customHeight="1">
      <c r="A27" s="991">
        <v>44525</v>
      </c>
      <c r="B27" s="76" t="s">
        <v>23</v>
      </c>
      <c r="C27" s="10" t="s">
        <v>8737</v>
      </c>
      <c r="D27" s="29" t="s">
        <v>8738</v>
      </c>
      <c r="E27" s="911" t="s">
        <v>8741</v>
      </c>
      <c r="F27" s="911" t="s">
        <v>404</v>
      </c>
      <c r="G27" s="16">
        <v>1</v>
      </c>
      <c r="H27" s="92">
        <v>97500</v>
      </c>
      <c r="I27" s="17">
        <f t="shared" si="0"/>
        <v>97500</v>
      </c>
      <c r="J27" s="17"/>
      <c r="K27" s="18">
        <f t="shared" si="1"/>
        <v>97500</v>
      </c>
      <c r="L27" s="17"/>
      <c r="M27" s="17"/>
      <c r="N27" s="17">
        <f t="shared" si="2"/>
        <v>97500</v>
      </c>
      <c r="O27" s="76" t="s">
        <v>23</v>
      </c>
      <c r="P27" s="72"/>
      <c r="Q27" s="10" t="s">
        <v>40</v>
      </c>
      <c r="R27" s="76" t="s">
        <v>8711</v>
      </c>
      <c r="S27" s="17"/>
      <c r="T27" s="17"/>
      <c r="U27" s="17"/>
      <c r="V27" s="17"/>
      <c r="W27" s="17"/>
    </row>
    <row r="28" spans="1:23" s="20" customFormat="1" ht="14.25" customHeight="1">
      <c r="A28" s="991">
        <v>44525</v>
      </c>
      <c r="B28" s="76" t="s">
        <v>23</v>
      </c>
      <c r="C28" s="10" t="s">
        <v>8737</v>
      </c>
      <c r="D28" s="29" t="s">
        <v>8738</v>
      </c>
      <c r="E28" s="912" t="s">
        <v>8742</v>
      </c>
      <c r="F28" s="912" t="s">
        <v>404</v>
      </c>
      <c r="G28" s="16">
        <v>1</v>
      </c>
      <c r="H28" s="92">
        <v>170000</v>
      </c>
      <c r="I28" s="17">
        <f t="shared" si="0"/>
        <v>170000</v>
      </c>
      <c r="J28" s="17"/>
      <c r="K28" s="18">
        <f t="shared" si="1"/>
        <v>170000</v>
      </c>
      <c r="L28" s="17"/>
      <c r="M28" s="17"/>
      <c r="N28" s="17">
        <f t="shared" si="2"/>
        <v>170000</v>
      </c>
      <c r="O28" s="76" t="s">
        <v>23</v>
      </c>
      <c r="P28" s="72"/>
      <c r="Q28" s="10" t="s">
        <v>40</v>
      </c>
      <c r="R28" s="76" t="s">
        <v>8711</v>
      </c>
      <c r="S28" s="17"/>
      <c r="T28" s="17"/>
      <c r="U28" s="17"/>
      <c r="V28" s="17"/>
      <c r="W28" s="17"/>
    </row>
    <row r="29" spans="1:23" s="20" customFormat="1" ht="14.25" customHeight="1">
      <c r="A29" s="991">
        <v>44525</v>
      </c>
      <c r="B29" s="76" t="s">
        <v>23</v>
      </c>
      <c r="C29" s="10" t="s">
        <v>8737</v>
      </c>
      <c r="D29" s="29" t="s">
        <v>8738</v>
      </c>
      <c r="E29" s="912" t="s">
        <v>8743</v>
      </c>
      <c r="F29" s="912" t="s">
        <v>3533</v>
      </c>
      <c r="G29" s="16">
        <v>1</v>
      </c>
      <c r="H29" s="92">
        <v>138000</v>
      </c>
      <c r="I29" s="17">
        <f t="shared" si="0"/>
        <v>138000</v>
      </c>
      <c r="J29" s="17"/>
      <c r="K29" s="18">
        <f t="shared" si="1"/>
        <v>138000</v>
      </c>
      <c r="L29" s="17"/>
      <c r="M29" s="17"/>
      <c r="N29" s="17">
        <f t="shared" si="2"/>
        <v>138000</v>
      </c>
      <c r="O29" s="76" t="s">
        <v>23</v>
      </c>
      <c r="P29" s="72"/>
      <c r="Q29" s="10" t="s">
        <v>40</v>
      </c>
      <c r="R29" s="76" t="s">
        <v>8711</v>
      </c>
      <c r="S29" s="17"/>
      <c r="T29" s="17"/>
      <c r="U29" s="17"/>
      <c r="V29" s="17"/>
      <c r="W29" s="17"/>
    </row>
    <row r="30" spans="1:23" s="20" customFormat="1" ht="14.25" customHeight="1">
      <c r="A30" s="991">
        <v>44525</v>
      </c>
      <c r="B30" s="76" t="s">
        <v>43</v>
      </c>
      <c r="C30" s="11" t="s">
        <v>8744</v>
      </c>
      <c r="D30" s="29" t="s">
        <v>8745</v>
      </c>
      <c r="E30" s="739" t="s">
        <v>8746</v>
      </c>
      <c r="F30" s="739" t="s">
        <v>8747</v>
      </c>
      <c r="G30" s="16">
        <v>1</v>
      </c>
      <c r="H30" s="92">
        <v>59000</v>
      </c>
      <c r="I30" s="17">
        <f t="shared" si="0"/>
        <v>59000</v>
      </c>
      <c r="J30" s="17"/>
      <c r="K30" s="18">
        <f t="shared" si="1"/>
        <v>59000</v>
      </c>
      <c r="L30" s="17"/>
      <c r="M30" s="17">
        <v>-3304</v>
      </c>
      <c r="N30" s="17">
        <f t="shared" si="2"/>
        <v>55696</v>
      </c>
      <c r="O30" s="76" t="s">
        <v>43</v>
      </c>
      <c r="P30" s="282"/>
      <c r="Q30" s="10" t="s">
        <v>176</v>
      </c>
      <c r="R30" s="76" t="s">
        <v>8711</v>
      </c>
      <c r="S30" s="17"/>
      <c r="T30" s="17"/>
      <c r="U30" s="17"/>
      <c r="V30" s="17"/>
      <c r="W30" s="17"/>
    </row>
    <row r="31" spans="1:23" s="20" customFormat="1" ht="14.25" customHeight="1">
      <c r="A31" s="991">
        <v>44525</v>
      </c>
      <c r="B31" s="76" t="s">
        <v>177</v>
      </c>
      <c r="C31" s="10" t="s">
        <v>8748</v>
      </c>
      <c r="D31" s="29" t="s">
        <v>8749</v>
      </c>
      <c r="E31" s="739" t="s">
        <v>6381</v>
      </c>
      <c r="F31" s="739" t="s">
        <v>6382</v>
      </c>
      <c r="G31" s="16">
        <v>1</v>
      </c>
      <c r="H31" s="92">
        <v>153000</v>
      </c>
      <c r="I31" s="17">
        <f t="shared" si="0"/>
        <v>153000</v>
      </c>
      <c r="J31" s="17"/>
      <c r="K31" s="18">
        <f t="shared" si="1"/>
        <v>153000</v>
      </c>
      <c r="L31" s="17">
        <v>1000</v>
      </c>
      <c r="M31" s="17"/>
      <c r="N31" s="17">
        <f t="shared" si="2"/>
        <v>154000</v>
      </c>
      <c r="O31" s="76" t="s">
        <v>177</v>
      </c>
      <c r="P31" s="183"/>
      <c r="Q31" s="10" t="s">
        <v>54</v>
      </c>
      <c r="R31" s="76" t="s">
        <v>8711</v>
      </c>
      <c r="S31" s="17"/>
      <c r="T31" s="17"/>
      <c r="U31" s="17"/>
      <c r="V31" s="17"/>
      <c r="W31" s="17"/>
    </row>
    <row r="32" spans="1:23" s="20" customFormat="1" ht="14.25" customHeight="1">
      <c r="A32" s="991">
        <v>44525</v>
      </c>
      <c r="B32" s="76" t="s">
        <v>177</v>
      </c>
      <c r="C32" s="76" t="s">
        <v>8750</v>
      </c>
      <c r="D32" s="29" t="s">
        <v>8751</v>
      </c>
      <c r="E32" s="739" t="s">
        <v>3439</v>
      </c>
      <c r="F32" s="739" t="s">
        <v>3440</v>
      </c>
      <c r="G32" s="16">
        <v>1</v>
      </c>
      <c r="H32" s="92">
        <v>108000</v>
      </c>
      <c r="I32" s="17">
        <f t="shared" si="0"/>
        <v>108000</v>
      </c>
      <c r="J32" s="17"/>
      <c r="K32" s="18">
        <f t="shared" si="1"/>
        <v>108000</v>
      </c>
      <c r="L32" s="17">
        <v>9000</v>
      </c>
      <c r="M32" s="17"/>
      <c r="N32" s="17">
        <f t="shared" si="2"/>
        <v>117000</v>
      </c>
      <c r="O32" s="76" t="s">
        <v>177</v>
      </c>
      <c r="P32" s="183"/>
      <c r="Q32" s="10" t="s">
        <v>54</v>
      </c>
      <c r="R32" s="76" t="s">
        <v>8711</v>
      </c>
      <c r="S32" s="17"/>
      <c r="T32" s="17"/>
      <c r="U32" s="17"/>
      <c r="V32" s="17"/>
      <c r="W32" s="17"/>
    </row>
    <row r="33" spans="1:23" s="20" customFormat="1" ht="14.25" customHeight="1">
      <c r="A33" s="991">
        <v>44526</v>
      </c>
      <c r="B33" s="76" t="s">
        <v>206</v>
      </c>
      <c r="C33" s="10" t="s">
        <v>8752</v>
      </c>
      <c r="D33" s="770" t="s">
        <v>8753</v>
      </c>
      <c r="E33" s="76" t="s">
        <v>1457</v>
      </c>
      <c r="F33" s="76" t="s">
        <v>4971</v>
      </c>
      <c r="G33" s="16">
        <v>1</v>
      </c>
      <c r="H33" s="92">
        <v>111500</v>
      </c>
      <c r="I33" s="17">
        <f t="shared" si="0"/>
        <v>111500</v>
      </c>
      <c r="J33" s="17"/>
      <c r="K33" s="18">
        <f t="shared" si="1"/>
        <v>111500</v>
      </c>
      <c r="L33" s="17">
        <f>51000-40700</f>
        <v>10300</v>
      </c>
      <c r="M33" s="17"/>
      <c r="N33" s="17">
        <f t="shared" si="2"/>
        <v>121800</v>
      </c>
      <c r="O33" s="76" t="s">
        <v>206</v>
      </c>
      <c r="P33" s="72"/>
      <c r="Q33" s="1024" t="s">
        <v>176</v>
      </c>
      <c r="R33" s="739" t="s">
        <v>8716</v>
      </c>
      <c r="S33" s="17"/>
      <c r="T33" s="17"/>
      <c r="U33" s="17"/>
      <c r="V33" s="17"/>
      <c r="W33" s="17"/>
    </row>
    <row r="34" spans="1:23" s="20" customFormat="1" ht="14.25" customHeight="1">
      <c r="A34" s="991">
        <v>44526</v>
      </c>
      <c r="B34" s="76" t="s">
        <v>43</v>
      </c>
      <c r="C34" s="10" t="s">
        <v>8754</v>
      </c>
      <c r="D34" s="29" t="s">
        <v>8755</v>
      </c>
      <c r="E34" s="76" t="s">
        <v>4889</v>
      </c>
      <c r="F34" s="76" t="s">
        <v>4890</v>
      </c>
      <c r="G34" s="16">
        <v>1</v>
      </c>
      <c r="H34" s="92">
        <v>81500</v>
      </c>
      <c r="I34" s="17">
        <f t="shared" si="0"/>
        <v>81500</v>
      </c>
      <c r="J34" s="17"/>
      <c r="K34" s="18">
        <f t="shared" si="1"/>
        <v>81500</v>
      </c>
      <c r="L34" s="17">
        <v>11000</v>
      </c>
      <c r="M34" s="17">
        <v>-4564</v>
      </c>
      <c r="N34" s="17">
        <f t="shared" si="2"/>
        <v>87936</v>
      </c>
      <c r="O34" s="76" t="s">
        <v>43</v>
      </c>
      <c r="P34" s="282"/>
      <c r="Q34" s="10" t="s">
        <v>54</v>
      </c>
      <c r="R34" s="739" t="s">
        <v>8716</v>
      </c>
      <c r="S34" s="17"/>
      <c r="T34" s="17"/>
      <c r="U34" s="17"/>
      <c r="V34" s="17"/>
      <c r="W34" s="17"/>
    </row>
    <row r="35" spans="1:23" s="20" customFormat="1" ht="14.25" customHeight="1">
      <c r="A35" s="991">
        <v>44526</v>
      </c>
      <c r="B35" s="76" t="s">
        <v>43</v>
      </c>
      <c r="C35" s="10" t="s">
        <v>8756</v>
      </c>
      <c r="D35" s="29" t="s">
        <v>8757</v>
      </c>
      <c r="E35" s="76" t="s">
        <v>6669</v>
      </c>
      <c r="F35" s="76" t="s">
        <v>6670</v>
      </c>
      <c r="G35" s="16">
        <v>1</v>
      </c>
      <c r="H35" s="92">
        <v>81500</v>
      </c>
      <c r="I35" s="17">
        <f t="shared" si="0"/>
        <v>81500</v>
      </c>
      <c r="J35" s="17"/>
      <c r="K35" s="18">
        <f t="shared" si="1"/>
        <v>81500</v>
      </c>
      <c r="L35" s="17">
        <v>1000</v>
      </c>
      <c r="M35" s="17">
        <v>-4564</v>
      </c>
      <c r="N35" s="17">
        <f t="shared" si="2"/>
        <v>77936</v>
      </c>
      <c r="O35" s="76" t="s">
        <v>43</v>
      </c>
      <c r="P35" s="72"/>
      <c r="Q35" s="10" t="s">
        <v>176</v>
      </c>
      <c r="R35" s="739" t="s">
        <v>8716</v>
      </c>
      <c r="S35" s="17"/>
      <c r="T35" s="17"/>
      <c r="U35" s="17"/>
      <c r="V35" s="17"/>
      <c r="W35" s="17"/>
    </row>
    <row r="36" spans="1:23" s="20" customFormat="1" ht="14.25" customHeight="1">
      <c r="A36" s="991">
        <v>44526</v>
      </c>
      <c r="B36" s="76" t="s">
        <v>23</v>
      </c>
      <c r="C36" s="10" t="s">
        <v>8758</v>
      </c>
      <c r="D36" s="29" t="s">
        <v>6734</v>
      </c>
      <c r="E36" s="748" t="s">
        <v>8759</v>
      </c>
      <c r="F36" s="748" t="s">
        <v>8760</v>
      </c>
      <c r="G36" s="16">
        <v>1</v>
      </c>
      <c r="H36" s="92">
        <v>75000</v>
      </c>
      <c r="I36" s="17">
        <f t="shared" si="0"/>
        <v>75000</v>
      </c>
      <c r="J36" s="17">
        <f>I36*25%</f>
        <v>18750</v>
      </c>
      <c r="K36" s="18">
        <f t="shared" si="1"/>
        <v>56250</v>
      </c>
      <c r="L36" s="17">
        <v>85000</v>
      </c>
      <c r="M36" s="17"/>
      <c r="N36" s="17">
        <f t="shared" si="2"/>
        <v>141250</v>
      </c>
      <c r="O36" s="76" t="s">
        <v>23</v>
      </c>
      <c r="P36" s="72"/>
      <c r="Q36" s="10" t="s">
        <v>40</v>
      </c>
      <c r="R36" s="739" t="s">
        <v>8716</v>
      </c>
      <c r="S36" s="17"/>
      <c r="T36" s="17"/>
      <c r="U36" s="17"/>
      <c r="V36" s="17"/>
      <c r="W36" s="17"/>
    </row>
    <row r="37" spans="1:23" s="20" customFormat="1" ht="14.25" customHeight="1">
      <c r="A37" s="991">
        <v>44526</v>
      </c>
      <c r="B37" s="76" t="s">
        <v>23</v>
      </c>
      <c r="C37" s="10" t="s">
        <v>8758</v>
      </c>
      <c r="D37" s="29" t="s">
        <v>6734</v>
      </c>
      <c r="E37" s="748" t="s">
        <v>8761</v>
      </c>
      <c r="F37" s="748" t="s">
        <v>1526</v>
      </c>
      <c r="G37" s="16">
        <v>1</v>
      </c>
      <c r="H37" s="92">
        <v>61000</v>
      </c>
      <c r="I37" s="17">
        <f t="shared" si="0"/>
        <v>61000</v>
      </c>
      <c r="J37" s="17">
        <f t="shared" ref="J37:J45" si="5">I37*25%</f>
        <v>15250</v>
      </c>
      <c r="K37" s="18">
        <f t="shared" si="1"/>
        <v>45750</v>
      </c>
      <c r="L37" s="17"/>
      <c r="M37" s="17"/>
      <c r="N37" s="17">
        <f t="shared" si="2"/>
        <v>45750</v>
      </c>
      <c r="O37" s="76" t="s">
        <v>23</v>
      </c>
      <c r="P37" s="72"/>
      <c r="Q37" s="10" t="s">
        <v>40</v>
      </c>
      <c r="R37" s="739" t="s">
        <v>8716</v>
      </c>
      <c r="S37" s="17"/>
      <c r="T37" s="17"/>
      <c r="U37" s="17"/>
      <c r="V37" s="17"/>
      <c r="W37" s="17"/>
    </row>
    <row r="38" spans="1:23" s="20" customFormat="1" ht="14.25" customHeight="1">
      <c r="A38" s="991">
        <v>44526</v>
      </c>
      <c r="B38" s="76" t="s">
        <v>23</v>
      </c>
      <c r="C38" s="10" t="s">
        <v>8758</v>
      </c>
      <c r="D38" s="29" t="s">
        <v>6734</v>
      </c>
      <c r="E38" s="748" t="s">
        <v>8762</v>
      </c>
      <c r="F38" s="748" t="s">
        <v>8763</v>
      </c>
      <c r="G38" s="16">
        <v>1</v>
      </c>
      <c r="H38" s="92">
        <v>22000</v>
      </c>
      <c r="I38" s="17">
        <f t="shared" si="0"/>
        <v>22000</v>
      </c>
      <c r="J38" s="17">
        <f t="shared" si="5"/>
        <v>5500</v>
      </c>
      <c r="K38" s="18">
        <f t="shared" si="1"/>
        <v>16500</v>
      </c>
      <c r="L38" s="17"/>
      <c r="M38" s="17"/>
      <c r="N38" s="17">
        <f t="shared" si="2"/>
        <v>16500</v>
      </c>
      <c r="O38" s="76" t="s">
        <v>23</v>
      </c>
      <c r="P38" s="72"/>
      <c r="Q38" s="10" t="s">
        <v>40</v>
      </c>
      <c r="R38" s="739" t="s">
        <v>8716</v>
      </c>
      <c r="S38" s="17"/>
      <c r="T38" s="17"/>
      <c r="U38" s="17"/>
      <c r="V38" s="17"/>
      <c r="W38" s="17"/>
    </row>
    <row r="39" spans="1:23" s="20" customFormat="1" ht="14.25" customHeight="1">
      <c r="A39" s="991">
        <v>44526</v>
      </c>
      <c r="B39" s="76" t="s">
        <v>23</v>
      </c>
      <c r="C39" s="10" t="s">
        <v>8758</v>
      </c>
      <c r="D39" s="29" t="s">
        <v>6734</v>
      </c>
      <c r="E39" s="748" t="s">
        <v>8764</v>
      </c>
      <c r="F39" s="748" t="s">
        <v>8765</v>
      </c>
      <c r="G39" s="16">
        <v>1</v>
      </c>
      <c r="H39" s="92">
        <v>174000</v>
      </c>
      <c r="I39" s="17">
        <f t="shared" si="0"/>
        <v>174000</v>
      </c>
      <c r="J39" s="17">
        <f t="shared" si="5"/>
        <v>43500</v>
      </c>
      <c r="K39" s="18">
        <f t="shared" si="1"/>
        <v>130500</v>
      </c>
      <c r="L39" s="17"/>
      <c r="M39" s="17"/>
      <c r="N39" s="17">
        <f t="shared" si="2"/>
        <v>130500</v>
      </c>
      <c r="O39" s="76" t="s">
        <v>23</v>
      </c>
      <c r="P39" s="72"/>
      <c r="Q39" s="10" t="s">
        <v>40</v>
      </c>
      <c r="R39" s="739" t="s">
        <v>8716</v>
      </c>
      <c r="S39" s="17"/>
      <c r="T39" s="17"/>
      <c r="U39" s="17"/>
      <c r="V39" s="17"/>
      <c r="W39" s="17"/>
    </row>
    <row r="40" spans="1:23" s="20" customFormat="1" ht="14.25" customHeight="1">
      <c r="A40" s="991">
        <v>44526</v>
      </c>
      <c r="B40" s="76" t="s">
        <v>23</v>
      </c>
      <c r="C40" s="10" t="s">
        <v>8758</v>
      </c>
      <c r="D40" s="29" t="s">
        <v>6734</v>
      </c>
      <c r="E40" s="748" t="s">
        <v>8766</v>
      </c>
      <c r="F40" s="748" t="s">
        <v>8767</v>
      </c>
      <c r="G40" s="16">
        <v>1</v>
      </c>
      <c r="H40" s="92">
        <v>161000</v>
      </c>
      <c r="I40" s="17">
        <f t="shared" si="0"/>
        <v>161000</v>
      </c>
      <c r="J40" s="17">
        <f t="shared" si="5"/>
        <v>40250</v>
      </c>
      <c r="K40" s="18">
        <f t="shared" si="1"/>
        <v>120750</v>
      </c>
      <c r="L40" s="17"/>
      <c r="M40" s="17"/>
      <c r="N40" s="17">
        <f t="shared" si="2"/>
        <v>120750</v>
      </c>
      <c r="O40" s="76" t="s">
        <v>23</v>
      </c>
      <c r="P40" s="72"/>
      <c r="Q40" s="10" t="s">
        <v>40</v>
      </c>
      <c r="R40" s="739" t="s">
        <v>8716</v>
      </c>
      <c r="S40" s="17"/>
      <c r="T40" s="17"/>
      <c r="U40" s="17"/>
      <c r="V40" s="17"/>
      <c r="W40" s="17"/>
    </row>
    <row r="41" spans="1:23" s="20" customFormat="1" ht="14.25" customHeight="1">
      <c r="A41" s="991">
        <v>44526</v>
      </c>
      <c r="B41" s="76" t="s">
        <v>23</v>
      </c>
      <c r="C41" s="10" t="s">
        <v>8758</v>
      </c>
      <c r="D41" s="29" t="s">
        <v>6734</v>
      </c>
      <c r="E41" s="748" t="s">
        <v>8768</v>
      </c>
      <c r="F41" s="748" t="s">
        <v>8769</v>
      </c>
      <c r="G41" s="16">
        <v>1</v>
      </c>
      <c r="H41" s="92">
        <v>52000</v>
      </c>
      <c r="I41" s="17">
        <f t="shared" si="0"/>
        <v>52000</v>
      </c>
      <c r="J41" s="17">
        <f t="shared" si="5"/>
        <v>13000</v>
      </c>
      <c r="K41" s="18">
        <f t="shared" si="1"/>
        <v>39000</v>
      </c>
      <c r="L41" s="17"/>
      <c r="M41" s="17"/>
      <c r="N41" s="17">
        <f t="shared" si="2"/>
        <v>39000</v>
      </c>
      <c r="O41" s="76" t="s">
        <v>23</v>
      </c>
      <c r="P41" s="72"/>
      <c r="Q41" s="10" t="s">
        <v>40</v>
      </c>
      <c r="R41" s="739" t="s">
        <v>8716</v>
      </c>
      <c r="S41" s="17"/>
      <c r="T41" s="17"/>
      <c r="U41" s="17"/>
      <c r="V41" s="17"/>
      <c r="W41" s="17"/>
    </row>
    <row r="42" spans="1:23" s="20" customFormat="1" ht="14.25" customHeight="1">
      <c r="A42" s="991">
        <v>44526</v>
      </c>
      <c r="B42" s="76" t="s">
        <v>23</v>
      </c>
      <c r="C42" s="10" t="s">
        <v>8758</v>
      </c>
      <c r="D42" s="29" t="s">
        <v>6734</v>
      </c>
      <c r="E42" s="748" t="s">
        <v>8770</v>
      </c>
      <c r="F42" s="748" t="s">
        <v>8771</v>
      </c>
      <c r="G42" s="16">
        <v>1</v>
      </c>
      <c r="H42" s="92">
        <v>52000</v>
      </c>
      <c r="I42" s="17">
        <f t="shared" si="0"/>
        <v>52000</v>
      </c>
      <c r="J42" s="17">
        <f t="shared" si="5"/>
        <v>13000</v>
      </c>
      <c r="K42" s="18">
        <f t="shared" si="1"/>
        <v>39000</v>
      </c>
      <c r="L42" s="17"/>
      <c r="M42" s="17"/>
      <c r="N42" s="17">
        <f t="shared" si="2"/>
        <v>39000</v>
      </c>
      <c r="O42" s="76" t="s">
        <v>23</v>
      </c>
      <c r="P42" s="72"/>
      <c r="Q42" s="10" t="s">
        <v>40</v>
      </c>
      <c r="R42" s="739" t="s">
        <v>8716</v>
      </c>
      <c r="S42" s="17"/>
      <c r="T42" s="17"/>
      <c r="U42" s="17"/>
      <c r="V42" s="17"/>
      <c r="W42" s="17"/>
    </row>
    <row r="43" spans="1:23" s="20" customFormat="1" ht="14.25" customHeight="1">
      <c r="A43" s="991">
        <v>44526</v>
      </c>
      <c r="B43" s="76" t="s">
        <v>23</v>
      </c>
      <c r="C43" s="10" t="s">
        <v>8758</v>
      </c>
      <c r="D43" s="29" t="s">
        <v>6734</v>
      </c>
      <c r="E43" s="748" t="s">
        <v>8772</v>
      </c>
      <c r="F43" s="748" t="s">
        <v>8773</v>
      </c>
      <c r="G43" s="16">
        <v>1</v>
      </c>
      <c r="H43" s="92">
        <v>69000</v>
      </c>
      <c r="I43" s="17">
        <f t="shared" si="0"/>
        <v>69000</v>
      </c>
      <c r="J43" s="17">
        <f t="shared" si="5"/>
        <v>17250</v>
      </c>
      <c r="K43" s="18">
        <f t="shared" si="1"/>
        <v>51750</v>
      </c>
      <c r="L43" s="17"/>
      <c r="M43" s="17"/>
      <c r="N43" s="17">
        <f t="shared" si="2"/>
        <v>51750</v>
      </c>
      <c r="O43" s="76" t="s">
        <v>23</v>
      </c>
      <c r="P43" s="72"/>
      <c r="Q43" s="10" t="s">
        <v>40</v>
      </c>
      <c r="R43" s="739" t="s">
        <v>8716</v>
      </c>
      <c r="S43" s="17"/>
      <c r="T43" s="17"/>
      <c r="U43" s="17"/>
      <c r="V43" s="17"/>
      <c r="W43" s="17"/>
    </row>
    <row r="44" spans="1:23" s="20" customFormat="1" ht="14.25" customHeight="1">
      <c r="A44" s="991">
        <v>44526</v>
      </c>
      <c r="B44" s="76" t="s">
        <v>23</v>
      </c>
      <c r="C44" s="10" t="s">
        <v>8758</v>
      </c>
      <c r="D44" s="29" t="s">
        <v>6734</v>
      </c>
      <c r="E44" s="748" t="s">
        <v>8774</v>
      </c>
      <c r="F44" s="748" t="s">
        <v>8775</v>
      </c>
      <c r="G44" s="16">
        <v>1</v>
      </c>
      <c r="H44" s="92">
        <v>48000</v>
      </c>
      <c r="I44" s="17">
        <f t="shared" si="0"/>
        <v>48000</v>
      </c>
      <c r="J44" s="17">
        <f t="shared" si="5"/>
        <v>12000</v>
      </c>
      <c r="K44" s="18">
        <f t="shared" si="1"/>
        <v>36000</v>
      </c>
      <c r="L44" s="17"/>
      <c r="M44" s="17"/>
      <c r="N44" s="17">
        <f t="shared" si="2"/>
        <v>36000</v>
      </c>
      <c r="O44" s="76" t="s">
        <v>23</v>
      </c>
      <c r="P44" s="183"/>
      <c r="Q44" s="10" t="s">
        <v>40</v>
      </c>
      <c r="R44" s="739" t="s">
        <v>8716</v>
      </c>
      <c r="S44" s="13"/>
      <c r="T44" s="17"/>
      <c r="U44" s="17"/>
      <c r="V44" s="17"/>
      <c r="W44" s="17"/>
    </row>
    <row r="45" spans="1:23" s="20" customFormat="1" ht="14.25" customHeight="1">
      <c r="A45" s="991">
        <v>44526</v>
      </c>
      <c r="B45" s="76" t="s">
        <v>23</v>
      </c>
      <c r="C45" s="10" t="s">
        <v>8758</v>
      </c>
      <c r="D45" s="29" t="s">
        <v>6734</v>
      </c>
      <c r="E45" s="748" t="s">
        <v>8746</v>
      </c>
      <c r="F45" s="748" t="s">
        <v>8747</v>
      </c>
      <c r="G45" s="16">
        <v>1</v>
      </c>
      <c r="H45" s="92">
        <v>59000</v>
      </c>
      <c r="I45" s="17">
        <f t="shared" si="0"/>
        <v>59000</v>
      </c>
      <c r="J45" s="17">
        <f t="shared" si="5"/>
        <v>14750</v>
      </c>
      <c r="K45" s="18">
        <f t="shared" si="1"/>
        <v>44250</v>
      </c>
      <c r="L45" s="17"/>
      <c r="M45" s="17"/>
      <c r="N45" s="17">
        <f t="shared" si="2"/>
        <v>44250</v>
      </c>
      <c r="O45" s="76" t="s">
        <v>23</v>
      </c>
      <c r="P45" s="72"/>
      <c r="Q45" s="10" t="s">
        <v>40</v>
      </c>
      <c r="R45" s="739" t="s">
        <v>8716</v>
      </c>
      <c r="S45" s="17"/>
      <c r="T45" s="17"/>
      <c r="U45" s="17"/>
      <c r="V45" s="17"/>
      <c r="W45" s="17"/>
    </row>
    <row r="46" spans="1:23" s="20" customFormat="1" ht="14.25" customHeight="1">
      <c r="A46" s="991">
        <v>44526</v>
      </c>
      <c r="B46" s="76" t="s">
        <v>23</v>
      </c>
      <c r="C46" s="10" t="s">
        <v>8758</v>
      </c>
      <c r="D46" s="29" t="s">
        <v>6734</v>
      </c>
      <c r="E46" s="748" t="s">
        <v>8776</v>
      </c>
      <c r="F46" s="748" t="s">
        <v>8777</v>
      </c>
      <c r="G46" s="16">
        <v>1</v>
      </c>
      <c r="H46" s="92">
        <v>23575</v>
      </c>
      <c r="I46" s="17">
        <f t="shared" si="0"/>
        <v>23575</v>
      </c>
      <c r="J46" s="17"/>
      <c r="K46" s="18">
        <f t="shared" si="1"/>
        <v>23575</v>
      </c>
      <c r="L46" s="17"/>
      <c r="M46" s="17"/>
      <c r="N46" s="17">
        <f t="shared" si="2"/>
        <v>23575</v>
      </c>
      <c r="O46" s="76"/>
      <c r="P46" s="72"/>
      <c r="Q46" s="10"/>
      <c r="R46" s="739"/>
      <c r="S46" s="17"/>
      <c r="T46" s="17"/>
      <c r="U46" s="17"/>
      <c r="V46" s="17"/>
      <c r="W46" s="17"/>
    </row>
    <row r="47" spans="1:23" s="20" customFormat="1" ht="14.25" customHeight="1">
      <c r="A47" s="991">
        <v>44526</v>
      </c>
      <c r="B47" s="76" t="s">
        <v>23</v>
      </c>
      <c r="C47" s="10" t="s">
        <v>8758</v>
      </c>
      <c r="D47" s="29" t="s">
        <v>6734</v>
      </c>
      <c r="E47" s="748" t="s">
        <v>8778</v>
      </c>
      <c r="F47" s="748" t="s">
        <v>8779</v>
      </c>
      <c r="G47" s="16">
        <v>1</v>
      </c>
      <c r="H47" s="92">
        <v>23575</v>
      </c>
      <c r="I47" s="17">
        <f t="shared" si="0"/>
        <v>23575</v>
      </c>
      <c r="J47" s="17"/>
      <c r="K47" s="18">
        <f t="shared" si="1"/>
        <v>23575</v>
      </c>
      <c r="L47" s="17"/>
      <c r="M47" s="17"/>
      <c r="N47" s="17">
        <f t="shared" si="2"/>
        <v>23575</v>
      </c>
      <c r="O47" s="76"/>
      <c r="P47" s="72"/>
      <c r="Q47" s="10"/>
      <c r="R47" s="739"/>
      <c r="S47" s="17"/>
      <c r="T47" s="17"/>
      <c r="U47" s="17"/>
      <c r="V47" s="17"/>
      <c r="W47" s="17"/>
    </row>
    <row r="48" spans="1:23" s="20" customFormat="1" ht="14.25" customHeight="1">
      <c r="A48" s="991">
        <v>44526</v>
      </c>
      <c r="B48" s="76" t="s">
        <v>23</v>
      </c>
      <c r="C48" s="10" t="s">
        <v>8758</v>
      </c>
      <c r="D48" s="29" t="s">
        <v>6734</v>
      </c>
      <c r="E48" s="748" t="s">
        <v>8780</v>
      </c>
      <c r="F48" s="748" t="s">
        <v>8781</v>
      </c>
      <c r="G48" s="16">
        <v>1</v>
      </c>
      <c r="H48" s="92">
        <v>23575</v>
      </c>
      <c r="I48" s="17">
        <f t="shared" si="0"/>
        <v>23575</v>
      </c>
      <c r="J48" s="17"/>
      <c r="K48" s="18">
        <f t="shared" si="1"/>
        <v>23575</v>
      </c>
      <c r="L48" s="17"/>
      <c r="M48" s="17"/>
      <c r="N48" s="17">
        <f t="shared" si="2"/>
        <v>23575</v>
      </c>
      <c r="O48" s="76"/>
      <c r="P48" s="72"/>
      <c r="Q48" s="10"/>
      <c r="R48" s="739"/>
      <c r="S48" s="17"/>
      <c r="T48" s="17"/>
      <c r="U48" s="17"/>
      <c r="V48" s="17"/>
      <c r="W48" s="17"/>
    </row>
    <row r="49" spans="1:23" s="20" customFormat="1" ht="14.25" customHeight="1">
      <c r="A49" s="991">
        <v>44526</v>
      </c>
      <c r="B49" s="76" t="s">
        <v>23</v>
      </c>
      <c r="C49" s="10" t="s">
        <v>8758</v>
      </c>
      <c r="D49" s="29" t="s">
        <v>6734</v>
      </c>
      <c r="E49" s="748" t="s">
        <v>8782</v>
      </c>
      <c r="F49" s="748" t="s">
        <v>8783</v>
      </c>
      <c r="G49" s="16">
        <v>1</v>
      </c>
      <c r="H49" s="92">
        <v>23575</v>
      </c>
      <c r="I49" s="17">
        <f t="shared" si="0"/>
        <v>23575</v>
      </c>
      <c r="J49" s="17"/>
      <c r="K49" s="18">
        <f t="shared" si="1"/>
        <v>23575</v>
      </c>
      <c r="L49" s="17"/>
      <c r="M49" s="17"/>
      <c r="N49" s="17">
        <f t="shared" si="2"/>
        <v>23575</v>
      </c>
      <c r="O49" s="76"/>
      <c r="P49" s="72"/>
      <c r="Q49" s="10"/>
      <c r="R49" s="739"/>
      <c r="S49" s="17"/>
      <c r="T49" s="17"/>
      <c r="U49" s="17"/>
      <c r="V49" s="17"/>
      <c r="W49" s="17"/>
    </row>
    <row r="50" spans="1:23" s="20" customFormat="1" ht="14.25" customHeight="1">
      <c r="A50" s="991">
        <v>44526</v>
      </c>
      <c r="B50" s="76" t="s">
        <v>23</v>
      </c>
      <c r="C50" s="10" t="s">
        <v>8758</v>
      </c>
      <c r="D50" s="29" t="s">
        <v>6734</v>
      </c>
      <c r="E50" s="748" t="s">
        <v>8784</v>
      </c>
      <c r="F50" s="748" t="s">
        <v>8785</v>
      </c>
      <c r="G50" s="16">
        <v>1</v>
      </c>
      <c r="H50" s="92">
        <v>23575</v>
      </c>
      <c r="I50" s="17">
        <f t="shared" si="0"/>
        <v>23575</v>
      </c>
      <c r="J50" s="17"/>
      <c r="K50" s="18">
        <f t="shared" si="1"/>
        <v>23575</v>
      </c>
      <c r="L50" s="17"/>
      <c r="M50" s="17"/>
      <c r="N50" s="17"/>
      <c r="O50" s="76"/>
      <c r="P50" s="72"/>
      <c r="Q50" s="10"/>
      <c r="R50" s="739"/>
      <c r="S50" s="17"/>
      <c r="T50" s="17"/>
      <c r="U50" s="17"/>
      <c r="V50" s="17"/>
      <c r="W50" s="17"/>
    </row>
    <row r="51" spans="1:23" s="20" customFormat="1" ht="14.25" customHeight="1">
      <c r="A51" s="991">
        <v>44526</v>
      </c>
      <c r="B51" s="76" t="s">
        <v>23</v>
      </c>
      <c r="C51" s="10" t="s">
        <v>1114</v>
      </c>
      <c r="D51" s="29" t="s">
        <v>8714</v>
      </c>
      <c r="E51" s="908" t="s">
        <v>8766</v>
      </c>
      <c r="F51" s="908" t="s">
        <v>8767</v>
      </c>
      <c r="G51" s="1025">
        <v>1</v>
      </c>
      <c r="H51" s="92">
        <v>161000</v>
      </c>
      <c r="I51" s="17">
        <f t="shared" si="0"/>
        <v>161000</v>
      </c>
      <c r="J51" s="17">
        <f>I51*25%</f>
        <v>40250</v>
      </c>
      <c r="K51" s="18">
        <f t="shared" si="1"/>
        <v>120750</v>
      </c>
      <c r="L51" s="17">
        <v>16000</v>
      </c>
      <c r="M51" s="17"/>
      <c r="N51" s="17">
        <f t="shared" si="2"/>
        <v>136750</v>
      </c>
      <c r="O51" s="76" t="s">
        <v>23</v>
      </c>
      <c r="P51" s="92"/>
      <c r="Q51" s="10" t="s">
        <v>40</v>
      </c>
      <c r="R51" s="739" t="s">
        <v>8716</v>
      </c>
      <c r="S51" s="17"/>
      <c r="T51" s="17"/>
      <c r="U51" s="17"/>
      <c r="V51" s="17"/>
      <c r="W51" s="17"/>
    </row>
    <row r="52" spans="1:23" s="20" customFormat="1" ht="14.25" customHeight="1">
      <c r="A52" s="991">
        <v>44526</v>
      </c>
      <c r="B52" s="76" t="s">
        <v>23</v>
      </c>
      <c r="C52" s="10" t="s">
        <v>1114</v>
      </c>
      <c r="D52" s="29" t="s">
        <v>8714</v>
      </c>
      <c r="E52" s="908" t="s">
        <v>8746</v>
      </c>
      <c r="F52" s="908" t="s">
        <v>8747</v>
      </c>
      <c r="G52" s="16">
        <v>1</v>
      </c>
      <c r="H52" s="92">
        <v>59000</v>
      </c>
      <c r="I52" s="17">
        <f t="shared" si="0"/>
        <v>59000</v>
      </c>
      <c r="J52" s="17">
        <f>I52*25%</f>
        <v>14750</v>
      </c>
      <c r="K52" s="18">
        <f t="shared" si="1"/>
        <v>44250</v>
      </c>
      <c r="L52" s="17"/>
      <c r="M52" s="17"/>
      <c r="N52" s="17">
        <f t="shared" si="2"/>
        <v>44250</v>
      </c>
      <c r="O52" s="76" t="s">
        <v>23</v>
      </c>
      <c r="P52" s="183"/>
      <c r="Q52" s="10" t="s">
        <v>40</v>
      </c>
      <c r="R52" s="739" t="s">
        <v>8716</v>
      </c>
      <c r="S52" s="17"/>
      <c r="T52" s="17"/>
      <c r="U52" s="17"/>
      <c r="V52" s="17"/>
      <c r="W52" s="17"/>
    </row>
    <row r="53" spans="1:23" s="20" customFormat="1" ht="14.25" customHeight="1">
      <c r="A53" s="991">
        <v>44526</v>
      </c>
      <c r="B53" s="76" t="s">
        <v>23</v>
      </c>
      <c r="C53" s="10" t="s">
        <v>8786</v>
      </c>
      <c r="D53" s="29" t="s">
        <v>8787</v>
      </c>
      <c r="E53" s="739" t="s">
        <v>325</v>
      </c>
      <c r="F53" s="739" t="s">
        <v>326</v>
      </c>
      <c r="G53" s="16">
        <v>1</v>
      </c>
      <c r="H53" s="92">
        <v>129000</v>
      </c>
      <c r="I53" s="17">
        <f t="shared" si="0"/>
        <v>129000</v>
      </c>
      <c r="J53" s="17">
        <f>I53*20%</f>
        <v>25800</v>
      </c>
      <c r="K53" s="18">
        <f t="shared" si="1"/>
        <v>103200</v>
      </c>
      <c r="L53" s="17">
        <v>17000</v>
      </c>
      <c r="M53" s="17"/>
      <c r="N53" s="17">
        <f t="shared" si="2"/>
        <v>120200</v>
      </c>
      <c r="O53" s="76" t="s">
        <v>23</v>
      </c>
      <c r="P53" s="183"/>
      <c r="Q53" s="10" t="s">
        <v>40</v>
      </c>
      <c r="R53" s="76" t="s">
        <v>8711</v>
      </c>
      <c r="S53" s="17"/>
      <c r="T53" s="17"/>
      <c r="U53" s="17"/>
      <c r="V53" s="17"/>
      <c r="W53" s="17"/>
    </row>
    <row r="54" spans="1:23" s="20" customFormat="1" ht="14.25" customHeight="1">
      <c r="A54" s="991">
        <v>44526</v>
      </c>
      <c r="B54" s="76" t="s">
        <v>23</v>
      </c>
      <c r="C54" s="11" t="s">
        <v>8788</v>
      </c>
      <c r="D54" s="770" t="s">
        <v>8789</v>
      </c>
      <c r="E54" s="76" t="s">
        <v>4999</v>
      </c>
      <c r="F54" s="76" t="s">
        <v>5000</v>
      </c>
      <c r="G54" s="16">
        <v>1</v>
      </c>
      <c r="H54" s="92">
        <v>127000</v>
      </c>
      <c r="I54" s="17">
        <f t="shared" si="0"/>
        <v>127000</v>
      </c>
      <c r="J54" s="17"/>
      <c r="K54" s="18">
        <f t="shared" si="1"/>
        <v>127000</v>
      </c>
      <c r="L54" s="17">
        <v>70000</v>
      </c>
      <c r="M54" s="17"/>
      <c r="N54" s="17">
        <f t="shared" si="2"/>
        <v>197000</v>
      </c>
      <c r="O54" s="76" t="s">
        <v>23</v>
      </c>
      <c r="P54" s="183"/>
      <c r="Q54" s="10" t="s">
        <v>40</v>
      </c>
      <c r="R54" s="76" t="s">
        <v>8711</v>
      </c>
      <c r="S54" s="17"/>
      <c r="T54" s="17"/>
      <c r="U54" s="17"/>
      <c r="V54" s="17"/>
      <c r="W54" s="17"/>
    </row>
    <row r="55" spans="1:23" s="20" customFormat="1" ht="14.25" customHeight="1">
      <c r="A55" s="991">
        <v>44526</v>
      </c>
      <c r="B55" s="76" t="s">
        <v>313</v>
      </c>
      <c r="C55" s="11" t="s">
        <v>8790</v>
      </c>
      <c r="D55" s="770" t="s">
        <v>8791</v>
      </c>
      <c r="E55" s="739" t="s">
        <v>8792</v>
      </c>
      <c r="F55" s="739" t="s">
        <v>8793</v>
      </c>
      <c r="G55" s="16">
        <v>1</v>
      </c>
      <c r="H55" s="92">
        <v>377000</v>
      </c>
      <c r="I55" s="17">
        <f t="shared" si="0"/>
        <v>377000</v>
      </c>
      <c r="J55" s="17">
        <v>10000</v>
      </c>
      <c r="K55" s="18">
        <f t="shared" si="1"/>
        <v>367000</v>
      </c>
      <c r="L55" s="17">
        <v>7018</v>
      </c>
      <c r="M55" s="17"/>
      <c r="N55" s="17">
        <f t="shared" si="2"/>
        <v>374018</v>
      </c>
      <c r="O55" s="76" t="s">
        <v>313</v>
      </c>
      <c r="P55" s="183"/>
      <c r="Q55" s="10" t="s">
        <v>28</v>
      </c>
      <c r="R55" s="739" t="s">
        <v>8716</v>
      </c>
      <c r="S55" s="17"/>
      <c r="T55" s="17"/>
      <c r="U55" s="17"/>
      <c r="V55" s="17"/>
      <c r="W55" s="17"/>
    </row>
    <row r="56" spans="1:23" s="20" customFormat="1" ht="14.25" customHeight="1">
      <c r="A56" s="991">
        <v>44526</v>
      </c>
      <c r="B56" s="76" t="s">
        <v>23</v>
      </c>
      <c r="C56" s="11" t="s">
        <v>8794</v>
      </c>
      <c r="D56" s="29" t="s">
        <v>8795</v>
      </c>
      <c r="E56" s="908" t="s">
        <v>2547</v>
      </c>
      <c r="F56" s="908" t="s">
        <v>2548</v>
      </c>
      <c r="G56" s="16">
        <v>1</v>
      </c>
      <c r="H56" s="92">
        <v>70700</v>
      </c>
      <c r="I56" s="17">
        <f t="shared" si="0"/>
        <v>70700</v>
      </c>
      <c r="J56" s="888"/>
      <c r="K56" s="18">
        <f t="shared" si="1"/>
        <v>70700</v>
      </c>
      <c r="L56" s="888"/>
      <c r="M56" s="888"/>
      <c r="N56" s="17">
        <f t="shared" si="2"/>
        <v>70700</v>
      </c>
      <c r="O56" s="76" t="s">
        <v>23</v>
      </c>
      <c r="P56" s="921"/>
      <c r="Q56" s="10" t="s">
        <v>40</v>
      </c>
      <c r="R56" s="76" t="s">
        <v>8711</v>
      </c>
      <c r="S56" s="888"/>
      <c r="T56" s="888"/>
      <c r="U56" s="888"/>
      <c r="V56" s="888"/>
      <c r="W56" s="888"/>
    </row>
    <row r="57" spans="1:23" s="20" customFormat="1" ht="14.25" customHeight="1">
      <c r="A57" s="991">
        <v>44526</v>
      </c>
      <c r="B57" s="76" t="s">
        <v>23</v>
      </c>
      <c r="C57" s="11" t="s">
        <v>8794</v>
      </c>
      <c r="D57" s="29" t="s">
        <v>8795</v>
      </c>
      <c r="E57" s="908" t="s">
        <v>5216</v>
      </c>
      <c r="F57" s="908" t="s">
        <v>7369</v>
      </c>
      <c r="G57" s="16">
        <v>1</v>
      </c>
      <c r="H57" s="92">
        <v>101600</v>
      </c>
      <c r="I57" s="17">
        <f t="shared" si="0"/>
        <v>101600</v>
      </c>
      <c r="J57" s="888"/>
      <c r="K57" s="18">
        <f t="shared" si="1"/>
        <v>101600</v>
      </c>
      <c r="L57" s="888"/>
      <c r="M57" s="888"/>
      <c r="N57" s="17">
        <f t="shared" si="2"/>
        <v>101600</v>
      </c>
      <c r="O57" s="76" t="s">
        <v>23</v>
      </c>
      <c r="P57" s="922"/>
      <c r="Q57" s="10" t="s">
        <v>40</v>
      </c>
      <c r="R57" s="76" t="s">
        <v>8711</v>
      </c>
      <c r="S57" s="888"/>
      <c r="T57" s="888"/>
      <c r="U57" s="888"/>
      <c r="V57" s="888"/>
      <c r="W57" s="888"/>
    </row>
    <row r="58" spans="1:23" s="20" customFormat="1" ht="14.25" customHeight="1">
      <c r="A58" s="991">
        <v>44529</v>
      </c>
      <c r="B58" s="76" t="s">
        <v>43</v>
      </c>
      <c r="C58" s="10" t="s">
        <v>8796</v>
      </c>
      <c r="D58" s="29" t="s">
        <v>8797</v>
      </c>
      <c r="E58" s="739" t="s">
        <v>6588</v>
      </c>
      <c r="F58" s="739" t="s">
        <v>3765</v>
      </c>
      <c r="G58" s="16">
        <v>1</v>
      </c>
      <c r="H58" s="92">
        <v>104000</v>
      </c>
      <c r="I58" s="17">
        <f t="shared" si="0"/>
        <v>104000</v>
      </c>
      <c r="J58" s="888">
        <f>I58*15%</f>
        <v>15600</v>
      </c>
      <c r="K58" s="18">
        <f t="shared" si="1"/>
        <v>88400</v>
      </c>
      <c r="L58" s="888"/>
      <c r="M58" s="888">
        <v>-4950</v>
      </c>
      <c r="N58" s="17">
        <f t="shared" si="2"/>
        <v>83450</v>
      </c>
      <c r="O58" s="29"/>
      <c r="P58" s="922"/>
      <c r="Q58" s="10" t="s">
        <v>176</v>
      </c>
      <c r="R58" s="76" t="s">
        <v>8711</v>
      </c>
      <c r="S58" s="924"/>
      <c r="T58" s="888"/>
      <c r="U58" s="888"/>
      <c r="V58" s="888"/>
      <c r="W58" s="888"/>
    </row>
    <row r="59" spans="1:23" s="20" customFormat="1" ht="14.25" customHeight="1">
      <c r="A59" s="991">
        <v>44529</v>
      </c>
      <c r="B59" s="76" t="s">
        <v>43</v>
      </c>
      <c r="C59" s="11" t="s">
        <v>8798</v>
      </c>
      <c r="D59" s="29" t="s">
        <v>8799</v>
      </c>
      <c r="E59" s="76" t="s">
        <v>8800</v>
      </c>
      <c r="F59" s="76" t="s">
        <v>490</v>
      </c>
      <c r="G59" s="16">
        <v>1</v>
      </c>
      <c r="H59" s="92">
        <v>71500</v>
      </c>
      <c r="I59" s="17">
        <f t="shared" si="0"/>
        <v>71500</v>
      </c>
      <c r="J59" s="888"/>
      <c r="K59" s="18">
        <f t="shared" si="1"/>
        <v>71500</v>
      </c>
      <c r="L59" s="888"/>
      <c r="M59" s="888">
        <v>-4004</v>
      </c>
      <c r="N59" s="17">
        <f t="shared" si="2"/>
        <v>67496</v>
      </c>
      <c r="O59" s="29"/>
      <c r="P59" s="922"/>
      <c r="Q59" s="10" t="s">
        <v>176</v>
      </c>
      <c r="R59" s="76" t="s">
        <v>8711</v>
      </c>
      <c r="S59" s="924"/>
      <c r="T59" s="888"/>
      <c r="U59" s="888"/>
      <c r="V59" s="888"/>
      <c r="W59" s="888"/>
    </row>
    <row r="60" spans="1:23" s="20" customFormat="1" ht="14.25" customHeight="1">
      <c r="A60" s="991">
        <v>44529</v>
      </c>
      <c r="B60" s="76" t="s">
        <v>43</v>
      </c>
      <c r="C60" s="11" t="s">
        <v>8801</v>
      </c>
      <c r="D60" s="29" t="s">
        <v>8802</v>
      </c>
      <c r="E60" s="76" t="s">
        <v>152</v>
      </c>
      <c r="F60" s="76" t="s">
        <v>153</v>
      </c>
      <c r="G60" s="16">
        <v>1</v>
      </c>
      <c r="H60" s="92">
        <v>62500</v>
      </c>
      <c r="I60" s="17">
        <f t="shared" si="0"/>
        <v>62500</v>
      </c>
      <c r="J60" s="888"/>
      <c r="K60" s="18">
        <f t="shared" si="1"/>
        <v>62500</v>
      </c>
      <c r="L60" s="888"/>
      <c r="M60" s="888">
        <v>-3500</v>
      </c>
      <c r="N60" s="17">
        <f t="shared" si="2"/>
        <v>59000</v>
      </c>
      <c r="O60" s="29"/>
      <c r="P60" s="922"/>
      <c r="Q60" s="10" t="s">
        <v>54</v>
      </c>
      <c r="R60" s="76" t="s">
        <v>8711</v>
      </c>
      <c r="S60" s="888"/>
      <c r="T60" s="888"/>
      <c r="U60" s="888"/>
      <c r="V60" s="888"/>
      <c r="W60" s="888"/>
    </row>
    <row r="61" spans="1:23" s="20" customFormat="1" ht="14.25" customHeight="1">
      <c r="A61" s="991">
        <v>44529</v>
      </c>
      <c r="B61" s="76" t="s">
        <v>43</v>
      </c>
      <c r="C61" s="10" t="s">
        <v>8803</v>
      </c>
      <c r="D61" s="29" t="s">
        <v>8804</v>
      </c>
      <c r="E61" s="76" t="s">
        <v>4873</v>
      </c>
      <c r="F61" s="76" t="s">
        <v>4874</v>
      </c>
      <c r="G61" s="16">
        <v>1</v>
      </c>
      <c r="H61" s="92">
        <v>86000</v>
      </c>
      <c r="I61" s="17">
        <f t="shared" si="0"/>
        <v>86000</v>
      </c>
      <c r="J61" s="888"/>
      <c r="K61" s="18">
        <f t="shared" si="1"/>
        <v>86000</v>
      </c>
      <c r="L61" s="888"/>
      <c r="M61" s="888">
        <v>-4816</v>
      </c>
      <c r="N61" s="17">
        <f t="shared" si="2"/>
        <v>81184</v>
      </c>
      <c r="O61" s="29"/>
      <c r="P61" s="921"/>
      <c r="Q61" s="10" t="s">
        <v>54</v>
      </c>
      <c r="R61" s="76" t="s">
        <v>8711</v>
      </c>
      <c r="S61" s="888"/>
      <c r="T61" s="888"/>
      <c r="U61" s="888"/>
      <c r="V61" s="888"/>
      <c r="W61" s="888"/>
    </row>
    <row r="62" spans="1:23" s="20" customFormat="1" ht="14.25" customHeight="1">
      <c r="A62" s="991">
        <v>44529</v>
      </c>
      <c r="B62" s="76" t="s">
        <v>170</v>
      </c>
      <c r="C62" s="11" t="s">
        <v>8805</v>
      </c>
      <c r="D62" s="29" t="s">
        <v>8806</v>
      </c>
      <c r="E62" s="739" t="s">
        <v>7649</v>
      </c>
      <c r="F62" s="739" t="s">
        <v>7650</v>
      </c>
      <c r="G62" s="16">
        <v>1</v>
      </c>
      <c r="H62" s="20">
        <v>79000</v>
      </c>
      <c r="I62" s="17">
        <f t="shared" si="0"/>
        <v>79000</v>
      </c>
      <c r="K62" s="18">
        <f t="shared" si="1"/>
        <v>79000</v>
      </c>
      <c r="L62" s="888">
        <f>47000-47000</f>
        <v>0</v>
      </c>
      <c r="M62" s="888">
        <v>-395</v>
      </c>
      <c r="N62" s="17">
        <f t="shared" si="2"/>
        <v>78605</v>
      </c>
      <c r="O62" s="29"/>
      <c r="P62" s="921"/>
      <c r="Q62" s="10" t="s">
        <v>54</v>
      </c>
      <c r="R62" s="76" t="s">
        <v>8711</v>
      </c>
      <c r="S62" s="888"/>
      <c r="T62" s="888"/>
      <c r="U62" s="888"/>
      <c r="V62" s="888"/>
      <c r="W62" s="888"/>
    </row>
    <row r="63" spans="1:23" s="20" customFormat="1" ht="14.25" customHeight="1">
      <c r="A63" s="991">
        <v>44529</v>
      </c>
      <c r="B63" s="76" t="s">
        <v>170</v>
      </c>
      <c r="C63" s="1026" t="s">
        <v>8807</v>
      </c>
      <c r="D63" s="29" t="s">
        <v>8808</v>
      </c>
      <c r="E63" s="739" t="s">
        <v>7689</v>
      </c>
      <c r="F63" s="739" t="s">
        <v>7678</v>
      </c>
      <c r="G63" s="16">
        <v>1</v>
      </c>
      <c r="H63" s="20">
        <v>113500</v>
      </c>
      <c r="I63" s="17">
        <f t="shared" si="0"/>
        <v>113500</v>
      </c>
      <c r="K63" s="18">
        <f t="shared" si="1"/>
        <v>113500</v>
      </c>
      <c r="L63" s="888">
        <f>16000-16000</f>
        <v>0</v>
      </c>
      <c r="M63" s="888">
        <v>-568</v>
      </c>
      <c r="N63" s="17">
        <f t="shared" si="2"/>
        <v>112932</v>
      </c>
      <c r="O63" s="29"/>
      <c r="P63" s="922"/>
      <c r="Q63" s="10" t="s">
        <v>176</v>
      </c>
      <c r="R63" s="76" t="s">
        <v>8711</v>
      </c>
      <c r="S63" s="888"/>
      <c r="T63" s="888"/>
      <c r="U63" s="888"/>
      <c r="V63" s="888"/>
      <c r="W63" s="888"/>
    </row>
    <row r="64" spans="1:23" s="20" customFormat="1" ht="14.25" customHeight="1">
      <c r="A64" s="991">
        <v>44529</v>
      </c>
      <c r="B64" s="76" t="s">
        <v>177</v>
      </c>
      <c r="C64" s="10" t="s">
        <v>8809</v>
      </c>
      <c r="D64" s="29" t="s">
        <v>8810</v>
      </c>
      <c r="E64" s="739" t="s">
        <v>399</v>
      </c>
      <c r="F64" s="739" t="s">
        <v>400</v>
      </c>
      <c r="G64" s="16">
        <v>1</v>
      </c>
      <c r="H64" s="20">
        <v>185000</v>
      </c>
      <c r="I64" s="17">
        <f t="shared" si="0"/>
        <v>185000</v>
      </c>
      <c r="K64" s="18">
        <f t="shared" si="1"/>
        <v>185000</v>
      </c>
      <c r="L64" s="888">
        <v>46500</v>
      </c>
      <c r="M64" s="888"/>
      <c r="N64" s="17">
        <f t="shared" si="2"/>
        <v>231500</v>
      </c>
      <c r="O64" s="29"/>
      <c r="P64" s="922"/>
      <c r="Q64" s="10" t="s">
        <v>54</v>
      </c>
      <c r="R64" s="76" t="s">
        <v>8711</v>
      </c>
      <c r="S64" s="924"/>
      <c r="T64" s="888"/>
      <c r="U64" s="888"/>
      <c r="V64" s="888"/>
      <c r="W64" s="888"/>
    </row>
    <row r="65" spans="1:23" s="20" customFormat="1" ht="14.25" customHeight="1">
      <c r="A65" s="991">
        <v>44529</v>
      </c>
      <c r="B65" s="76" t="s">
        <v>177</v>
      </c>
      <c r="C65" s="10" t="s">
        <v>8811</v>
      </c>
      <c r="D65" s="29" t="s">
        <v>8812</v>
      </c>
      <c r="E65" s="739" t="s">
        <v>8813</v>
      </c>
      <c r="F65" s="739" t="s">
        <v>8814</v>
      </c>
      <c r="G65" s="16">
        <v>1</v>
      </c>
      <c r="H65" s="20">
        <v>97000</v>
      </c>
      <c r="I65" s="17">
        <f t="shared" si="0"/>
        <v>97000</v>
      </c>
      <c r="K65" s="18">
        <f t="shared" si="1"/>
        <v>97000</v>
      </c>
      <c r="L65" s="888">
        <v>9000</v>
      </c>
      <c r="M65" s="888"/>
      <c r="N65" s="17">
        <f t="shared" si="2"/>
        <v>106000</v>
      </c>
      <c r="O65" s="29"/>
      <c r="P65" s="922"/>
      <c r="Q65" s="10" t="s">
        <v>54</v>
      </c>
      <c r="R65" s="76" t="s">
        <v>8711</v>
      </c>
      <c r="S65" s="888"/>
      <c r="T65" s="888"/>
      <c r="U65" s="888"/>
      <c r="V65" s="888"/>
      <c r="W65" s="888"/>
    </row>
    <row r="66" spans="1:23" s="20" customFormat="1" ht="14.25" customHeight="1">
      <c r="A66" s="991">
        <v>44529</v>
      </c>
      <c r="B66" s="76" t="s">
        <v>177</v>
      </c>
      <c r="C66" s="10" t="s">
        <v>8815</v>
      </c>
      <c r="D66" s="29" t="s">
        <v>8816</v>
      </c>
      <c r="E66" s="739" t="s">
        <v>8817</v>
      </c>
      <c r="F66" s="739" t="s">
        <v>8818</v>
      </c>
      <c r="G66" s="16">
        <v>1</v>
      </c>
      <c r="H66" s="20">
        <v>85000</v>
      </c>
      <c r="I66" s="17">
        <f t="shared" si="0"/>
        <v>85000</v>
      </c>
      <c r="K66" s="18">
        <f t="shared" si="1"/>
        <v>85000</v>
      </c>
      <c r="L66" s="888">
        <v>9000</v>
      </c>
      <c r="M66" s="888"/>
      <c r="N66" s="17">
        <f t="shared" si="2"/>
        <v>94000</v>
      </c>
      <c r="O66" s="29"/>
      <c r="P66" s="922"/>
      <c r="Q66" s="10" t="s">
        <v>54</v>
      </c>
      <c r="R66" s="76" t="s">
        <v>8711</v>
      </c>
      <c r="S66" s="888"/>
      <c r="T66" s="888"/>
      <c r="U66" s="888"/>
      <c r="V66" s="888"/>
      <c r="W66" s="888"/>
    </row>
    <row r="67" spans="1:23" s="20" customFormat="1" ht="14.25" customHeight="1">
      <c r="A67" s="991">
        <v>44529</v>
      </c>
      <c r="B67" s="76" t="s">
        <v>313</v>
      </c>
      <c r="C67" s="11" t="s">
        <v>8819</v>
      </c>
      <c r="D67" s="29" t="s">
        <v>8820</v>
      </c>
      <c r="E67" s="780" t="s">
        <v>8821</v>
      </c>
      <c r="F67" s="780" t="s">
        <v>8822</v>
      </c>
      <c r="G67" s="16">
        <v>1</v>
      </c>
      <c r="H67" s="20">
        <v>96500</v>
      </c>
      <c r="I67" s="17">
        <f t="shared" ref="I67:I130" si="6">H67*G67</f>
        <v>96500</v>
      </c>
      <c r="K67" s="18">
        <f t="shared" ref="K67:K130" si="7">I67-J67</f>
        <v>96500</v>
      </c>
      <c r="L67" s="888">
        <v>39037</v>
      </c>
      <c r="M67" s="888"/>
      <c r="N67" s="17">
        <f t="shared" ref="N67:N130" si="8">K67+L67+M67</f>
        <v>135537</v>
      </c>
      <c r="O67" s="29"/>
      <c r="P67" s="922"/>
      <c r="Q67" s="1024" t="s">
        <v>40</v>
      </c>
      <c r="R67" s="76" t="s">
        <v>8711</v>
      </c>
      <c r="S67" s="888"/>
      <c r="T67" s="888"/>
      <c r="U67" s="888"/>
      <c r="V67" s="888"/>
      <c r="W67" s="888"/>
    </row>
    <row r="68" spans="1:23" s="20" customFormat="1" ht="14.25" customHeight="1">
      <c r="A68" s="991">
        <v>44529</v>
      </c>
      <c r="B68" s="76" t="s">
        <v>313</v>
      </c>
      <c r="C68" s="11" t="s">
        <v>8819</v>
      </c>
      <c r="D68" s="29" t="s">
        <v>8823</v>
      </c>
      <c r="E68" s="780" t="s">
        <v>8824</v>
      </c>
      <c r="F68" s="780" t="s">
        <v>8822</v>
      </c>
      <c r="G68" s="16">
        <v>1</v>
      </c>
      <c r="H68" s="20">
        <v>70000</v>
      </c>
      <c r="I68" s="17">
        <f t="shared" si="6"/>
        <v>70000</v>
      </c>
      <c r="K68" s="18">
        <f t="shared" si="7"/>
        <v>70000</v>
      </c>
      <c r="L68" s="17"/>
      <c r="M68" s="17"/>
      <c r="N68" s="17">
        <f t="shared" si="8"/>
        <v>70000</v>
      </c>
      <c r="O68" s="29"/>
      <c r="P68" s="72"/>
      <c r="Q68" s="1024" t="s">
        <v>40</v>
      </c>
      <c r="R68" s="76" t="s">
        <v>8711</v>
      </c>
      <c r="S68" s="17"/>
      <c r="T68" s="17"/>
      <c r="U68" s="17"/>
      <c r="V68" s="17"/>
      <c r="W68" s="17"/>
    </row>
    <row r="69" spans="1:23" s="20" customFormat="1" ht="14.25" customHeight="1">
      <c r="A69" s="991">
        <v>44529</v>
      </c>
      <c r="B69" s="76" t="s">
        <v>313</v>
      </c>
      <c r="C69" s="11" t="s">
        <v>8819</v>
      </c>
      <c r="D69" s="29" t="s">
        <v>8825</v>
      </c>
      <c r="E69" s="780" t="s">
        <v>1489</v>
      </c>
      <c r="F69" s="780" t="s">
        <v>1490</v>
      </c>
      <c r="G69" s="16">
        <v>1</v>
      </c>
      <c r="H69" s="20">
        <v>53000</v>
      </c>
      <c r="I69" s="17">
        <f t="shared" si="6"/>
        <v>53000</v>
      </c>
      <c r="K69" s="18">
        <f t="shared" si="7"/>
        <v>53000</v>
      </c>
      <c r="L69" s="17"/>
      <c r="M69" s="17"/>
      <c r="N69" s="17">
        <f t="shared" si="8"/>
        <v>53000</v>
      </c>
      <c r="O69" s="29"/>
      <c r="P69" s="72"/>
      <c r="Q69" s="1024" t="s">
        <v>40</v>
      </c>
      <c r="R69" s="76" t="s">
        <v>8711</v>
      </c>
      <c r="S69" s="17"/>
      <c r="T69" s="17"/>
      <c r="U69" s="17"/>
      <c r="V69" s="17"/>
      <c r="W69" s="17"/>
    </row>
    <row r="70" spans="1:23" s="20" customFormat="1" ht="14.25" customHeight="1">
      <c r="A70" s="991">
        <v>44529</v>
      </c>
      <c r="B70" s="76" t="s">
        <v>313</v>
      </c>
      <c r="C70" s="11" t="s">
        <v>8826</v>
      </c>
      <c r="D70" s="770" t="s">
        <v>8827</v>
      </c>
      <c r="E70" s="76" t="s">
        <v>1178</v>
      </c>
      <c r="F70" s="76" t="s">
        <v>1179</v>
      </c>
      <c r="G70" s="16">
        <v>1</v>
      </c>
      <c r="H70" s="20">
        <v>73500</v>
      </c>
      <c r="I70" s="17">
        <f t="shared" si="6"/>
        <v>73500</v>
      </c>
      <c r="J70" s="20">
        <f>I70*20%</f>
        <v>14700</v>
      </c>
      <c r="K70" s="18">
        <f t="shared" si="7"/>
        <v>58800</v>
      </c>
      <c r="L70" s="888">
        <v>16057</v>
      </c>
      <c r="M70" s="17"/>
      <c r="N70" s="17">
        <f t="shared" si="8"/>
        <v>74857</v>
      </c>
      <c r="O70" s="29"/>
      <c r="P70" s="72"/>
      <c r="Q70" s="1024" t="s">
        <v>40</v>
      </c>
      <c r="R70" s="76" t="s">
        <v>8711</v>
      </c>
      <c r="S70" s="17"/>
      <c r="T70" s="17"/>
      <c r="U70" s="17"/>
      <c r="V70" s="17"/>
      <c r="W70" s="17"/>
    </row>
    <row r="71" spans="1:23" s="20" customFormat="1" ht="14.25" customHeight="1">
      <c r="A71" s="991">
        <v>44530</v>
      </c>
      <c r="B71" s="76" t="s">
        <v>43</v>
      </c>
      <c r="C71" s="11" t="s">
        <v>8828</v>
      </c>
      <c r="D71" s="29" t="s">
        <v>8829</v>
      </c>
      <c r="E71" s="739" t="s">
        <v>4833</v>
      </c>
      <c r="F71" s="739" t="s">
        <v>4834</v>
      </c>
      <c r="G71" s="16">
        <v>1</v>
      </c>
      <c r="H71" s="20">
        <v>57000</v>
      </c>
      <c r="I71" s="17">
        <f t="shared" si="6"/>
        <v>57000</v>
      </c>
      <c r="K71" s="18">
        <f t="shared" si="7"/>
        <v>57000</v>
      </c>
      <c r="L71" s="888"/>
      <c r="M71" s="17">
        <v>-3192</v>
      </c>
      <c r="N71" s="17">
        <f t="shared" si="8"/>
        <v>53808</v>
      </c>
      <c r="O71" s="29"/>
      <c r="P71" s="72"/>
      <c r="Q71" s="10" t="s">
        <v>54</v>
      </c>
      <c r="R71" s="76" t="s">
        <v>8711</v>
      </c>
      <c r="S71" s="17"/>
      <c r="T71" s="17"/>
      <c r="U71" s="17"/>
      <c r="V71" s="17"/>
      <c r="W71" s="17"/>
    </row>
    <row r="72" spans="1:23" s="20" customFormat="1">
      <c r="A72" s="991">
        <v>44530</v>
      </c>
      <c r="B72" s="76" t="s">
        <v>43</v>
      </c>
      <c r="C72" s="10" t="s">
        <v>8830</v>
      </c>
      <c r="D72" s="29" t="s">
        <v>8831</v>
      </c>
      <c r="E72" s="748" t="s">
        <v>6924</v>
      </c>
      <c r="F72" s="748" t="s">
        <v>6925</v>
      </c>
      <c r="G72" s="16">
        <v>1</v>
      </c>
      <c r="H72" s="20">
        <v>101500</v>
      </c>
      <c r="I72" s="17">
        <f t="shared" si="6"/>
        <v>101500</v>
      </c>
      <c r="K72" s="18">
        <f t="shared" si="7"/>
        <v>101500</v>
      </c>
      <c r="L72" s="888"/>
      <c r="M72" s="17">
        <v>-10752</v>
      </c>
      <c r="N72" s="17">
        <f t="shared" si="8"/>
        <v>90748</v>
      </c>
      <c r="O72" s="29"/>
      <c r="P72" s="72"/>
      <c r="Q72" s="10" t="s">
        <v>176</v>
      </c>
      <c r="R72" s="76" t="s">
        <v>8711</v>
      </c>
      <c r="S72" s="17"/>
      <c r="T72" s="17"/>
      <c r="U72" s="17"/>
      <c r="V72" s="17"/>
      <c r="W72" s="17"/>
    </row>
    <row r="73" spans="1:23" s="20" customFormat="1">
      <c r="A73" s="991">
        <v>44530</v>
      </c>
      <c r="B73" s="76" t="s">
        <v>43</v>
      </c>
      <c r="C73" s="10" t="s">
        <v>8830</v>
      </c>
      <c r="D73" s="29" t="s">
        <v>8832</v>
      </c>
      <c r="E73" s="748" t="s">
        <v>306</v>
      </c>
      <c r="F73" s="748" t="s">
        <v>307</v>
      </c>
      <c r="G73" s="16">
        <v>1</v>
      </c>
      <c r="H73" s="20">
        <v>90500</v>
      </c>
      <c r="I73" s="17">
        <f t="shared" si="6"/>
        <v>90500</v>
      </c>
      <c r="K73" s="18">
        <f t="shared" si="7"/>
        <v>90500</v>
      </c>
      <c r="L73" s="17"/>
      <c r="M73" s="17"/>
      <c r="N73" s="17">
        <f t="shared" si="8"/>
        <v>90500</v>
      </c>
      <c r="O73" s="29"/>
      <c r="P73" s="72"/>
      <c r="Q73" s="10" t="s">
        <v>176</v>
      </c>
      <c r="R73" s="76" t="s">
        <v>8711</v>
      </c>
      <c r="S73" s="13"/>
      <c r="T73" s="17"/>
      <c r="U73" s="17"/>
      <c r="V73" s="17"/>
      <c r="W73" s="17"/>
    </row>
    <row r="74" spans="1:23" s="20" customFormat="1">
      <c r="A74" s="991">
        <v>44530</v>
      </c>
      <c r="B74" s="76" t="s">
        <v>43</v>
      </c>
      <c r="C74" s="11" t="s">
        <v>8833</v>
      </c>
      <c r="D74" s="29" t="s">
        <v>8834</v>
      </c>
      <c r="E74" s="739" t="s">
        <v>4995</v>
      </c>
      <c r="F74" s="739" t="s">
        <v>4996</v>
      </c>
      <c r="G74" s="16">
        <v>3</v>
      </c>
      <c r="H74" s="20">
        <v>77000</v>
      </c>
      <c r="I74" s="17">
        <f t="shared" si="6"/>
        <v>231000</v>
      </c>
      <c r="K74" s="18">
        <f t="shared" si="7"/>
        <v>231000</v>
      </c>
      <c r="L74" s="888"/>
      <c r="M74" s="17">
        <v>-12936</v>
      </c>
      <c r="N74" s="17">
        <f t="shared" si="8"/>
        <v>218064</v>
      </c>
      <c r="O74" s="29"/>
      <c r="P74" s="183"/>
      <c r="Q74" s="10" t="s">
        <v>176</v>
      </c>
      <c r="R74" s="76" t="s">
        <v>8711</v>
      </c>
      <c r="S74" s="17"/>
      <c r="T74" s="17"/>
      <c r="U74" s="17"/>
      <c r="V74" s="17"/>
      <c r="W74" s="17"/>
    </row>
    <row r="75" spans="1:23" s="20" customFormat="1">
      <c r="A75" s="1027">
        <v>44530</v>
      </c>
      <c r="B75" s="782" t="s">
        <v>206</v>
      </c>
      <c r="C75" s="982" t="s">
        <v>8835</v>
      </c>
      <c r="D75" s="29" t="s">
        <v>8836</v>
      </c>
      <c r="E75" s="782" t="s">
        <v>8073</v>
      </c>
      <c r="F75" s="782" t="s">
        <v>8074</v>
      </c>
      <c r="G75" s="1028">
        <v>1</v>
      </c>
      <c r="H75" s="20">
        <v>30000</v>
      </c>
      <c r="I75" s="17">
        <f t="shared" si="6"/>
        <v>30000</v>
      </c>
      <c r="K75" s="18">
        <f t="shared" si="7"/>
        <v>30000</v>
      </c>
      <c r="L75" s="888">
        <f>22300-20000</f>
        <v>2300</v>
      </c>
      <c r="M75" s="17"/>
      <c r="N75" s="17">
        <f t="shared" si="8"/>
        <v>32300</v>
      </c>
      <c r="O75" s="29"/>
      <c r="P75" s="183"/>
      <c r="Q75" s="982" t="s">
        <v>328</v>
      </c>
      <c r="R75" s="754" t="s">
        <v>8711</v>
      </c>
      <c r="S75" s="17"/>
      <c r="T75" s="17"/>
      <c r="U75" s="17"/>
      <c r="V75" s="17"/>
      <c r="W75" s="17"/>
    </row>
    <row r="76" spans="1:23" s="20" customFormat="1">
      <c r="A76" s="936">
        <v>44530</v>
      </c>
      <c r="B76" s="76" t="s">
        <v>43</v>
      </c>
      <c r="C76" s="10" t="s">
        <v>8837</v>
      </c>
      <c r="D76" s="29" t="s">
        <v>8838</v>
      </c>
      <c r="E76" s="76" t="s">
        <v>339</v>
      </c>
      <c r="F76" s="76" t="s">
        <v>340</v>
      </c>
      <c r="G76" s="16">
        <v>1</v>
      </c>
      <c r="H76" s="20">
        <v>58500</v>
      </c>
      <c r="I76" s="17">
        <f t="shared" si="6"/>
        <v>58500</v>
      </c>
      <c r="K76" s="18">
        <f t="shared" si="7"/>
        <v>58500</v>
      </c>
      <c r="L76" s="888"/>
      <c r="M76" s="17">
        <v>-3276</v>
      </c>
      <c r="N76" s="17">
        <f t="shared" si="8"/>
        <v>55224</v>
      </c>
      <c r="O76" s="29"/>
      <c r="P76" s="183"/>
      <c r="Q76" s="10" t="s">
        <v>54</v>
      </c>
      <c r="R76" s="76" t="s">
        <v>8711</v>
      </c>
      <c r="S76" s="17"/>
      <c r="T76" s="17"/>
      <c r="U76" s="17"/>
      <c r="V76" s="17"/>
      <c r="W76" s="17"/>
    </row>
    <row r="77" spans="1:23" s="20" customFormat="1">
      <c r="A77" s="936">
        <v>44530</v>
      </c>
      <c r="B77" s="76" t="s">
        <v>206</v>
      </c>
      <c r="C77" s="10" t="s">
        <v>8839</v>
      </c>
      <c r="D77" s="29" t="s">
        <v>8840</v>
      </c>
      <c r="E77" s="739" t="s">
        <v>8841</v>
      </c>
      <c r="F77" s="739" t="s">
        <v>8842</v>
      </c>
      <c r="G77" s="16">
        <v>1</v>
      </c>
      <c r="H77" s="20">
        <v>119000</v>
      </c>
      <c r="I77" s="17">
        <f t="shared" si="6"/>
        <v>119000</v>
      </c>
      <c r="K77" s="18">
        <f t="shared" si="7"/>
        <v>119000</v>
      </c>
      <c r="L77" s="17">
        <v>18600</v>
      </c>
      <c r="M77" s="17"/>
      <c r="N77" s="17">
        <f t="shared" si="8"/>
        <v>137600</v>
      </c>
      <c r="O77" s="29"/>
      <c r="P77" s="183"/>
      <c r="Q77" s="10" t="s">
        <v>40</v>
      </c>
      <c r="R77" s="76" t="s">
        <v>8711</v>
      </c>
      <c r="S77" s="17"/>
      <c r="T77" s="17"/>
      <c r="U77" s="17"/>
      <c r="V77" s="17"/>
      <c r="W77" s="17"/>
    </row>
    <row r="78" spans="1:23" s="20" customFormat="1">
      <c r="A78" s="936">
        <v>44531</v>
      </c>
      <c r="B78" s="76" t="s">
        <v>43</v>
      </c>
      <c r="C78" s="10" t="s">
        <v>8843</v>
      </c>
      <c r="D78" s="29" t="s">
        <v>9457</v>
      </c>
      <c r="E78" s="76" t="s">
        <v>1351</v>
      </c>
      <c r="F78" s="76" t="s">
        <v>1352</v>
      </c>
      <c r="G78" s="16">
        <v>1</v>
      </c>
      <c r="H78" s="20">
        <v>41000</v>
      </c>
      <c r="I78" s="17">
        <f t="shared" si="6"/>
        <v>41000</v>
      </c>
      <c r="K78" s="18">
        <f t="shared" si="7"/>
        <v>41000</v>
      </c>
      <c r="L78" s="17"/>
      <c r="M78" s="17">
        <v>-2296</v>
      </c>
      <c r="N78" s="17">
        <f t="shared" si="8"/>
        <v>38704</v>
      </c>
      <c r="O78" s="29"/>
      <c r="P78" s="183"/>
      <c r="Q78" s="10" t="s">
        <v>54</v>
      </c>
      <c r="R78" s="76" t="s">
        <v>8711</v>
      </c>
      <c r="S78" s="17"/>
      <c r="T78" s="17"/>
      <c r="U78" s="17"/>
      <c r="V78" s="17"/>
      <c r="W78" s="17"/>
    </row>
    <row r="79" spans="1:23" s="20" customFormat="1">
      <c r="A79" s="991">
        <v>44531</v>
      </c>
      <c r="B79" s="76" t="s">
        <v>43</v>
      </c>
      <c r="C79" s="10" t="s">
        <v>8844</v>
      </c>
      <c r="D79" s="29" t="s">
        <v>8845</v>
      </c>
      <c r="E79" s="739" t="s">
        <v>8846</v>
      </c>
      <c r="F79" s="739" t="s">
        <v>8847</v>
      </c>
      <c r="G79" s="16">
        <v>1</v>
      </c>
      <c r="H79" s="20">
        <v>53000</v>
      </c>
      <c r="I79" s="17">
        <f t="shared" si="6"/>
        <v>53000</v>
      </c>
      <c r="K79" s="18">
        <f t="shared" si="7"/>
        <v>53000</v>
      </c>
      <c r="L79" s="888"/>
      <c r="M79" s="17">
        <v>-2968</v>
      </c>
      <c r="N79" s="17">
        <f t="shared" si="8"/>
        <v>50032</v>
      </c>
      <c r="O79" s="29"/>
      <c r="P79" s="72"/>
      <c r="Q79" s="10" t="s">
        <v>54</v>
      </c>
      <c r="R79" s="76" t="s">
        <v>8711</v>
      </c>
      <c r="S79" s="17"/>
      <c r="T79" s="17"/>
      <c r="U79" s="17"/>
      <c r="V79" s="17"/>
      <c r="W79" s="17"/>
    </row>
    <row r="80" spans="1:23" s="29" customFormat="1">
      <c r="A80" s="936">
        <v>44531</v>
      </c>
      <c r="B80" s="76" t="s">
        <v>313</v>
      </c>
      <c r="C80" s="10" t="s">
        <v>8848</v>
      </c>
      <c r="D80" s="29" t="s">
        <v>8849</v>
      </c>
      <c r="E80" s="913" t="s">
        <v>3525</v>
      </c>
      <c r="F80" s="913" t="s">
        <v>3526</v>
      </c>
      <c r="G80" s="16">
        <v>1</v>
      </c>
      <c r="H80" s="29">
        <v>69500</v>
      </c>
      <c r="I80" s="17">
        <f t="shared" si="6"/>
        <v>69500</v>
      </c>
      <c r="K80" s="18">
        <f t="shared" si="7"/>
        <v>69500</v>
      </c>
      <c r="L80" s="92">
        <v>96096</v>
      </c>
      <c r="M80" s="92"/>
      <c r="N80" s="17">
        <f t="shared" si="8"/>
        <v>165596</v>
      </c>
      <c r="P80" s="72"/>
      <c r="Q80" s="10" t="s">
        <v>40</v>
      </c>
      <c r="R80" s="76" t="s">
        <v>8711</v>
      </c>
      <c r="S80" s="92"/>
      <c r="T80" s="92"/>
      <c r="U80" s="92"/>
      <c r="V80" s="92"/>
      <c r="W80" s="92"/>
    </row>
    <row r="81" spans="1:23" s="20" customFormat="1">
      <c r="A81" s="991">
        <v>44531</v>
      </c>
      <c r="B81" s="76" t="s">
        <v>313</v>
      </c>
      <c r="C81" s="10" t="s">
        <v>8848</v>
      </c>
      <c r="D81" s="29" t="s">
        <v>8850</v>
      </c>
      <c r="E81" s="913" t="s">
        <v>1903</v>
      </c>
      <c r="F81" s="913" t="s">
        <v>595</v>
      </c>
      <c r="G81" s="16">
        <v>1</v>
      </c>
      <c r="H81" s="29">
        <v>104000</v>
      </c>
      <c r="I81" s="17">
        <f t="shared" si="6"/>
        <v>104000</v>
      </c>
      <c r="J81" s="17"/>
      <c r="K81" s="18">
        <f t="shared" si="7"/>
        <v>104000</v>
      </c>
      <c r="L81" s="17"/>
      <c r="M81" s="17"/>
      <c r="N81" s="17">
        <f t="shared" si="8"/>
        <v>104000</v>
      </c>
      <c r="O81" s="29"/>
      <c r="P81" s="183"/>
      <c r="Q81" s="10" t="s">
        <v>40</v>
      </c>
      <c r="R81" s="76" t="s">
        <v>8711</v>
      </c>
      <c r="S81" s="17"/>
      <c r="T81" s="17"/>
      <c r="U81" s="17"/>
      <c r="V81" s="17"/>
      <c r="W81" s="17"/>
    </row>
    <row r="82" spans="1:23" s="20" customFormat="1">
      <c r="A82" s="936">
        <v>44531</v>
      </c>
      <c r="B82" s="76" t="s">
        <v>313</v>
      </c>
      <c r="C82" s="10" t="s">
        <v>8848</v>
      </c>
      <c r="D82" s="29" t="s">
        <v>8851</v>
      </c>
      <c r="E82" s="913" t="s">
        <v>8852</v>
      </c>
      <c r="F82" s="913" t="s">
        <v>8853</v>
      </c>
      <c r="G82" s="16">
        <v>1</v>
      </c>
      <c r="H82" s="29">
        <v>64000</v>
      </c>
      <c r="I82" s="17">
        <f t="shared" si="6"/>
        <v>64000</v>
      </c>
      <c r="J82" s="17"/>
      <c r="K82" s="18">
        <f t="shared" si="7"/>
        <v>64000</v>
      </c>
      <c r="L82" s="17"/>
      <c r="M82" s="17"/>
      <c r="N82" s="17">
        <f t="shared" si="8"/>
        <v>64000</v>
      </c>
      <c r="O82" s="29"/>
      <c r="P82" s="72"/>
      <c r="Q82" s="10" t="s">
        <v>40</v>
      </c>
      <c r="R82" s="76" t="s">
        <v>8711</v>
      </c>
      <c r="S82" s="17"/>
      <c r="T82" s="17"/>
      <c r="U82" s="17"/>
      <c r="V82" s="17"/>
      <c r="W82" s="17"/>
    </row>
    <row r="83" spans="1:23" s="20" customFormat="1">
      <c r="A83" s="991">
        <v>44531</v>
      </c>
      <c r="B83" s="76" t="s">
        <v>313</v>
      </c>
      <c r="C83" s="10" t="s">
        <v>8848</v>
      </c>
      <c r="D83" s="29" t="s">
        <v>8854</v>
      </c>
      <c r="E83" s="934" t="s">
        <v>8855</v>
      </c>
      <c r="F83" s="934" t="s">
        <v>8856</v>
      </c>
      <c r="G83" s="16">
        <v>1</v>
      </c>
      <c r="H83" s="29">
        <v>136000</v>
      </c>
      <c r="I83" s="17">
        <f t="shared" si="6"/>
        <v>136000</v>
      </c>
      <c r="J83" s="17"/>
      <c r="K83" s="18">
        <f t="shared" si="7"/>
        <v>136000</v>
      </c>
      <c r="L83" s="17"/>
      <c r="M83" s="17"/>
      <c r="N83" s="17">
        <f t="shared" si="8"/>
        <v>136000</v>
      </c>
      <c r="O83" s="29"/>
      <c r="P83" s="183"/>
      <c r="Q83" s="10" t="s">
        <v>40</v>
      </c>
      <c r="R83" s="76" t="s">
        <v>8711</v>
      </c>
      <c r="S83" s="17"/>
      <c r="T83" s="17"/>
      <c r="U83" s="17"/>
      <c r="V83" s="17"/>
      <c r="W83" s="17"/>
    </row>
    <row r="84" spans="1:23" s="20" customFormat="1">
      <c r="A84" s="936">
        <v>44531</v>
      </c>
      <c r="B84" s="76" t="s">
        <v>313</v>
      </c>
      <c r="C84" s="10" t="s">
        <v>8848</v>
      </c>
      <c r="D84" s="29" t="s">
        <v>8857</v>
      </c>
      <c r="E84" s="913" t="s">
        <v>5650</v>
      </c>
      <c r="F84" s="913" t="s">
        <v>5651</v>
      </c>
      <c r="G84" s="16">
        <v>1</v>
      </c>
      <c r="H84" s="29">
        <v>70000</v>
      </c>
      <c r="I84" s="17">
        <f t="shared" si="6"/>
        <v>70000</v>
      </c>
      <c r="J84" s="17"/>
      <c r="K84" s="18">
        <f t="shared" si="7"/>
        <v>70000</v>
      </c>
      <c r="L84" s="17"/>
      <c r="M84" s="17"/>
      <c r="N84" s="17">
        <f t="shared" si="8"/>
        <v>70000</v>
      </c>
      <c r="O84" s="29"/>
      <c r="P84" s="183"/>
      <c r="Q84" s="10" t="s">
        <v>40</v>
      </c>
      <c r="R84" s="76" t="s">
        <v>8711</v>
      </c>
      <c r="S84" s="17"/>
      <c r="T84" s="17"/>
      <c r="U84" s="17"/>
      <c r="V84" s="17"/>
      <c r="W84" s="17"/>
    </row>
    <row r="85" spans="1:23" s="20" customFormat="1">
      <c r="A85" s="991">
        <v>44531</v>
      </c>
      <c r="B85" s="76" t="s">
        <v>313</v>
      </c>
      <c r="C85" s="10" t="s">
        <v>8848</v>
      </c>
      <c r="D85" s="29" t="s">
        <v>8858</v>
      </c>
      <c r="E85" s="934" t="s">
        <v>8859</v>
      </c>
      <c r="F85" s="934" t="s">
        <v>8860</v>
      </c>
      <c r="G85" s="16">
        <v>1</v>
      </c>
      <c r="H85" s="29">
        <v>78000</v>
      </c>
      <c r="I85" s="17">
        <f t="shared" si="6"/>
        <v>78000</v>
      </c>
      <c r="J85" s="17"/>
      <c r="K85" s="18">
        <f t="shared" si="7"/>
        <v>78000</v>
      </c>
      <c r="L85" s="17"/>
      <c r="M85" s="17"/>
      <c r="N85" s="17">
        <f t="shared" si="8"/>
        <v>78000</v>
      </c>
      <c r="O85" s="29"/>
      <c r="P85" s="72"/>
      <c r="Q85" s="10" t="s">
        <v>40</v>
      </c>
      <c r="R85" s="76" t="s">
        <v>8711</v>
      </c>
      <c r="S85" s="17"/>
      <c r="T85" s="17"/>
      <c r="U85" s="17"/>
      <c r="V85" s="17"/>
      <c r="W85" s="17"/>
    </row>
    <row r="86" spans="1:23" s="20" customFormat="1">
      <c r="A86" s="936">
        <v>44531</v>
      </c>
      <c r="B86" s="76" t="s">
        <v>313</v>
      </c>
      <c r="C86" s="10" t="s">
        <v>8848</v>
      </c>
      <c r="D86" s="29" t="s">
        <v>8861</v>
      </c>
      <c r="E86" s="934" t="s">
        <v>8862</v>
      </c>
      <c r="F86" s="934" t="s">
        <v>8863</v>
      </c>
      <c r="G86" s="16">
        <v>1</v>
      </c>
      <c r="H86" s="29">
        <v>97000</v>
      </c>
      <c r="I86" s="17">
        <f t="shared" si="6"/>
        <v>97000</v>
      </c>
      <c r="J86" s="17"/>
      <c r="K86" s="18">
        <f t="shared" si="7"/>
        <v>97000</v>
      </c>
      <c r="L86" s="17"/>
      <c r="M86" s="17"/>
      <c r="N86" s="17">
        <f t="shared" si="8"/>
        <v>97000</v>
      </c>
      <c r="O86" s="29"/>
      <c r="P86" s="72"/>
      <c r="Q86" s="10" t="s">
        <v>40</v>
      </c>
      <c r="R86" s="76" t="s">
        <v>8711</v>
      </c>
      <c r="S86" s="17"/>
      <c r="T86" s="17"/>
      <c r="U86" s="17"/>
      <c r="V86" s="17"/>
      <c r="W86" s="17"/>
    </row>
    <row r="87" spans="1:23" s="20" customFormat="1">
      <c r="A87" s="991">
        <v>44531</v>
      </c>
      <c r="B87" s="76" t="s">
        <v>313</v>
      </c>
      <c r="C87" s="10" t="s">
        <v>8848</v>
      </c>
      <c r="D87" s="29" t="s">
        <v>8864</v>
      </c>
      <c r="E87" s="913" t="s">
        <v>8519</v>
      </c>
      <c r="F87" s="913" t="s">
        <v>8520</v>
      </c>
      <c r="G87" s="16">
        <v>1</v>
      </c>
      <c r="H87" s="29">
        <v>238000</v>
      </c>
      <c r="I87" s="17">
        <f t="shared" si="6"/>
        <v>238000</v>
      </c>
      <c r="J87" s="17"/>
      <c r="K87" s="18">
        <f t="shared" si="7"/>
        <v>238000</v>
      </c>
      <c r="L87" s="17"/>
      <c r="M87" s="17"/>
      <c r="N87" s="17">
        <f t="shared" si="8"/>
        <v>238000</v>
      </c>
      <c r="O87" s="29"/>
      <c r="P87" s="72"/>
      <c r="Q87" s="10" t="s">
        <v>40</v>
      </c>
      <c r="R87" s="76" t="s">
        <v>8711</v>
      </c>
      <c r="S87" s="17"/>
      <c r="T87" s="17"/>
      <c r="U87" s="17"/>
      <c r="V87" s="17"/>
      <c r="W87" s="17"/>
    </row>
    <row r="88" spans="1:23" s="20" customFormat="1">
      <c r="A88" s="936">
        <v>44531</v>
      </c>
      <c r="B88" s="76" t="s">
        <v>313</v>
      </c>
      <c r="C88" s="10" t="s">
        <v>8848</v>
      </c>
      <c r="D88" s="29" t="s">
        <v>8865</v>
      </c>
      <c r="E88" s="913" t="s">
        <v>6330</v>
      </c>
      <c r="F88" s="913" t="s">
        <v>6331</v>
      </c>
      <c r="G88" s="16">
        <v>1</v>
      </c>
      <c r="H88" s="29">
        <v>137000</v>
      </c>
      <c r="I88" s="17">
        <f t="shared" si="6"/>
        <v>137000</v>
      </c>
      <c r="J88" s="17"/>
      <c r="K88" s="18">
        <f t="shared" si="7"/>
        <v>137000</v>
      </c>
      <c r="L88" s="17"/>
      <c r="M88" s="17"/>
      <c r="N88" s="17">
        <f t="shared" si="8"/>
        <v>137000</v>
      </c>
      <c r="O88" s="29"/>
      <c r="P88" s="72"/>
      <c r="Q88" s="10" t="s">
        <v>40</v>
      </c>
      <c r="R88" s="76" t="s">
        <v>8711</v>
      </c>
      <c r="S88" s="17"/>
      <c r="T88" s="17"/>
      <c r="U88" s="17"/>
      <c r="V88" s="17"/>
      <c r="W88" s="17"/>
    </row>
    <row r="89" spans="1:23" s="20" customFormat="1">
      <c r="A89" s="991">
        <v>44531</v>
      </c>
      <c r="B89" s="76" t="s">
        <v>313</v>
      </c>
      <c r="C89" s="10" t="s">
        <v>8848</v>
      </c>
      <c r="D89" s="29" t="s">
        <v>8866</v>
      </c>
      <c r="E89" s="934" t="s">
        <v>3909</v>
      </c>
      <c r="F89" s="934" t="s">
        <v>3910</v>
      </c>
      <c r="G89" s="16">
        <v>1</v>
      </c>
      <c r="H89" s="29">
        <v>97500</v>
      </c>
      <c r="I89" s="17">
        <f t="shared" si="6"/>
        <v>97500</v>
      </c>
      <c r="J89" s="17"/>
      <c r="K89" s="18">
        <f t="shared" si="7"/>
        <v>97500</v>
      </c>
      <c r="L89" s="17"/>
      <c r="M89" s="17"/>
      <c r="N89" s="17">
        <f t="shared" si="8"/>
        <v>97500</v>
      </c>
      <c r="O89" s="29"/>
      <c r="P89" s="72"/>
      <c r="Q89" s="10" t="s">
        <v>40</v>
      </c>
      <c r="R89" s="76" t="s">
        <v>8711</v>
      </c>
      <c r="S89" s="17"/>
      <c r="T89" s="17"/>
      <c r="U89" s="17"/>
      <c r="V89" s="17"/>
      <c r="W89" s="17"/>
    </row>
    <row r="90" spans="1:23" s="20" customFormat="1">
      <c r="A90" s="936">
        <v>44531</v>
      </c>
      <c r="B90" s="76" t="s">
        <v>313</v>
      </c>
      <c r="C90" s="10" t="s">
        <v>8848</v>
      </c>
      <c r="D90" s="29" t="s">
        <v>8867</v>
      </c>
      <c r="E90" s="934" t="s">
        <v>8868</v>
      </c>
      <c r="F90" s="934" t="s">
        <v>6524</v>
      </c>
      <c r="G90" s="16">
        <v>1</v>
      </c>
      <c r="H90" s="29">
        <v>74500</v>
      </c>
      <c r="I90" s="17">
        <f t="shared" si="6"/>
        <v>74500</v>
      </c>
      <c r="J90" s="17"/>
      <c r="K90" s="18">
        <f t="shared" si="7"/>
        <v>74500</v>
      </c>
      <c r="L90" s="17"/>
      <c r="M90" s="17"/>
      <c r="N90" s="17">
        <f t="shared" si="8"/>
        <v>74500</v>
      </c>
      <c r="O90" s="29"/>
      <c r="P90" s="183"/>
      <c r="Q90" s="10" t="s">
        <v>40</v>
      </c>
      <c r="R90" s="76" t="s">
        <v>8711</v>
      </c>
      <c r="S90" s="17"/>
      <c r="T90" s="17"/>
      <c r="U90" s="17"/>
      <c r="V90" s="17"/>
      <c r="W90" s="17"/>
    </row>
    <row r="91" spans="1:23" s="29" customFormat="1" ht="17.25" customHeight="1">
      <c r="A91" s="991">
        <v>44531</v>
      </c>
      <c r="B91" s="76" t="s">
        <v>313</v>
      </c>
      <c r="C91" s="10" t="s">
        <v>8848</v>
      </c>
      <c r="D91" s="29" t="s">
        <v>8869</v>
      </c>
      <c r="E91" s="913" t="s">
        <v>1403</v>
      </c>
      <c r="F91" s="913" t="s">
        <v>1404</v>
      </c>
      <c r="G91" s="16">
        <v>1</v>
      </c>
      <c r="H91" s="29">
        <v>143000</v>
      </c>
      <c r="I91" s="17">
        <f t="shared" si="6"/>
        <v>143000</v>
      </c>
      <c r="K91" s="18">
        <f t="shared" si="7"/>
        <v>143000</v>
      </c>
      <c r="L91" s="92"/>
      <c r="M91" s="92"/>
      <c r="N91" s="17">
        <f t="shared" si="8"/>
        <v>143000</v>
      </c>
      <c r="P91" s="72"/>
      <c r="Q91" s="10" t="s">
        <v>40</v>
      </c>
      <c r="R91" s="76" t="s">
        <v>8711</v>
      </c>
      <c r="S91" s="92"/>
      <c r="T91" s="92"/>
      <c r="U91" s="92"/>
      <c r="V91" s="92"/>
      <c r="W91" s="92"/>
    </row>
    <row r="92" spans="1:23" s="20" customFormat="1">
      <c r="A92" s="936">
        <v>44531</v>
      </c>
      <c r="B92" s="76" t="s">
        <v>313</v>
      </c>
      <c r="C92" s="10" t="s">
        <v>8848</v>
      </c>
      <c r="D92" s="29" t="s">
        <v>8870</v>
      </c>
      <c r="E92" s="913" t="s">
        <v>8871</v>
      </c>
      <c r="F92" s="913" t="s">
        <v>8872</v>
      </c>
      <c r="G92" s="16">
        <v>1</v>
      </c>
      <c r="H92" s="29">
        <v>32000</v>
      </c>
      <c r="I92" s="17">
        <f t="shared" si="6"/>
        <v>32000</v>
      </c>
      <c r="K92" s="18">
        <f t="shared" si="7"/>
        <v>32000</v>
      </c>
      <c r="L92" s="92"/>
      <c r="M92" s="92"/>
      <c r="N92" s="17">
        <f t="shared" si="8"/>
        <v>32000</v>
      </c>
      <c r="O92" s="770"/>
      <c r="P92" s="72"/>
      <c r="Q92" s="10" t="s">
        <v>40</v>
      </c>
      <c r="R92" s="76" t="s">
        <v>8711</v>
      </c>
      <c r="S92" s="17"/>
      <c r="T92" s="17"/>
      <c r="U92" s="17"/>
      <c r="V92" s="17"/>
      <c r="W92" s="17"/>
    </row>
    <row r="93" spans="1:23" s="20" customFormat="1">
      <c r="A93" s="991">
        <v>44531</v>
      </c>
      <c r="B93" s="76" t="s">
        <v>313</v>
      </c>
      <c r="C93" s="10" t="s">
        <v>8848</v>
      </c>
      <c r="D93" s="29" t="s">
        <v>8873</v>
      </c>
      <c r="E93" s="934" t="s">
        <v>8874</v>
      </c>
      <c r="F93" s="913" t="s">
        <v>8875</v>
      </c>
      <c r="G93" s="16">
        <v>1</v>
      </c>
      <c r="H93" s="29">
        <v>88000</v>
      </c>
      <c r="I93" s="17">
        <f t="shared" si="6"/>
        <v>88000</v>
      </c>
      <c r="K93" s="18">
        <f t="shared" si="7"/>
        <v>88000</v>
      </c>
      <c r="L93" s="17"/>
      <c r="M93" s="17"/>
      <c r="N93" s="17">
        <f t="shared" si="8"/>
        <v>88000</v>
      </c>
      <c r="O93" s="770"/>
      <c r="P93" s="183"/>
      <c r="Q93" s="10" t="s">
        <v>40</v>
      </c>
      <c r="R93" s="76" t="s">
        <v>8711</v>
      </c>
      <c r="S93" s="17"/>
      <c r="T93" s="17"/>
      <c r="U93" s="17"/>
      <c r="V93" s="17"/>
      <c r="W93" s="17"/>
    </row>
    <row r="94" spans="1:23" s="20" customFormat="1">
      <c r="A94" s="936">
        <v>44531</v>
      </c>
      <c r="B94" s="76" t="s">
        <v>313</v>
      </c>
      <c r="C94" s="10" t="s">
        <v>8848</v>
      </c>
      <c r="D94" s="29" t="s">
        <v>8876</v>
      </c>
      <c r="E94" s="913" t="s">
        <v>8877</v>
      </c>
      <c r="F94" s="913" t="s">
        <v>8878</v>
      </c>
      <c r="G94" s="16">
        <v>1</v>
      </c>
      <c r="H94" s="29">
        <v>187000</v>
      </c>
      <c r="I94" s="17">
        <f t="shared" si="6"/>
        <v>187000</v>
      </c>
      <c r="K94" s="18">
        <f t="shared" si="7"/>
        <v>187000</v>
      </c>
      <c r="L94" s="17"/>
      <c r="M94" s="17"/>
      <c r="N94" s="17">
        <f t="shared" si="8"/>
        <v>187000</v>
      </c>
      <c r="O94" s="770"/>
      <c r="P94" s="72"/>
      <c r="Q94" s="10" t="s">
        <v>40</v>
      </c>
      <c r="R94" s="76" t="s">
        <v>8711</v>
      </c>
      <c r="S94" s="17"/>
      <c r="T94" s="17"/>
      <c r="U94" s="17"/>
      <c r="V94" s="17"/>
      <c r="W94" s="17"/>
    </row>
    <row r="95" spans="1:23" s="20" customFormat="1">
      <c r="A95" s="991">
        <v>44531</v>
      </c>
      <c r="B95" s="76" t="s">
        <v>313</v>
      </c>
      <c r="C95" s="10" t="s">
        <v>8848</v>
      </c>
      <c r="D95" s="29" t="s">
        <v>8879</v>
      </c>
      <c r="E95" s="934" t="s">
        <v>8880</v>
      </c>
      <c r="F95" s="913" t="s">
        <v>8881</v>
      </c>
      <c r="G95" s="16">
        <v>1</v>
      </c>
      <c r="H95" s="29">
        <v>155000</v>
      </c>
      <c r="I95" s="17">
        <f t="shared" si="6"/>
        <v>155000</v>
      </c>
      <c r="K95" s="18">
        <f t="shared" si="7"/>
        <v>155000</v>
      </c>
      <c r="L95" s="17"/>
      <c r="M95" s="17"/>
      <c r="N95" s="17">
        <f t="shared" si="8"/>
        <v>155000</v>
      </c>
      <c r="O95" s="770"/>
      <c r="P95" s="183"/>
      <c r="Q95" s="10" t="s">
        <v>40</v>
      </c>
      <c r="R95" s="76" t="s">
        <v>8711</v>
      </c>
      <c r="S95" s="17"/>
      <c r="T95" s="17"/>
      <c r="U95" s="17"/>
      <c r="V95" s="17"/>
      <c r="W95" s="17"/>
    </row>
    <row r="96" spans="1:23" s="20" customFormat="1">
      <c r="A96" s="1051">
        <v>44531</v>
      </c>
      <c r="B96" s="1052" t="s">
        <v>23</v>
      </c>
      <c r="C96" s="1053" t="s">
        <v>8882</v>
      </c>
      <c r="D96" s="1054" t="s">
        <v>8883</v>
      </c>
      <c r="E96" s="1056" t="s">
        <v>325</v>
      </c>
      <c r="F96" s="1056" t="s">
        <v>326</v>
      </c>
      <c r="G96" s="1057">
        <v>1</v>
      </c>
      <c r="H96" s="1054">
        <v>129000</v>
      </c>
      <c r="I96" s="17">
        <f t="shared" si="6"/>
        <v>129000</v>
      </c>
      <c r="J96" s="1054">
        <v>25800</v>
      </c>
      <c r="K96" s="18">
        <f t="shared" si="7"/>
        <v>103200</v>
      </c>
      <c r="L96" s="1058">
        <v>57000</v>
      </c>
      <c r="M96" s="1058"/>
      <c r="N96" s="17">
        <f t="shared" si="8"/>
        <v>160200</v>
      </c>
      <c r="O96" s="1052" t="s">
        <v>23</v>
      </c>
      <c r="P96" s="1059"/>
      <c r="Q96" s="1053" t="s">
        <v>40</v>
      </c>
      <c r="R96" s="1052" t="s">
        <v>8711</v>
      </c>
      <c r="S96" s="1058"/>
      <c r="T96" s="1058"/>
      <c r="U96" s="1058"/>
      <c r="V96" s="1058"/>
      <c r="W96" s="1058"/>
    </row>
    <row r="97" spans="1:23" s="20" customFormat="1">
      <c r="A97" s="1060">
        <v>44531</v>
      </c>
      <c r="B97" s="1052" t="s">
        <v>23</v>
      </c>
      <c r="C97" s="1061" t="s">
        <v>8884</v>
      </c>
      <c r="D97" s="1054" t="s">
        <v>8885</v>
      </c>
      <c r="E97" s="1052" t="s">
        <v>3063</v>
      </c>
      <c r="F97" s="1052" t="s">
        <v>3064</v>
      </c>
      <c r="G97" s="1057">
        <v>18</v>
      </c>
      <c r="H97" s="1054">
        <v>91500</v>
      </c>
      <c r="I97" s="17">
        <f t="shared" si="6"/>
        <v>1647000</v>
      </c>
      <c r="J97" s="1054">
        <v>329400</v>
      </c>
      <c r="K97" s="18">
        <f t="shared" si="7"/>
        <v>1317600</v>
      </c>
      <c r="L97" s="1058">
        <v>42000</v>
      </c>
      <c r="M97" s="1058"/>
      <c r="N97" s="17">
        <f t="shared" si="8"/>
        <v>1359600</v>
      </c>
      <c r="O97" s="1052" t="s">
        <v>23</v>
      </c>
      <c r="P97" s="1059"/>
      <c r="Q97" s="1053" t="s">
        <v>28</v>
      </c>
      <c r="R97" s="1052" t="s">
        <v>8711</v>
      </c>
      <c r="S97" s="1058"/>
      <c r="T97" s="1058"/>
      <c r="U97" s="1058"/>
      <c r="V97" s="1058"/>
      <c r="W97" s="1058"/>
    </row>
    <row r="98" spans="1:23" s="20" customFormat="1">
      <c r="A98" s="1060">
        <v>44531</v>
      </c>
      <c r="B98" s="1052" t="s">
        <v>23</v>
      </c>
      <c r="C98" s="1061" t="s">
        <v>8886</v>
      </c>
      <c r="D98" s="1054" t="s">
        <v>8887</v>
      </c>
      <c r="E98" s="1056" t="s">
        <v>8888</v>
      </c>
      <c r="F98" s="1056" t="s">
        <v>34</v>
      </c>
      <c r="G98" s="1057">
        <v>1</v>
      </c>
      <c r="H98" s="1054">
        <v>51000</v>
      </c>
      <c r="I98" s="17">
        <f t="shared" si="6"/>
        <v>51000</v>
      </c>
      <c r="J98" s="1054"/>
      <c r="K98" s="18">
        <f t="shared" si="7"/>
        <v>51000</v>
      </c>
      <c r="L98" s="1058">
        <v>78000</v>
      </c>
      <c r="M98" s="1058"/>
      <c r="N98" s="17">
        <f t="shared" si="8"/>
        <v>129000</v>
      </c>
      <c r="O98" s="1052" t="s">
        <v>23</v>
      </c>
      <c r="P98" s="1059"/>
      <c r="Q98" s="1053" t="s">
        <v>54</v>
      </c>
      <c r="R98" s="1052" t="s">
        <v>8711</v>
      </c>
      <c r="S98" s="1058"/>
      <c r="T98" s="1058"/>
      <c r="U98" s="1058"/>
      <c r="V98" s="1058"/>
      <c r="W98" s="1058"/>
    </row>
    <row r="99" spans="1:23" s="20" customFormat="1">
      <c r="A99" s="1051">
        <v>44531</v>
      </c>
      <c r="B99" s="1052" t="s">
        <v>43</v>
      </c>
      <c r="C99" s="1061" t="s">
        <v>8889</v>
      </c>
      <c r="D99" s="1054" t="s">
        <v>8890</v>
      </c>
      <c r="E99" s="1052" t="s">
        <v>4574</v>
      </c>
      <c r="F99" s="1052" t="s">
        <v>4048</v>
      </c>
      <c r="G99" s="1057">
        <v>1</v>
      </c>
      <c r="H99" s="1054">
        <v>192500</v>
      </c>
      <c r="I99" s="17">
        <f t="shared" si="6"/>
        <v>192500</v>
      </c>
      <c r="J99" s="1054"/>
      <c r="K99" s="18">
        <f t="shared" si="7"/>
        <v>192500</v>
      </c>
      <c r="L99" s="1058"/>
      <c r="M99" s="1058">
        <v>-10780</v>
      </c>
      <c r="N99" s="17">
        <f t="shared" si="8"/>
        <v>181720</v>
      </c>
      <c r="O99" s="1052" t="s">
        <v>43</v>
      </c>
      <c r="P99" s="1059"/>
      <c r="Q99" s="1053" t="s">
        <v>54</v>
      </c>
      <c r="R99" s="1052" t="s">
        <v>8711</v>
      </c>
      <c r="S99" s="1058"/>
      <c r="T99" s="1058"/>
      <c r="U99" s="1058"/>
      <c r="V99" s="1058"/>
      <c r="W99" s="1058"/>
    </row>
    <row r="100" spans="1:23" s="20" customFormat="1">
      <c r="A100" s="1060">
        <v>44531</v>
      </c>
      <c r="B100" s="1052" t="s">
        <v>43</v>
      </c>
      <c r="C100" s="1061" t="s">
        <v>8891</v>
      </c>
      <c r="D100" s="1054" t="s">
        <v>8892</v>
      </c>
      <c r="E100" s="1056" t="s">
        <v>7275</v>
      </c>
      <c r="F100" s="1056" t="s">
        <v>7273</v>
      </c>
      <c r="G100" s="1057">
        <v>1</v>
      </c>
      <c r="H100" s="1054">
        <v>93000</v>
      </c>
      <c r="I100" s="17">
        <f t="shared" si="6"/>
        <v>93000</v>
      </c>
      <c r="J100" s="1054"/>
      <c r="K100" s="18">
        <f t="shared" si="7"/>
        <v>93000</v>
      </c>
      <c r="L100" s="1058"/>
      <c r="M100" s="1058">
        <v>-5802</v>
      </c>
      <c r="N100" s="17">
        <f t="shared" si="8"/>
        <v>87198</v>
      </c>
      <c r="O100" s="1052" t="s">
        <v>43</v>
      </c>
      <c r="P100" s="1059"/>
      <c r="Q100" s="1053" t="s">
        <v>54</v>
      </c>
      <c r="R100" s="1052" t="s">
        <v>8711</v>
      </c>
      <c r="S100" s="1058"/>
      <c r="T100" s="1058"/>
      <c r="U100" s="1058"/>
      <c r="V100" s="1058"/>
      <c r="W100" s="1058"/>
    </row>
    <row r="101" spans="1:23" s="20" customFormat="1">
      <c r="A101" s="1060">
        <v>44531</v>
      </c>
      <c r="B101" s="1052" t="s">
        <v>23</v>
      </c>
      <c r="C101" s="1061" t="s">
        <v>8893</v>
      </c>
      <c r="D101" s="1054" t="s">
        <v>8894</v>
      </c>
      <c r="E101" s="1052" t="s">
        <v>5955</v>
      </c>
      <c r="F101" s="1052" t="s">
        <v>5956</v>
      </c>
      <c r="G101" s="1057">
        <v>1</v>
      </c>
      <c r="H101" s="1054">
        <v>99000</v>
      </c>
      <c r="I101" s="17">
        <f t="shared" si="6"/>
        <v>99000</v>
      </c>
      <c r="J101" s="1054"/>
      <c r="K101" s="18">
        <f t="shared" si="7"/>
        <v>99000</v>
      </c>
      <c r="L101" s="1058">
        <v>17000</v>
      </c>
      <c r="M101" s="1058"/>
      <c r="N101" s="17">
        <f t="shared" si="8"/>
        <v>116000</v>
      </c>
      <c r="O101" s="1052" t="s">
        <v>23</v>
      </c>
      <c r="P101" s="1062"/>
      <c r="Q101" s="1053" t="s">
        <v>176</v>
      </c>
      <c r="R101" s="1052" t="s">
        <v>8711</v>
      </c>
      <c r="S101" s="1058"/>
      <c r="T101" s="1058"/>
      <c r="U101" s="1058"/>
      <c r="V101" s="1058"/>
      <c r="W101" s="1058"/>
    </row>
    <row r="102" spans="1:23" s="20" customFormat="1">
      <c r="A102" s="1051">
        <v>44532</v>
      </c>
      <c r="B102" s="1052" t="s">
        <v>177</v>
      </c>
      <c r="C102" s="1053" t="s">
        <v>8895</v>
      </c>
      <c r="D102" s="1054" t="s">
        <v>8896</v>
      </c>
      <c r="E102" s="1056" t="s">
        <v>3067</v>
      </c>
      <c r="F102" s="1056" t="s">
        <v>3068</v>
      </c>
      <c r="G102" s="1063">
        <v>1</v>
      </c>
      <c r="H102" s="1054">
        <v>28000</v>
      </c>
      <c r="I102" s="17">
        <f t="shared" si="6"/>
        <v>28000</v>
      </c>
      <c r="J102" s="1054"/>
      <c r="K102" s="18">
        <f t="shared" si="7"/>
        <v>28000</v>
      </c>
      <c r="L102" s="1058">
        <v>9500</v>
      </c>
      <c r="M102" s="1058"/>
      <c r="N102" s="17">
        <f t="shared" si="8"/>
        <v>37500</v>
      </c>
      <c r="O102" s="1052" t="s">
        <v>177</v>
      </c>
      <c r="P102" s="1059"/>
      <c r="Q102" s="1052"/>
      <c r="R102" s="1052" t="s">
        <v>8711</v>
      </c>
      <c r="S102" s="1058"/>
      <c r="T102" s="1058"/>
      <c r="U102" s="1058"/>
      <c r="V102" s="1058"/>
      <c r="W102" s="1058"/>
    </row>
    <row r="103" spans="1:23" s="20" customFormat="1">
      <c r="A103" s="1051">
        <v>44532</v>
      </c>
      <c r="B103" s="1052" t="s">
        <v>23</v>
      </c>
      <c r="C103" s="1053" t="s">
        <v>8897</v>
      </c>
      <c r="D103" s="1054" t="s">
        <v>8898</v>
      </c>
      <c r="E103" s="1064" t="s">
        <v>4219</v>
      </c>
      <c r="F103" s="1064" t="s">
        <v>4220</v>
      </c>
      <c r="G103" s="1063">
        <v>2</v>
      </c>
      <c r="H103" s="1054">
        <v>91000</v>
      </c>
      <c r="I103" s="17">
        <f t="shared" si="6"/>
        <v>182000</v>
      </c>
      <c r="J103" s="1054"/>
      <c r="K103" s="18">
        <f t="shared" si="7"/>
        <v>182000</v>
      </c>
      <c r="L103" s="1058">
        <v>68000</v>
      </c>
      <c r="M103" s="1058"/>
      <c r="N103" s="17">
        <f t="shared" si="8"/>
        <v>250000</v>
      </c>
      <c r="O103" s="1052" t="s">
        <v>23</v>
      </c>
      <c r="P103" s="1062"/>
      <c r="Q103" s="1052" t="s">
        <v>54</v>
      </c>
      <c r="R103" s="1052" t="s">
        <v>8716</v>
      </c>
      <c r="S103" s="1058"/>
      <c r="T103" s="1058"/>
      <c r="U103" s="1058"/>
      <c r="V103" s="1058"/>
      <c r="W103" s="1058"/>
    </row>
    <row r="104" spans="1:23" s="20" customFormat="1">
      <c r="A104" s="1051">
        <v>44532</v>
      </c>
      <c r="B104" s="1052" t="s">
        <v>23</v>
      </c>
      <c r="C104" s="1053" t="s">
        <v>8897</v>
      </c>
      <c r="D104" s="1054" t="s">
        <v>8898</v>
      </c>
      <c r="E104" s="1064" t="s">
        <v>8899</v>
      </c>
      <c r="F104" s="1064" t="s">
        <v>8900</v>
      </c>
      <c r="G104" s="1063">
        <v>2</v>
      </c>
      <c r="H104" s="1054">
        <v>115500</v>
      </c>
      <c r="I104" s="17">
        <f t="shared" si="6"/>
        <v>231000</v>
      </c>
      <c r="J104" s="1054"/>
      <c r="K104" s="18">
        <f t="shared" si="7"/>
        <v>231000</v>
      </c>
      <c r="L104" s="1058"/>
      <c r="M104" s="1058"/>
      <c r="N104" s="17">
        <f t="shared" si="8"/>
        <v>231000</v>
      </c>
      <c r="O104" s="1052" t="s">
        <v>23</v>
      </c>
      <c r="P104" s="1059"/>
      <c r="Q104" s="1052" t="s">
        <v>40</v>
      </c>
      <c r="R104" s="1052" t="s">
        <v>8711</v>
      </c>
      <c r="S104" s="1058"/>
      <c r="T104" s="1058"/>
      <c r="U104" s="1058"/>
      <c r="V104" s="1058"/>
      <c r="W104" s="1058"/>
    </row>
    <row r="105" spans="1:23" s="119" customFormat="1">
      <c r="A105" s="1051">
        <v>44532</v>
      </c>
      <c r="B105" s="1052" t="s">
        <v>23</v>
      </c>
      <c r="C105" s="1053" t="s">
        <v>8897</v>
      </c>
      <c r="D105" s="1054" t="s">
        <v>8898</v>
      </c>
      <c r="E105" s="1065" t="s">
        <v>6480</v>
      </c>
      <c r="F105" s="1065" t="s">
        <v>6481</v>
      </c>
      <c r="G105" s="1066">
        <v>2</v>
      </c>
      <c r="H105" s="1030">
        <v>62000</v>
      </c>
      <c r="I105" s="17">
        <f t="shared" si="6"/>
        <v>124000</v>
      </c>
      <c r="J105" s="1030"/>
      <c r="K105" s="18">
        <f t="shared" si="7"/>
        <v>124000</v>
      </c>
      <c r="L105" s="1067"/>
      <c r="M105" s="1067"/>
      <c r="N105" s="17">
        <f t="shared" si="8"/>
        <v>124000</v>
      </c>
      <c r="O105" s="1052" t="s">
        <v>23</v>
      </c>
      <c r="P105" s="1068"/>
      <c r="Q105" s="1052" t="s">
        <v>40</v>
      </c>
      <c r="R105" s="1069" t="s">
        <v>8716</v>
      </c>
      <c r="S105" s="1070"/>
      <c r="T105" s="1067"/>
      <c r="U105" s="1067"/>
      <c r="V105" s="1067"/>
      <c r="W105" s="1067"/>
    </row>
    <row r="106" spans="1:23" s="119" customFormat="1">
      <c r="A106" s="1051">
        <v>44532</v>
      </c>
      <c r="B106" s="1052" t="s">
        <v>23</v>
      </c>
      <c r="C106" s="1053" t="s">
        <v>8897</v>
      </c>
      <c r="D106" s="1054" t="s">
        <v>8898</v>
      </c>
      <c r="E106" s="1065" t="s">
        <v>8901</v>
      </c>
      <c r="F106" s="1065" t="s">
        <v>8902</v>
      </c>
      <c r="G106" s="1066">
        <v>2</v>
      </c>
      <c r="H106" s="1030">
        <v>172500</v>
      </c>
      <c r="I106" s="17">
        <f t="shared" si="6"/>
        <v>345000</v>
      </c>
      <c r="J106" s="1030"/>
      <c r="K106" s="18">
        <f t="shared" si="7"/>
        <v>345000</v>
      </c>
      <c r="L106" s="1067"/>
      <c r="M106" s="1067"/>
      <c r="N106" s="17">
        <f t="shared" si="8"/>
        <v>345000</v>
      </c>
      <c r="O106" s="1052" t="s">
        <v>23</v>
      </c>
      <c r="P106" s="1071"/>
      <c r="Q106" s="1052" t="s">
        <v>40</v>
      </c>
      <c r="R106" s="1069" t="s">
        <v>8716</v>
      </c>
      <c r="S106" s="1072"/>
      <c r="T106" s="1067"/>
      <c r="U106" s="1067"/>
      <c r="V106" s="1067"/>
      <c r="W106" s="1067"/>
    </row>
    <row r="107" spans="1:23" s="119" customFormat="1">
      <c r="A107" s="1051">
        <v>44532</v>
      </c>
      <c r="B107" s="1052" t="s">
        <v>23</v>
      </c>
      <c r="C107" s="1053" t="s">
        <v>8897</v>
      </c>
      <c r="D107" s="1054" t="s">
        <v>8898</v>
      </c>
      <c r="E107" s="1065" t="s">
        <v>668</v>
      </c>
      <c r="F107" s="1065" t="s">
        <v>669</v>
      </c>
      <c r="G107" s="1066">
        <v>2</v>
      </c>
      <c r="H107" s="1030">
        <v>75500</v>
      </c>
      <c r="I107" s="17">
        <f t="shared" si="6"/>
        <v>151000</v>
      </c>
      <c r="J107" s="1030"/>
      <c r="K107" s="18">
        <f t="shared" si="7"/>
        <v>151000</v>
      </c>
      <c r="L107" s="1067"/>
      <c r="M107" s="1067"/>
      <c r="N107" s="17">
        <f t="shared" si="8"/>
        <v>151000</v>
      </c>
      <c r="O107" s="1052" t="s">
        <v>23</v>
      </c>
      <c r="P107" s="1071"/>
      <c r="Q107" s="1052" t="s">
        <v>40</v>
      </c>
      <c r="R107" s="1069" t="s">
        <v>8716</v>
      </c>
      <c r="S107" s="1072"/>
      <c r="T107" s="1067"/>
      <c r="U107" s="1067"/>
      <c r="V107" s="1067"/>
      <c r="W107" s="1067"/>
    </row>
    <row r="108" spans="1:23" s="119" customFormat="1">
      <c r="A108" s="1051">
        <v>44532</v>
      </c>
      <c r="B108" s="1052" t="s">
        <v>23</v>
      </c>
      <c r="C108" s="1053" t="s">
        <v>8897</v>
      </c>
      <c r="D108" s="1054" t="s">
        <v>8898</v>
      </c>
      <c r="E108" s="1064" t="s">
        <v>3063</v>
      </c>
      <c r="F108" s="1064" t="s">
        <v>3064</v>
      </c>
      <c r="G108" s="1066">
        <v>2</v>
      </c>
      <c r="H108" s="1030">
        <v>91500</v>
      </c>
      <c r="I108" s="17">
        <f t="shared" si="6"/>
        <v>183000</v>
      </c>
      <c r="J108" s="1030"/>
      <c r="K108" s="18">
        <f t="shared" si="7"/>
        <v>183000</v>
      </c>
      <c r="L108" s="1067"/>
      <c r="M108" s="1067"/>
      <c r="N108" s="17">
        <f t="shared" si="8"/>
        <v>183000</v>
      </c>
      <c r="O108" s="1052" t="s">
        <v>23</v>
      </c>
      <c r="P108" s="1071"/>
      <c r="Q108" s="1052" t="s">
        <v>40</v>
      </c>
      <c r="R108" s="1052" t="s">
        <v>8711</v>
      </c>
      <c r="S108" s="1072"/>
      <c r="T108" s="1067"/>
      <c r="U108" s="1067"/>
      <c r="V108" s="1067"/>
      <c r="W108" s="1067"/>
    </row>
    <row r="109" spans="1:23" s="119" customFormat="1">
      <c r="A109" s="1051">
        <v>44532</v>
      </c>
      <c r="B109" s="1052" t="s">
        <v>177</v>
      </c>
      <c r="C109" s="1053" t="s">
        <v>8903</v>
      </c>
      <c r="D109" s="1030" t="s">
        <v>8751</v>
      </c>
      <c r="E109" s="1056" t="s">
        <v>3439</v>
      </c>
      <c r="F109" s="1056" t="s">
        <v>3440</v>
      </c>
      <c r="G109" s="1057">
        <v>1</v>
      </c>
      <c r="H109" s="1030">
        <v>108000</v>
      </c>
      <c r="I109" s="17">
        <f t="shared" si="6"/>
        <v>108000</v>
      </c>
      <c r="J109" s="1030"/>
      <c r="K109" s="18">
        <f t="shared" si="7"/>
        <v>108000</v>
      </c>
      <c r="L109" s="1067">
        <v>9000</v>
      </c>
      <c r="M109" s="1067"/>
      <c r="N109" s="17">
        <f t="shared" si="8"/>
        <v>117000</v>
      </c>
      <c r="O109" s="1052" t="s">
        <v>177</v>
      </c>
      <c r="P109" s="1067"/>
      <c r="Q109" s="1053" t="s">
        <v>54</v>
      </c>
      <c r="R109" s="1052" t="s">
        <v>8711</v>
      </c>
      <c r="S109" s="1073"/>
      <c r="T109" s="1067"/>
      <c r="U109" s="1067"/>
      <c r="V109" s="1067"/>
      <c r="W109" s="1067"/>
    </row>
    <row r="110" spans="1:23" s="119" customFormat="1">
      <c r="A110" s="1051">
        <v>44532</v>
      </c>
      <c r="B110" s="1052" t="s">
        <v>177</v>
      </c>
      <c r="C110" s="1053" t="s">
        <v>8904</v>
      </c>
      <c r="D110" s="1030" t="s">
        <v>8905</v>
      </c>
      <c r="E110" s="1052" t="s">
        <v>8906</v>
      </c>
      <c r="F110" s="1052" t="s">
        <v>8907</v>
      </c>
      <c r="G110" s="1057">
        <v>1</v>
      </c>
      <c r="H110" s="1030">
        <v>84500</v>
      </c>
      <c r="I110" s="17">
        <f t="shared" si="6"/>
        <v>84500</v>
      </c>
      <c r="J110" s="1030"/>
      <c r="K110" s="18">
        <f t="shared" si="7"/>
        <v>84500</v>
      </c>
      <c r="L110" s="1067">
        <v>9000</v>
      </c>
      <c r="M110" s="1067"/>
      <c r="N110" s="17">
        <f t="shared" si="8"/>
        <v>93500</v>
      </c>
      <c r="O110" s="1052" t="s">
        <v>177</v>
      </c>
      <c r="P110" s="1074"/>
      <c r="Q110" s="1053" t="s">
        <v>54</v>
      </c>
      <c r="R110" s="1052" t="s">
        <v>8711</v>
      </c>
      <c r="S110" s="1074"/>
      <c r="T110" s="1067"/>
      <c r="U110" s="1067"/>
      <c r="V110" s="1067"/>
      <c r="W110" s="1067"/>
    </row>
    <row r="111" spans="1:23" s="119" customFormat="1">
      <c r="A111" s="1051">
        <v>44532</v>
      </c>
      <c r="B111" s="1052" t="s">
        <v>23</v>
      </c>
      <c r="C111" s="1053" t="s">
        <v>7495</v>
      </c>
      <c r="D111" s="1030" t="s">
        <v>8908</v>
      </c>
      <c r="E111" s="1075" t="s">
        <v>8909</v>
      </c>
      <c r="F111" s="1075" t="s">
        <v>8910</v>
      </c>
      <c r="G111" s="1057">
        <v>2</v>
      </c>
      <c r="H111" s="1076">
        <v>68000</v>
      </c>
      <c r="I111" s="17">
        <f t="shared" si="6"/>
        <v>136000</v>
      </c>
      <c r="J111" s="1030">
        <v>54400</v>
      </c>
      <c r="K111" s="18">
        <f t="shared" si="7"/>
        <v>81600</v>
      </c>
      <c r="L111" s="1067">
        <v>102000</v>
      </c>
      <c r="M111" s="1067"/>
      <c r="N111" s="17">
        <f t="shared" si="8"/>
        <v>183600</v>
      </c>
      <c r="O111" s="1052" t="s">
        <v>23</v>
      </c>
      <c r="P111" s="1071"/>
      <c r="Q111" s="1053" t="s">
        <v>40</v>
      </c>
      <c r="R111" s="1069" t="s">
        <v>8716</v>
      </c>
      <c r="S111" s="1072"/>
      <c r="T111" s="1067"/>
      <c r="U111" s="1067"/>
      <c r="V111" s="1067"/>
      <c r="W111" s="1067"/>
    </row>
    <row r="112" spans="1:23" s="119" customFormat="1">
      <c r="A112" s="1051">
        <v>44532</v>
      </c>
      <c r="B112" s="1052" t="s">
        <v>23</v>
      </c>
      <c r="C112" s="1053" t="s">
        <v>7495</v>
      </c>
      <c r="D112" s="1030" t="s">
        <v>8908</v>
      </c>
      <c r="E112" s="1075" t="s">
        <v>8911</v>
      </c>
      <c r="F112" s="1075" t="s">
        <v>8912</v>
      </c>
      <c r="G112" s="1057">
        <v>1</v>
      </c>
      <c r="H112" s="1076">
        <v>59000</v>
      </c>
      <c r="I112" s="17">
        <f t="shared" si="6"/>
        <v>59000</v>
      </c>
      <c r="J112" s="1030">
        <v>23600</v>
      </c>
      <c r="K112" s="18">
        <f t="shared" si="7"/>
        <v>35400</v>
      </c>
      <c r="L112" s="1067"/>
      <c r="M112" s="1067"/>
      <c r="N112" s="17">
        <f t="shared" si="8"/>
        <v>35400</v>
      </c>
      <c r="O112" s="1052" t="s">
        <v>23</v>
      </c>
      <c r="P112" s="827"/>
      <c r="Q112" s="1053" t="s">
        <v>40</v>
      </c>
      <c r="R112" s="1069" t="s">
        <v>8716</v>
      </c>
      <c r="S112" s="1067"/>
      <c r="T112" s="1067"/>
      <c r="U112" s="1067"/>
      <c r="V112" s="1067"/>
      <c r="W112" s="1067"/>
    </row>
    <row r="113" spans="1:23" s="119" customFormat="1">
      <c r="A113" s="1051">
        <v>44532</v>
      </c>
      <c r="B113" s="1052" t="s">
        <v>23</v>
      </c>
      <c r="C113" s="1053" t="s">
        <v>7495</v>
      </c>
      <c r="D113" s="1030" t="s">
        <v>8908</v>
      </c>
      <c r="E113" s="1077" t="s">
        <v>8913</v>
      </c>
      <c r="F113" s="1077" t="s">
        <v>8914</v>
      </c>
      <c r="G113" s="1057">
        <v>1</v>
      </c>
      <c r="H113" s="1076">
        <v>30000</v>
      </c>
      <c r="I113" s="17">
        <f t="shared" si="6"/>
        <v>30000</v>
      </c>
      <c r="J113" s="1030">
        <v>12000</v>
      </c>
      <c r="K113" s="18">
        <f t="shared" si="7"/>
        <v>18000</v>
      </c>
      <c r="L113" s="1067"/>
      <c r="M113" s="1067"/>
      <c r="N113" s="17">
        <f t="shared" si="8"/>
        <v>18000</v>
      </c>
      <c r="O113" s="1052" t="s">
        <v>23</v>
      </c>
      <c r="P113" s="1071"/>
      <c r="Q113" s="1053" t="s">
        <v>40</v>
      </c>
      <c r="R113" s="1069" t="s">
        <v>8716</v>
      </c>
      <c r="S113" s="1072"/>
      <c r="T113" s="1067"/>
      <c r="U113" s="1067"/>
      <c r="V113" s="1067"/>
      <c r="W113" s="1067"/>
    </row>
    <row r="114" spans="1:23" s="119" customFormat="1">
      <c r="A114" s="1051">
        <v>44532</v>
      </c>
      <c r="B114" s="1052" t="s">
        <v>23</v>
      </c>
      <c r="C114" s="1053" t="s">
        <v>7495</v>
      </c>
      <c r="D114" s="1030" t="s">
        <v>8908</v>
      </c>
      <c r="E114" s="1077" t="s">
        <v>7536</v>
      </c>
      <c r="F114" s="1077" t="s">
        <v>3463</v>
      </c>
      <c r="G114" s="1057">
        <v>1</v>
      </c>
      <c r="H114" s="1076">
        <v>101000</v>
      </c>
      <c r="I114" s="17">
        <f t="shared" si="6"/>
        <v>101000</v>
      </c>
      <c r="J114" s="1030">
        <v>40400</v>
      </c>
      <c r="K114" s="18">
        <f t="shared" si="7"/>
        <v>60600</v>
      </c>
      <c r="L114" s="1067"/>
      <c r="M114" s="1067"/>
      <c r="N114" s="17">
        <f t="shared" si="8"/>
        <v>60600</v>
      </c>
      <c r="O114" s="1052" t="s">
        <v>23</v>
      </c>
      <c r="P114" s="1071"/>
      <c r="Q114" s="1053" t="s">
        <v>40</v>
      </c>
      <c r="R114" s="1069" t="s">
        <v>8716</v>
      </c>
      <c r="S114" s="1072"/>
      <c r="T114" s="1067"/>
      <c r="U114" s="1067"/>
      <c r="V114" s="1067"/>
      <c r="W114" s="1067"/>
    </row>
    <row r="115" spans="1:23" s="119" customFormat="1">
      <c r="A115" s="1051">
        <v>44532</v>
      </c>
      <c r="B115" s="1052" t="s">
        <v>23</v>
      </c>
      <c r="C115" s="1053" t="s">
        <v>7495</v>
      </c>
      <c r="D115" s="1030" t="s">
        <v>8908</v>
      </c>
      <c r="E115" s="1077" t="s">
        <v>8915</v>
      </c>
      <c r="F115" s="1077" t="s">
        <v>494</v>
      </c>
      <c r="G115" s="1057">
        <v>2</v>
      </c>
      <c r="H115" s="1076">
        <v>67000</v>
      </c>
      <c r="I115" s="17">
        <f t="shared" si="6"/>
        <v>134000</v>
      </c>
      <c r="J115" s="1030">
        <v>53600</v>
      </c>
      <c r="K115" s="18">
        <f t="shared" si="7"/>
        <v>80400</v>
      </c>
      <c r="L115" s="1067"/>
      <c r="M115" s="1067"/>
      <c r="N115" s="17">
        <f t="shared" si="8"/>
        <v>80400</v>
      </c>
      <c r="O115" s="1052" t="s">
        <v>23</v>
      </c>
      <c r="P115" s="1071"/>
      <c r="Q115" s="1053" t="s">
        <v>40</v>
      </c>
      <c r="R115" s="1069" t="s">
        <v>8716</v>
      </c>
      <c r="S115" s="1074"/>
      <c r="T115" s="1067"/>
      <c r="U115" s="1067"/>
      <c r="V115" s="1067"/>
      <c r="W115" s="1067"/>
    </row>
    <row r="116" spans="1:23" s="171" customFormat="1">
      <c r="A116" s="1051">
        <v>44532</v>
      </c>
      <c r="B116" s="1052" t="s">
        <v>23</v>
      </c>
      <c r="C116" s="1053" t="s">
        <v>7495</v>
      </c>
      <c r="D116" s="1030" t="s">
        <v>8908</v>
      </c>
      <c r="E116" s="1077" t="s">
        <v>981</v>
      </c>
      <c r="F116" s="1077" t="s">
        <v>3279</v>
      </c>
      <c r="G116" s="1057">
        <v>1</v>
      </c>
      <c r="H116" s="1076">
        <v>132000</v>
      </c>
      <c r="I116" s="17">
        <f t="shared" si="6"/>
        <v>132000</v>
      </c>
      <c r="J116" s="1030">
        <v>52800</v>
      </c>
      <c r="K116" s="18">
        <f t="shared" si="7"/>
        <v>79200</v>
      </c>
      <c r="L116" s="1072"/>
      <c r="M116" s="1072"/>
      <c r="N116" s="17">
        <f t="shared" si="8"/>
        <v>79200</v>
      </c>
      <c r="O116" s="1052" t="s">
        <v>23</v>
      </c>
      <c r="P116" s="1070"/>
      <c r="Q116" s="1053" t="s">
        <v>40</v>
      </c>
      <c r="R116" s="1069" t="s">
        <v>8716</v>
      </c>
      <c r="S116" s="1072"/>
      <c r="T116" s="1072"/>
      <c r="U116" s="1072"/>
      <c r="V116" s="1072"/>
      <c r="W116" s="1072"/>
    </row>
    <row r="117" spans="1:23" s="20" customFormat="1">
      <c r="A117" s="1051">
        <v>44532</v>
      </c>
      <c r="B117" s="1052" t="s">
        <v>23</v>
      </c>
      <c r="C117" s="1053" t="s">
        <v>7495</v>
      </c>
      <c r="D117" s="1030" t="s">
        <v>8908</v>
      </c>
      <c r="E117" s="1077" t="s">
        <v>8916</v>
      </c>
      <c r="F117" s="1077" t="s">
        <v>8917</v>
      </c>
      <c r="G117" s="1057">
        <v>1</v>
      </c>
      <c r="H117" s="1076">
        <v>80000</v>
      </c>
      <c r="I117" s="17">
        <f t="shared" si="6"/>
        <v>80000</v>
      </c>
      <c r="J117" s="1030">
        <v>32000</v>
      </c>
      <c r="K117" s="18">
        <f t="shared" si="7"/>
        <v>48000</v>
      </c>
      <c r="L117" s="1058"/>
      <c r="M117" s="1058"/>
      <c r="N117" s="17">
        <f t="shared" si="8"/>
        <v>48000</v>
      </c>
      <c r="O117" s="1052" t="s">
        <v>23</v>
      </c>
      <c r="P117" s="1059"/>
      <c r="Q117" s="1053" t="s">
        <v>40</v>
      </c>
      <c r="R117" s="1069" t="s">
        <v>8716</v>
      </c>
      <c r="S117" s="1058"/>
      <c r="T117" s="1058"/>
      <c r="U117" s="1058"/>
      <c r="V117" s="1058"/>
      <c r="W117" s="1058"/>
    </row>
    <row r="118" spans="1:23" s="26" customFormat="1">
      <c r="A118" s="1051">
        <v>44532</v>
      </c>
      <c r="B118" s="1052" t="s">
        <v>23</v>
      </c>
      <c r="C118" s="1053" t="s">
        <v>7495</v>
      </c>
      <c r="D118" s="1030" t="s">
        <v>8908</v>
      </c>
      <c r="E118" s="1077" t="s">
        <v>6852</v>
      </c>
      <c r="F118" s="1077" t="s">
        <v>6853</v>
      </c>
      <c r="G118" s="1057">
        <v>1</v>
      </c>
      <c r="H118" s="1076">
        <v>160000</v>
      </c>
      <c r="I118" s="17">
        <f t="shared" si="6"/>
        <v>160000</v>
      </c>
      <c r="J118" s="1030">
        <v>64000</v>
      </c>
      <c r="K118" s="18">
        <f t="shared" si="7"/>
        <v>96000</v>
      </c>
      <c r="L118" s="1078"/>
      <c r="M118" s="1078"/>
      <c r="N118" s="17">
        <f t="shared" si="8"/>
        <v>96000</v>
      </c>
      <c r="O118" s="1052" t="s">
        <v>23</v>
      </c>
      <c r="P118" s="1079"/>
      <c r="Q118" s="1053" t="s">
        <v>40</v>
      </c>
      <c r="R118" s="1069" t="s">
        <v>8716</v>
      </c>
      <c r="S118" s="1078"/>
      <c r="T118" s="1078"/>
      <c r="U118" s="1078"/>
      <c r="V118" s="1078"/>
      <c r="W118" s="1078"/>
    </row>
    <row r="119" spans="1:23" s="20" customFormat="1">
      <c r="A119" s="1051">
        <v>44532</v>
      </c>
      <c r="B119" s="1052" t="s">
        <v>23</v>
      </c>
      <c r="C119" s="1053" t="s">
        <v>7495</v>
      </c>
      <c r="D119" s="1030" t="s">
        <v>8908</v>
      </c>
      <c r="E119" s="1077" t="s">
        <v>8223</v>
      </c>
      <c r="F119" s="1077" t="s">
        <v>8224</v>
      </c>
      <c r="G119" s="1057">
        <v>1</v>
      </c>
      <c r="H119" s="1076">
        <v>73000</v>
      </c>
      <c r="I119" s="17">
        <f t="shared" si="6"/>
        <v>73000</v>
      </c>
      <c r="J119" s="1030">
        <v>29200</v>
      </c>
      <c r="K119" s="18">
        <f t="shared" si="7"/>
        <v>43800</v>
      </c>
      <c r="L119" s="1058"/>
      <c r="M119" s="1058"/>
      <c r="N119" s="17">
        <f t="shared" si="8"/>
        <v>43800</v>
      </c>
      <c r="O119" s="1052" t="s">
        <v>23</v>
      </c>
      <c r="P119" s="1059"/>
      <c r="Q119" s="1053" t="s">
        <v>40</v>
      </c>
      <c r="R119" s="1069" t="s">
        <v>8716</v>
      </c>
      <c r="S119" s="1058"/>
      <c r="T119" s="1058"/>
      <c r="U119" s="1058"/>
      <c r="V119" s="1058"/>
      <c r="W119" s="1058"/>
    </row>
    <row r="120" spans="1:23" s="20" customFormat="1">
      <c r="A120" s="1051">
        <v>44532</v>
      </c>
      <c r="B120" s="1052" t="s">
        <v>23</v>
      </c>
      <c r="C120" s="1053" t="s">
        <v>7495</v>
      </c>
      <c r="D120" s="1030" t="s">
        <v>8908</v>
      </c>
      <c r="E120" s="1077" t="s">
        <v>8918</v>
      </c>
      <c r="F120" s="1077" t="s">
        <v>5108</v>
      </c>
      <c r="G120" s="1057">
        <v>2</v>
      </c>
      <c r="H120" s="1076">
        <v>23000</v>
      </c>
      <c r="I120" s="17">
        <f t="shared" si="6"/>
        <v>46000</v>
      </c>
      <c r="J120" s="1030">
        <v>18400</v>
      </c>
      <c r="K120" s="18">
        <f t="shared" si="7"/>
        <v>27600</v>
      </c>
      <c r="L120" s="1058"/>
      <c r="M120" s="1058"/>
      <c r="N120" s="17">
        <f t="shared" si="8"/>
        <v>27600</v>
      </c>
      <c r="O120" s="1052" t="s">
        <v>23</v>
      </c>
      <c r="P120" s="1059"/>
      <c r="Q120" s="1053" t="s">
        <v>40</v>
      </c>
      <c r="R120" s="1069" t="s">
        <v>8716</v>
      </c>
      <c r="S120" s="1058"/>
      <c r="T120" s="1058"/>
      <c r="U120" s="1058"/>
      <c r="V120" s="1058"/>
      <c r="W120" s="1058"/>
    </row>
    <row r="121" spans="1:23" s="20" customFormat="1">
      <c r="A121" s="1051">
        <v>44532</v>
      </c>
      <c r="B121" s="1052" t="s">
        <v>23</v>
      </c>
      <c r="C121" s="1053" t="s">
        <v>7495</v>
      </c>
      <c r="D121" s="1030" t="s">
        <v>8908</v>
      </c>
      <c r="E121" s="1077" t="s">
        <v>8919</v>
      </c>
      <c r="F121" s="1077" t="s">
        <v>8920</v>
      </c>
      <c r="G121" s="1057">
        <v>1</v>
      </c>
      <c r="H121" s="1076">
        <v>105000</v>
      </c>
      <c r="I121" s="17">
        <f t="shared" si="6"/>
        <v>105000</v>
      </c>
      <c r="J121" s="1030">
        <v>42000</v>
      </c>
      <c r="K121" s="18">
        <f t="shared" si="7"/>
        <v>63000</v>
      </c>
      <c r="L121" s="1058"/>
      <c r="M121" s="1058"/>
      <c r="N121" s="17">
        <f t="shared" si="8"/>
        <v>63000</v>
      </c>
      <c r="O121" s="1052" t="s">
        <v>23</v>
      </c>
      <c r="P121" s="1062"/>
      <c r="Q121" s="1053" t="s">
        <v>40</v>
      </c>
      <c r="R121" s="1069" t="s">
        <v>8716</v>
      </c>
      <c r="S121" s="1058"/>
      <c r="T121" s="1058"/>
      <c r="U121" s="1058"/>
      <c r="V121" s="1058"/>
      <c r="W121" s="1058"/>
    </row>
    <row r="122" spans="1:23" s="20" customFormat="1">
      <c r="A122" s="1051">
        <v>44532</v>
      </c>
      <c r="B122" s="1052" t="s">
        <v>23</v>
      </c>
      <c r="C122" s="1053" t="s">
        <v>7495</v>
      </c>
      <c r="D122" s="1030" t="s">
        <v>8908</v>
      </c>
      <c r="E122" s="1077" t="s">
        <v>6532</v>
      </c>
      <c r="F122" s="1077" t="s">
        <v>6533</v>
      </c>
      <c r="G122" s="1057">
        <v>2</v>
      </c>
      <c r="H122" s="1076">
        <v>30000</v>
      </c>
      <c r="I122" s="17">
        <f t="shared" si="6"/>
        <v>60000</v>
      </c>
      <c r="J122" s="1030">
        <v>24000</v>
      </c>
      <c r="K122" s="18">
        <f t="shared" si="7"/>
        <v>36000</v>
      </c>
      <c r="L122" s="1058"/>
      <c r="M122" s="1058"/>
      <c r="N122" s="17">
        <f t="shared" si="8"/>
        <v>36000</v>
      </c>
      <c r="O122" s="1052" t="s">
        <v>23</v>
      </c>
      <c r="P122" s="1059"/>
      <c r="Q122" s="1053" t="s">
        <v>40</v>
      </c>
      <c r="R122" s="1069" t="s">
        <v>8716</v>
      </c>
      <c r="S122" s="1058"/>
      <c r="T122" s="1058"/>
      <c r="U122" s="1058"/>
      <c r="V122" s="1058"/>
      <c r="W122" s="1058"/>
    </row>
    <row r="123" spans="1:23" s="20" customFormat="1">
      <c r="A123" s="1051">
        <v>44532</v>
      </c>
      <c r="B123" s="1052" t="s">
        <v>23</v>
      </c>
      <c r="C123" s="1053" t="s">
        <v>7495</v>
      </c>
      <c r="D123" s="1030" t="s">
        <v>8908</v>
      </c>
      <c r="E123" s="1077" t="s">
        <v>6523</v>
      </c>
      <c r="F123" s="1077" t="s">
        <v>6524</v>
      </c>
      <c r="G123" s="1057">
        <v>1</v>
      </c>
      <c r="H123" s="1076">
        <v>42000</v>
      </c>
      <c r="I123" s="17">
        <f t="shared" si="6"/>
        <v>42000</v>
      </c>
      <c r="J123" s="1030">
        <v>16800</v>
      </c>
      <c r="K123" s="18">
        <f t="shared" si="7"/>
        <v>25200</v>
      </c>
      <c r="L123" s="1058"/>
      <c r="M123" s="1058"/>
      <c r="N123" s="17">
        <f t="shared" si="8"/>
        <v>25200</v>
      </c>
      <c r="O123" s="1052" t="s">
        <v>23</v>
      </c>
      <c r="P123" s="1059"/>
      <c r="Q123" s="1053" t="s">
        <v>40</v>
      </c>
      <c r="R123" s="1069" t="s">
        <v>8716</v>
      </c>
      <c r="S123" s="1058"/>
      <c r="T123" s="1058"/>
      <c r="U123" s="1058"/>
      <c r="V123" s="1058"/>
      <c r="W123" s="1058"/>
    </row>
    <row r="124" spans="1:23" s="20" customFormat="1">
      <c r="A124" s="1051">
        <v>44532</v>
      </c>
      <c r="B124" s="1052" t="s">
        <v>23</v>
      </c>
      <c r="C124" s="1053" t="s">
        <v>7495</v>
      </c>
      <c r="D124" s="1030" t="s">
        <v>8908</v>
      </c>
      <c r="E124" s="1077" t="s">
        <v>8921</v>
      </c>
      <c r="F124" s="1077" t="s">
        <v>8922</v>
      </c>
      <c r="G124" s="1057">
        <v>1</v>
      </c>
      <c r="H124" s="1076">
        <v>92000</v>
      </c>
      <c r="I124" s="17">
        <f t="shared" si="6"/>
        <v>92000</v>
      </c>
      <c r="J124" s="1030">
        <v>36800</v>
      </c>
      <c r="K124" s="18">
        <f t="shared" si="7"/>
        <v>55200</v>
      </c>
      <c r="L124" s="1058"/>
      <c r="M124" s="1058"/>
      <c r="N124" s="17">
        <f t="shared" si="8"/>
        <v>55200</v>
      </c>
      <c r="O124" s="1052" t="s">
        <v>23</v>
      </c>
      <c r="P124" s="1059"/>
      <c r="Q124" s="1053" t="s">
        <v>40</v>
      </c>
      <c r="R124" s="1069" t="s">
        <v>8716</v>
      </c>
      <c r="S124" s="1058"/>
      <c r="T124" s="1058"/>
      <c r="U124" s="1058"/>
      <c r="V124" s="1058"/>
      <c r="W124" s="1058"/>
    </row>
    <row r="125" spans="1:23" s="20" customFormat="1">
      <c r="A125" s="1051">
        <v>44532</v>
      </c>
      <c r="B125" s="1052" t="s">
        <v>23</v>
      </c>
      <c r="C125" s="1053" t="s">
        <v>7495</v>
      </c>
      <c r="D125" s="1030" t="s">
        <v>8908</v>
      </c>
      <c r="E125" s="1077" t="s">
        <v>6529</v>
      </c>
      <c r="F125" s="1077" t="s">
        <v>6530</v>
      </c>
      <c r="G125" s="1057">
        <v>2</v>
      </c>
      <c r="H125" s="1076">
        <v>28000</v>
      </c>
      <c r="I125" s="17">
        <f t="shared" si="6"/>
        <v>56000</v>
      </c>
      <c r="J125" s="1030">
        <v>22400</v>
      </c>
      <c r="K125" s="18">
        <f t="shared" si="7"/>
        <v>33600</v>
      </c>
      <c r="L125" s="1058"/>
      <c r="M125" s="1058"/>
      <c r="N125" s="17">
        <f t="shared" si="8"/>
        <v>33600</v>
      </c>
      <c r="O125" s="1052" t="s">
        <v>23</v>
      </c>
      <c r="P125" s="1059"/>
      <c r="Q125" s="1053" t="s">
        <v>40</v>
      </c>
      <c r="R125" s="1069" t="s">
        <v>8716</v>
      </c>
      <c r="S125" s="1058"/>
      <c r="T125" s="1058"/>
      <c r="U125" s="1058"/>
      <c r="V125" s="1058"/>
      <c r="W125" s="1058"/>
    </row>
    <row r="126" spans="1:23" s="20" customFormat="1">
      <c r="A126" s="1051">
        <v>44532</v>
      </c>
      <c r="B126" s="1052" t="s">
        <v>23</v>
      </c>
      <c r="C126" s="1053" t="s">
        <v>7495</v>
      </c>
      <c r="D126" s="1030" t="s">
        <v>8908</v>
      </c>
      <c r="E126" s="1077" t="s">
        <v>8923</v>
      </c>
      <c r="F126" s="1077" t="s">
        <v>8924</v>
      </c>
      <c r="G126" s="1057">
        <v>1</v>
      </c>
      <c r="H126" s="1076">
        <v>52000</v>
      </c>
      <c r="I126" s="17">
        <f t="shared" si="6"/>
        <v>52000</v>
      </c>
      <c r="J126" s="1030">
        <v>20800</v>
      </c>
      <c r="K126" s="18">
        <f t="shared" si="7"/>
        <v>31200</v>
      </c>
      <c r="L126" s="1058"/>
      <c r="M126" s="1058"/>
      <c r="N126" s="17">
        <f t="shared" si="8"/>
        <v>31200</v>
      </c>
      <c r="O126" s="1052" t="s">
        <v>23</v>
      </c>
      <c r="P126" s="1059"/>
      <c r="Q126" s="1053" t="s">
        <v>40</v>
      </c>
      <c r="R126" s="1069" t="s">
        <v>8716</v>
      </c>
      <c r="S126" s="1058"/>
      <c r="T126" s="1058"/>
      <c r="U126" s="1058"/>
      <c r="V126" s="1058"/>
      <c r="W126" s="1058"/>
    </row>
    <row r="127" spans="1:23" s="20" customFormat="1">
      <c r="A127" s="1051">
        <v>44532</v>
      </c>
      <c r="B127" s="1052" t="s">
        <v>23</v>
      </c>
      <c r="C127" s="1053" t="s">
        <v>7495</v>
      </c>
      <c r="D127" s="1030" t="s">
        <v>8908</v>
      </c>
      <c r="E127" s="1077" t="s">
        <v>8517</v>
      </c>
      <c r="F127" s="1077" t="s">
        <v>8518</v>
      </c>
      <c r="G127" s="1057">
        <v>1</v>
      </c>
      <c r="H127" s="1076">
        <v>98000</v>
      </c>
      <c r="I127" s="17">
        <f t="shared" si="6"/>
        <v>98000</v>
      </c>
      <c r="J127" s="1030">
        <v>39200</v>
      </c>
      <c r="K127" s="18">
        <f t="shared" si="7"/>
        <v>58800</v>
      </c>
      <c r="L127" s="1058"/>
      <c r="M127" s="1058"/>
      <c r="N127" s="17">
        <f t="shared" si="8"/>
        <v>58800</v>
      </c>
      <c r="O127" s="1052" t="s">
        <v>23</v>
      </c>
      <c r="P127" s="1059"/>
      <c r="Q127" s="1053" t="s">
        <v>40</v>
      </c>
      <c r="R127" s="1069" t="s">
        <v>8716</v>
      </c>
      <c r="S127" s="1058"/>
      <c r="T127" s="1058"/>
      <c r="U127" s="1058"/>
      <c r="V127" s="1058"/>
      <c r="W127" s="1058"/>
    </row>
    <row r="128" spans="1:23" s="20" customFormat="1">
      <c r="A128" s="1051">
        <v>44532</v>
      </c>
      <c r="B128" s="1052" t="s">
        <v>23</v>
      </c>
      <c r="C128" s="1053" t="s">
        <v>7495</v>
      </c>
      <c r="D128" s="1030" t="s">
        <v>8908</v>
      </c>
      <c r="E128" s="1077" t="s">
        <v>7538</v>
      </c>
      <c r="F128" s="1077" t="s">
        <v>3463</v>
      </c>
      <c r="G128" s="1057">
        <v>1</v>
      </c>
      <c r="H128" s="1080">
        <v>93000</v>
      </c>
      <c r="I128" s="17">
        <f t="shared" si="6"/>
        <v>93000</v>
      </c>
      <c r="J128" s="1030">
        <v>37200</v>
      </c>
      <c r="K128" s="18">
        <f t="shared" si="7"/>
        <v>55800</v>
      </c>
      <c r="L128" s="1058"/>
      <c r="M128" s="1058"/>
      <c r="N128" s="17">
        <f t="shared" si="8"/>
        <v>55800</v>
      </c>
      <c r="O128" s="1052" t="s">
        <v>23</v>
      </c>
      <c r="P128" s="1059"/>
      <c r="Q128" s="1053" t="s">
        <v>40</v>
      </c>
      <c r="R128" s="1069" t="s">
        <v>8716</v>
      </c>
      <c r="S128" s="1058"/>
      <c r="T128" s="1058"/>
      <c r="U128" s="1058"/>
      <c r="V128" s="1058"/>
      <c r="W128" s="1058"/>
    </row>
    <row r="129" spans="1:23" s="20" customFormat="1">
      <c r="A129" s="1051">
        <v>44532</v>
      </c>
      <c r="B129" s="1052" t="s">
        <v>23</v>
      </c>
      <c r="C129" s="1053" t="s">
        <v>7495</v>
      </c>
      <c r="D129" s="1030" t="s">
        <v>8908</v>
      </c>
      <c r="E129" s="1077" t="s">
        <v>8925</v>
      </c>
      <c r="F129" s="1077" t="s">
        <v>8926</v>
      </c>
      <c r="G129" s="1057">
        <v>1</v>
      </c>
      <c r="H129" s="1076">
        <v>70000</v>
      </c>
      <c r="I129" s="17">
        <f t="shared" si="6"/>
        <v>70000</v>
      </c>
      <c r="J129" s="1030">
        <v>28000</v>
      </c>
      <c r="K129" s="18">
        <f t="shared" si="7"/>
        <v>42000</v>
      </c>
      <c r="L129" s="1058"/>
      <c r="M129" s="1058"/>
      <c r="N129" s="17">
        <f t="shared" si="8"/>
        <v>42000</v>
      </c>
      <c r="O129" s="1052" t="s">
        <v>23</v>
      </c>
      <c r="P129" s="1059"/>
      <c r="Q129" s="1053" t="s">
        <v>40</v>
      </c>
      <c r="R129" s="1069" t="s">
        <v>8716</v>
      </c>
      <c r="S129" s="1058"/>
      <c r="T129" s="1058"/>
      <c r="U129" s="1058"/>
      <c r="V129" s="1058"/>
      <c r="W129" s="1058"/>
    </row>
    <row r="130" spans="1:23" s="20" customFormat="1">
      <c r="A130" s="1051">
        <v>44532</v>
      </c>
      <c r="B130" s="1052" t="s">
        <v>23</v>
      </c>
      <c r="C130" s="1053" t="s">
        <v>7495</v>
      </c>
      <c r="D130" s="1030" t="s">
        <v>8908</v>
      </c>
      <c r="E130" s="1077" t="s">
        <v>8927</v>
      </c>
      <c r="F130" s="1077" t="s">
        <v>8928</v>
      </c>
      <c r="G130" s="1057">
        <v>1</v>
      </c>
      <c r="H130" s="1076">
        <v>83000</v>
      </c>
      <c r="I130" s="17">
        <f t="shared" si="6"/>
        <v>83000</v>
      </c>
      <c r="J130" s="1030">
        <v>33200</v>
      </c>
      <c r="K130" s="18">
        <f t="shared" si="7"/>
        <v>49800</v>
      </c>
      <c r="L130" s="1058"/>
      <c r="M130" s="1058"/>
      <c r="N130" s="17">
        <f t="shared" si="8"/>
        <v>49800</v>
      </c>
      <c r="O130" s="1052" t="s">
        <v>23</v>
      </c>
      <c r="P130" s="1059"/>
      <c r="Q130" s="1053" t="s">
        <v>40</v>
      </c>
      <c r="R130" s="1069" t="s">
        <v>8716</v>
      </c>
      <c r="S130" s="1058"/>
      <c r="T130" s="1058"/>
      <c r="U130" s="1058"/>
      <c r="V130" s="1058"/>
      <c r="W130" s="1058"/>
    </row>
    <row r="131" spans="1:23" s="20" customFormat="1">
      <c r="A131" s="1051">
        <v>44532</v>
      </c>
      <c r="B131" s="1052" t="s">
        <v>23</v>
      </c>
      <c r="C131" s="1053" t="s">
        <v>7495</v>
      </c>
      <c r="D131" s="1030" t="s">
        <v>8908</v>
      </c>
      <c r="E131" s="1077" t="s">
        <v>8929</v>
      </c>
      <c r="F131" s="1077" t="s">
        <v>8930</v>
      </c>
      <c r="G131" s="1057">
        <v>2</v>
      </c>
      <c r="H131" s="1076">
        <v>78000</v>
      </c>
      <c r="I131" s="17">
        <f t="shared" ref="I131:I194" si="9">H131*G131</f>
        <v>156000</v>
      </c>
      <c r="J131" s="1030">
        <v>62400</v>
      </c>
      <c r="K131" s="18">
        <f t="shared" ref="K131:K194" si="10">I131-J131</f>
        <v>93600</v>
      </c>
      <c r="L131" s="1058"/>
      <c r="M131" s="1058"/>
      <c r="N131" s="17">
        <f t="shared" ref="N131:N194" si="11">K131+L131+M131</f>
        <v>93600</v>
      </c>
      <c r="O131" s="1052" t="s">
        <v>23</v>
      </c>
      <c r="P131" s="1059"/>
      <c r="Q131" s="1053" t="s">
        <v>40</v>
      </c>
      <c r="R131" s="1069" t="s">
        <v>8716</v>
      </c>
      <c r="S131" s="1058"/>
      <c r="T131" s="1058"/>
      <c r="U131" s="1058"/>
      <c r="V131" s="1058"/>
      <c r="W131" s="1058"/>
    </row>
    <row r="132" spans="1:23" s="20" customFormat="1">
      <c r="A132" s="1051">
        <v>44532</v>
      </c>
      <c r="B132" s="1052" t="s">
        <v>23</v>
      </c>
      <c r="C132" s="1053" t="s">
        <v>7495</v>
      </c>
      <c r="D132" s="1030" t="s">
        <v>8908</v>
      </c>
      <c r="E132" s="1077" t="s">
        <v>8931</v>
      </c>
      <c r="F132" s="1077" t="s">
        <v>8932</v>
      </c>
      <c r="G132" s="1057">
        <v>2</v>
      </c>
      <c r="H132" s="1076">
        <v>62000</v>
      </c>
      <c r="I132" s="17">
        <f t="shared" si="9"/>
        <v>124000</v>
      </c>
      <c r="J132" s="1030">
        <v>49600</v>
      </c>
      <c r="K132" s="18">
        <f t="shared" si="10"/>
        <v>74400</v>
      </c>
      <c r="L132" s="1058"/>
      <c r="M132" s="1058"/>
      <c r="N132" s="17">
        <f t="shared" si="11"/>
        <v>74400</v>
      </c>
      <c r="O132" s="1052" t="s">
        <v>23</v>
      </c>
      <c r="P132" s="1062"/>
      <c r="Q132" s="1053" t="s">
        <v>40</v>
      </c>
      <c r="R132" s="1069" t="s">
        <v>8716</v>
      </c>
      <c r="S132" s="1055"/>
      <c r="T132" s="1058"/>
      <c r="U132" s="1058"/>
      <c r="V132" s="1058"/>
      <c r="W132" s="1058"/>
    </row>
    <row r="133" spans="1:23" s="20" customFormat="1">
      <c r="A133" s="1051">
        <v>44532</v>
      </c>
      <c r="B133" s="1052" t="s">
        <v>23</v>
      </c>
      <c r="C133" s="1053" t="s">
        <v>7495</v>
      </c>
      <c r="D133" s="1030" t="s">
        <v>8908</v>
      </c>
      <c r="E133" s="1077" t="s">
        <v>8010</v>
      </c>
      <c r="F133" s="1077" t="s">
        <v>8011</v>
      </c>
      <c r="G133" s="1057">
        <v>1</v>
      </c>
      <c r="H133" s="1076">
        <v>108000</v>
      </c>
      <c r="I133" s="17">
        <f t="shared" si="9"/>
        <v>108000</v>
      </c>
      <c r="J133" s="1030">
        <v>43200</v>
      </c>
      <c r="K133" s="18">
        <f t="shared" si="10"/>
        <v>64800</v>
      </c>
      <c r="L133" s="1058"/>
      <c r="M133" s="1058"/>
      <c r="N133" s="17">
        <f t="shared" si="11"/>
        <v>64800</v>
      </c>
      <c r="O133" s="1052" t="s">
        <v>23</v>
      </c>
      <c r="P133" s="1059"/>
      <c r="Q133" s="1053" t="s">
        <v>40</v>
      </c>
      <c r="R133" s="1069" t="s">
        <v>8716</v>
      </c>
      <c r="S133" s="1055"/>
      <c r="T133" s="1058"/>
      <c r="U133" s="1058"/>
      <c r="V133" s="1058"/>
      <c r="W133" s="1058"/>
    </row>
    <row r="134" spans="1:23" s="20" customFormat="1">
      <c r="A134" s="1051">
        <v>44532</v>
      </c>
      <c r="B134" s="1052" t="s">
        <v>23</v>
      </c>
      <c r="C134" s="1053" t="s">
        <v>7495</v>
      </c>
      <c r="D134" s="1030" t="s">
        <v>8908</v>
      </c>
      <c r="E134" s="1077" t="s">
        <v>8871</v>
      </c>
      <c r="F134" s="1077" t="s">
        <v>8872</v>
      </c>
      <c r="G134" s="1057">
        <v>2</v>
      </c>
      <c r="H134" s="1076">
        <v>32000</v>
      </c>
      <c r="I134" s="17">
        <f t="shared" si="9"/>
        <v>64000</v>
      </c>
      <c r="J134" s="1030">
        <v>25600</v>
      </c>
      <c r="K134" s="18">
        <f t="shared" si="10"/>
        <v>38400</v>
      </c>
      <c r="L134" s="1058"/>
      <c r="M134" s="1058"/>
      <c r="N134" s="17">
        <f t="shared" si="11"/>
        <v>38400</v>
      </c>
      <c r="O134" s="1052" t="s">
        <v>23</v>
      </c>
      <c r="P134" s="1059"/>
      <c r="Q134" s="1053" t="s">
        <v>40</v>
      </c>
      <c r="R134" s="1069" t="s">
        <v>8716</v>
      </c>
      <c r="S134" s="1058"/>
      <c r="T134" s="1058"/>
      <c r="U134" s="1058"/>
      <c r="V134" s="1058"/>
      <c r="W134" s="1058"/>
    </row>
    <row r="135" spans="1:23" s="20" customFormat="1">
      <c r="A135" s="1051">
        <v>44532</v>
      </c>
      <c r="B135" s="1052" t="s">
        <v>23</v>
      </c>
      <c r="C135" s="1053" t="s">
        <v>7495</v>
      </c>
      <c r="D135" s="1030" t="s">
        <v>8908</v>
      </c>
      <c r="E135" s="1077" t="s">
        <v>8933</v>
      </c>
      <c r="F135" s="1077" t="s">
        <v>8934</v>
      </c>
      <c r="G135" s="1057">
        <v>2</v>
      </c>
      <c r="H135" s="1076">
        <v>47000</v>
      </c>
      <c r="I135" s="17">
        <f t="shared" si="9"/>
        <v>94000</v>
      </c>
      <c r="J135" s="1030">
        <v>37600</v>
      </c>
      <c r="K135" s="18">
        <f t="shared" si="10"/>
        <v>56400</v>
      </c>
      <c r="L135" s="1058"/>
      <c r="M135" s="1058"/>
      <c r="N135" s="17">
        <f t="shared" si="11"/>
        <v>56400</v>
      </c>
      <c r="O135" s="1052" t="s">
        <v>23</v>
      </c>
      <c r="P135" s="1062"/>
      <c r="Q135" s="1053" t="s">
        <v>40</v>
      </c>
      <c r="R135" s="1069" t="s">
        <v>8716</v>
      </c>
      <c r="S135" s="1058"/>
      <c r="T135" s="1058"/>
      <c r="U135" s="1058"/>
      <c r="V135" s="1058"/>
      <c r="W135" s="1058"/>
    </row>
    <row r="136" spans="1:23" s="20" customFormat="1">
      <c r="A136" s="1051">
        <v>44532</v>
      </c>
      <c r="B136" s="1052" t="s">
        <v>23</v>
      </c>
      <c r="C136" s="1053" t="s">
        <v>7495</v>
      </c>
      <c r="D136" s="1030" t="s">
        <v>8908</v>
      </c>
      <c r="E136" s="1081" t="s">
        <v>7555</v>
      </c>
      <c r="F136" s="1081" t="s">
        <v>3463</v>
      </c>
      <c r="G136" s="1057">
        <v>1</v>
      </c>
      <c r="H136" s="1080">
        <v>100000</v>
      </c>
      <c r="I136" s="17">
        <f t="shared" si="9"/>
        <v>100000</v>
      </c>
      <c r="J136" s="1030">
        <v>40000</v>
      </c>
      <c r="K136" s="18">
        <f t="shared" si="10"/>
        <v>60000</v>
      </c>
      <c r="L136" s="1058"/>
      <c r="M136" s="1058"/>
      <c r="N136" s="17">
        <f t="shared" si="11"/>
        <v>60000</v>
      </c>
      <c r="O136" s="1052" t="s">
        <v>23</v>
      </c>
      <c r="P136" s="1059"/>
      <c r="Q136" s="1053" t="s">
        <v>40</v>
      </c>
      <c r="R136" s="1069" t="s">
        <v>8716</v>
      </c>
      <c r="S136" s="1058"/>
      <c r="T136" s="1058"/>
      <c r="U136" s="1058"/>
      <c r="V136" s="1058"/>
      <c r="W136" s="1058"/>
    </row>
    <row r="137" spans="1:23" s="20" customFormat="1">
      <c r="A137" s="1051">
        <v>44532</v>
      </c>
      <c r="B137" s="1052" t="s">
        <v>23</v>
      </c>
      <c r="C137" s="1053" t="s">
        <v>7495</v>
      </c>
      <c r="D137" s="1030" t="s">
        <v>8908</v>
      </c>
      <c r="E137" s="1077" t="s">
        <v>8935</v>
      </c>
      <c r="F137" s="1077" t="s">
        <v>8936</v>
      </c>
      <c r="G137" s="1057">
        <v>2</v>
      </c>
      <c r="H137" s="1076">
        <v>33000</v>
      </c>
      <c r="I137" s="17">
        <f t="shared" si="9"/>
        <v>66000</v>
      </c>
      <c r="J137" s="1030">
        <v>26400</v>
      </c>
      <c r="K137" s="18">
        <f t="shared" si="10"/>
        <v>39600</v>
      </c>
      <c r="L137" s="1058"/>
      <c r="M137" s="1058"/>
      <c r="N137" s="17">
        <f t="shared" si="11"/>
        <v>39600</v>
      </c>
      <c r="O137" s="1052" t="s">
        <v>23</v>
      </c>
      <c r="P137" s="1059"/>
      <c r="Q137" s="1053" t="s">
        <v>40</v>
      </c>
      <c r="R137" s="1069" t="s">
        <v>8716</v>
      </c>
      <c r="S137" s="1058"/>
      <c r="T137" s="1058"/>
      <c r="U137" s="1058"/>
      <c r="V137" s="1058"/>
      <c r="W137" s="1058"/>
    </row>
    <row r="138" spans="1:23" s="20" customFormat="1">
      <c r="A138" s="1051">
        <v>44532</v>
      </c>
      <c r="B138" s="1052" t="s">
        <v>23</v>
      </c>
      <c r="C138" s="1053" t="s">
        <v>7495</v>
      </c>
      <c r="D138" s="1030" t="s">
        <v>8908</v>
      </c>
      <c r="E138" s="1077" t="s">
        <v>8937</v>
      </c>
      <c r="F138" s="1077" t="s">
        <v>8938</v>
      </c>
      <c r="G138" s="1057">
        <v>1</v>
      </c>
      <c r="H138" s="1076">
        <v>90000</v>
      </c>
      <c r="I138" s="17">
        <f t="shared" si="9"/>
        <v>90000</v>
      </c>
      <c r="J138" s="1030">
        <v>36000</v>
      </c>
      <c r="K138" s="18">
        <f t="shared" si="10"/>
        <v>54000</v>
      </c>
      <c r="L138" s="1058"/>
      <c r="M138" s="1058"/>
      <c r="N138" s="17">
        <f t="shared" si="11"/>
        <v>54000</v>
      </c>
      <c r="O138" s="1052" t="s">
        <v>23</v>
      </c>
      <c r="P138" s="1062"/>
      <c r="Q138" s="1053" t="s">
        <v>40</v>
      </c>
      <c r="R138" s="1069" t="s">
        <v>8716</v>
      </c>
      <c r="S138" s="1058"/>
      <c r="T138" s="1058"/>
      <c r="U138" s="1058"/>
      <c r="V138" s="1058"/>
      <c r="W138" s="1058"/>
    </row>
    <row r="139" spans="1:23" s="20" customFormat="1">
      <c r="A139" s="1051">
        <v>44532</v>
      </c>
      <c r="B139" s="1052" t="s">
        <v>23</v>
      </c>
      <c r="C139" s="1053" t="s">
        <v>7495</v>
      </c>
      <c r="D139" s="1030" t="s">
        <v>8908</v>
      </c>
      <c r="E139" s="1075" t="s">
        <v>5110</v>
      </c>
      <c r="F139" s="1075" t="s">
        <v>5111</v>
      </c>
      <c r="G139" s="1057">
        <v>2</v>
      </c>
      <c r="H139" s="1076">
        <v>26000</v>
      </c>
      <c r="I139" s="17">
        <f t="shared" si="9"/>
        <v>52000</v>
      </c>
      <c r="J139" s="1030">
        <v>20800</v>
      </c>
      <c r="K139" s="18">
        <f t="shared" si="10"/>
        <v>31200</v>
      </c>
      <c r="L139" s="1058"/>
      <c r="M139" s="1058"/>
      <c r="N139" s="17">
        <f t="shared" si="11"/>
        <v>31200</v>
      </c>
      <c r="O139" s="1052" t="s">
        <v>23</v>
      </c>
      <c r="P139" s="1062"/>
      <c r="Q139" s="1053" t="s">
        <v>40</v>
      </c>
      <c r="R139" s="1069" t="s">
        <v>8716</v>
      </c>
      <c r="S139" s="1058"/>
      <c r="T139" s="1058"/>
      <c r="U139" s="1058"/>
      <c r="V139" s="1058"/>
      <c r="W139" s="1058"/>
    </row>
    <row r="140" spans="1:23" s="29" customFormat="1">
      <c r="A140" s="1051">
        <v>44532</v>
      </c>
      <c r="B140" s="1052" t="s">
        <v>23</v>
      </c>
      <c r="C140" s="1053" t="s">
        <v>7495</v>
      </c>
      <c r="D140" s="1030" t="s">
        <v>8908</v>
      </c>
      <c r="E140" s="1075" t="s">
        <v>8939</v>
      </c>
      <c r="F140" s="1075" t="s">
        <v>8940</v>
      </c>
      <c r="G140" s="1057">
        <v>1</v>
      </c>
      <c r="H140" s="1076">
        <v>65500</v>
      </c>
      <c r="I140" s="17">
        <f t="shared" si="9"/>
        <v>65500</v>
      </c>
      <c r="J140" s="1030">
        <v>26200</v>
      </c>
      <c r="K140" s="18">
        <f t="shared" si="10"/>
        <v>39300</v>
      </c>
      <c r="L140" s="1058"/>
      <c r="M140" s="1058"/>
      <c r="N140" s="17">
        <f t="shared" si="11"/>
        <v>39300</v>
      </c>
      <c r="O140" s="1052" t="s">
        <v>23</v>
      </c>
      <c r="P140" s="1059"/>
      <c r="Q140" s="1053" t="s">
        <v>40</v>
      </c>
      <c r="R140" s="1069" t="s">
        <v>8716</v>
      </c>
      <c r="S140" s="1058"/>
      <c r="T140" s="1058"/>
      <c r="U140" s="1058"/>
      <c r="V140" s="1058"/>
      <c r="W140" s="1058"/>
    </row>
    <row r="141" spans="1:23" s="29" customFormat="1">
      <c r="A141" s="1051">
        <v>44532</v>
      </c>
      <c r="B141" s="1052" t="s">
        <v>23</v>
      </c>
      <c r="C141" s="1053" t="s">
        <v>7495</v>
      </c>
      <c r="D141" s="1030" t="s">
        <v>8908</v>
      </c>
      <c r="E141" s="1075" t="s">
        <v>8941</v>
      </c>
      <c r="F141" s="1075" t="s">
        <v>8942</v>
      </c>
      <c r="G141" s="1057">
        <v>1</v>
      </c>
      <c r="H141" s="1076">
        <v>60000</v>
      </c>
      <c r="I141" s="17">
        <f t="shared" si="9"/>
        <v>60000</v>
      </c>
      <c r="J141" s="1030">
        <v>24000</v>
      </c>
      <c r="K141" s="18">
        <f t="shared" si="10"/>
        <v>36000</v>
      </c>
      <c r="L141" s="1058"/>
      <c r="M141" s="1058"/>
      <c r="N141" s="17">
        <f t="shared" si="11"/>
        <v>36000</v>
      </c>
      <c r="O141" s="1052" t="s">
        <v>23</v>
      </c>
      <c r="P141" s="1062"/>
      <c r="Q141" s="1053" t="s">
        <v>40</v>
      </c>
      <c r="R141" s="1069" t="s">
        <v>8716</v>
      </c>
      <c r="S141" s="1058"/>
      <c r="T141" s="1058"/>
      <c r="U141" s="1058"/>
      <c r="V141" s="1058"/>
      <c r="W141" s="1058"/>
    </row>
    <row r="142" spans="1:23" s="29" customFormat="1">
      <c r="A142" s="1051">
        <v>44532</v>
      </c>
      <c r="B142" s="1052" t="s">
        <v>23</v>
      </c>
      <c r="C142" s="1053" t="s">
        <v>7495</v>
      </c>
      <c r="D142" s="1030" t="s">
        <v>8908</v>
      </c>
      <c r="E142" s="1075" t="s">
        <v>4663</v>
      </c>
      <c r="F142" s="1075" t="s">
        <v>3516</v>
      </c>
      <c r="G142" s="1057">
        <v>1</v>
      </c>
      <c r="H142" s="1076">
        <v>90000</v>
      </c>
      <c r="I142" s="17">
        <f t="shared" si="9"/>
        <v>90000</v>
      </c>
      <c r="J142" s="1030">
        <v>36000</v>
      </c>
      <c r="K142" s="18">
        <f t="shared" si="10"/>
        <v>54000</v>
      </c>
      <c r="L142" s="1058"/>
      <c r="M142" s="1058"/>
      <c r="N142" s="17">
        <f t="shared" si="11"/>
        <v>54000</v>
      </c>
      <c r="O142" s="1052" t="s">
        <v>23</v>
      </c>
      <c r="P142" s="1062"/>
      <c r="Q142" s="1053" t="s">
        <v>40</v>
      </c>
      <c r="R142" s="1069" t="s">
        <v>8716</v>
      </c>
      <c r="S142" s="1058"/>
      <c r="T142" s="1058"/>
      <c r="U142" s="1058"/>
      <c r="V142" s="1058"/>
      <c r="W142" s="1058"/>
    </row>
    <row r="143" spans="1:23" s="29" customFormat="1">
      <c r="A143" s="1051">
        <v>44532</v>
      </c>
      <c r="B143" s="1052" t="s">
        <v>23</v>
      </c>
      <c r="C143" s="1053" t="s">
        <v>7495</v>
      </c>
      <c r="D143" s="1030" t="s">
        <v>8908</v>
      </c>
      <c r="E143" s="1075" t="s">
        <v>8943</v>
      </c>
      <c r="F143" s="1075" t="s">
        <v>8944</v>
      </c>
      <c r="G143" s="1057">
        <v>1</v>
      </c>
      <c r="H143" s="1076">
        <v>71000</v>
      </c>
      <c r="I143" s="17">
        <f t="shared" si="9"/>
        <v>71000</v>
      </c>
      <c r="J143" s="1030">
        <v>28400</v>
      </c>
      <c r="K143" s="18">
        <f t="shared" si="10"/>
        <v>42600</v>
      </c>
      <c r="L143" s="1058"/>
      <c r="M143" s="1058"/>
      <c r="N143" s="17">
        <f t="shared" si="11"/>
        <v>42600</v>
      </c>
      <c r="O143" s="1052" t="s">
        <v>23</v>
      </c>
      <c r="P143" s="1062"/>
      <c r="Q143" s="1053" t="s">
        <v>40</v>
      </c>
      <c r="R143" s="1069" t="s">
        <v>8716</v>
      </c>
      <c r="S143" s="1058"/>
      <c r="T143" s="1058"/>
      <c r="U143" s="1058"/>
      <c r="V143" s="1058"/>
      <c r="W143" s="1058"/>
    </row>
    <row r="144" spans="1:23" s="29" customFormat="1">
      <c r="A144" s="1051">
        <v>44532</v>
      </c>
      <c r="B144" s="1052" t="s">
        <v>23</v>
      </c>
      <c r="C144" s="1053" t="s">
        <v>7495</v>
      </c>
      <c r="D144" s="1030" t="s">
        <v>8908</v>
      </c>
      <c r="E144" s="1075" t="s">
        <v>8945</v>
      </c>
      <c r="F144" s="1075" t="s">
        <v>8946</v>
      </c>
      <c r="G144" s="1057">
        <v>1</v>
      </c>
      <c r="H144" s="1076">
        <v>57500</v>
      </c>
      <c r="I144" s="17">
        <f t="shared" si="9"/>
        <v>57500</v>
      </c>
      <c r="J144" s="1030">
        <v>23000</v>
      </c>
      <c r="K144" s="18">
        <f t="shared" si="10"/>
        <v>34500</v>
      </c>
      <c r="L144" s="1058"/>
      <c r="M144" s="1058"/>
      <c r="N144" s="17">
        <f t="shared" si="11"/>
        <v>34500</v>
      </c>
      <c r="O144" s="1052" t="s">
        <v>23</v>
      </c>
      <c r="P144" s="1059"/>
      <c r="Q144" s="1053" t="s">
        <v>40</v>
      </c>
      <c r="R144" s="1069" t="s">
        <v>8716</v>
      </c>
      <c r="S144" s="1058"/>
      <c r="T144" s="1058"/>
      <c r="U144" s="1058"/>
      <c r="V144" s="1058"/>
      <c r="W144" s="1058"/>
    </row>
    <row r="145" spans="1:23" s="29" customFormat="1">
      <c r="A145" s="1051">
        <v>44532</v>
      </c>
      <c r="B145" s="1052" t="s">
        <v>23</v>
      </c>
      <c r="C145" s="1053" t="s">
        <v>7495</v>
      </c>
      <c r="D145" s="1030" t="s">
        <v>8908</v>
      </c>
      <c r="E145" s="1075" t="s">
        <v>8947</v>
      </c>
      <c r="F145" s="1075" t="s">
        <v>8948</v>
      </c>
      <c r="G145" s="1057">
        <v>1</v>
      </c>
      <c r="H145" s="1076">
        <v>56500</v>
      </c>
      <c r="I145" s="17">
        <f t="shared" si="9"/>
        <v>56500</v>
      </c>
      <c r="J145" s="1030">
        <v>22600</v>
      </c>
      <c r="K145" s="18">
        <f t="shared" si="10"/>
        <v>33900</v>
      </c>
      <c r="L145" s="1058"/>
      <c r="M145" s="1058"/>
      <c r="N145" s="17">
        <f t="shared" si="11"/>
        <v>33900</v>
      </c>
      <c r="O145" s="1052" t="s">
        <v>23</v>
      </c>
      <c r="P145" s="1062"/>
      <c r="Q145" s="1053" t="s">
        <v>40</v>
      </c>
      <c r="R145" s="1069" t="s">
        <v>8716</v>
      </c>
      <c r="S145" s="1058"/>
      <c r="T145" s="1058"/>
      <c r="U145" s="1058"/>
      <c r="V145" s="1058"/>
      <c r="W145" s="1058"/>
    </row>
    <row r="146" spans="1:23" s="29" customFormat="1">
      <c r="A146" s="1051">
        <v>44532</v>
      </c>
      <c r="B146" s="1052" t="s">
        <v>23</v>
      </c>
      <c r="C146" s="1053" t="s">
        <v>7495</v>
      </c>
      <c r="D146" s="1030" t="s">
        <v>8908</v>
      </c>
      <c r="E146" s="1075" t="s">
        <v>8949</v>
      </c>
      <c r="F146" s="1075" t="s">
        <v>8950</v>
      </c>
      <c r="G146" s="1057">
        <v>1</v>
      </c>
      <c r="H146" s="1076">
        <v>90000</v>
      </c>
      <c r="I146" s="17">
        <f t="shared" si="9"/>
        <v>90000</v>
      </c>
      <c r="J146" s="1030">
        <v>36000</v>
      </c>
      <c r="K146" s="18">
        <f t="shared" si="10"/>
        <v>54000</v>
      </c>
      <c r="L146" s="1058"/>
      <c r="M146" s="1058"/>
      <c r="N146" s="17">
        <f t="shared" si="11"/>
        <v>54000</v>
      </c>
      <c r="O146" s="1052" t="s">
        <v>23</v>
      </c>
      <c r="P146" s="1059"/>
      <c r="Q146" s="1053" t="s">
        <v>40</v>
      </c>
      <c r="R146" s="1069" t="s">
        <v>8716</v>
      </c>
      <c r="S146" s="1058"/>
      <c r="T146" s="1058"/>
      <c r="U146" s="1058"/>
      <c r="V146" s="1058"/>
      <c r="W146" s="1058"/>
    </row>
    <row r="147" spans="1:23" s="29" customFormat="1">
      <c r="A147" s="1051">
        <v>44532</v>
      </c>
      <c r="B147" s="1052" t="s">
        <v>23</v>
      </c>
      <c r="C147" s="1053" t="s">
        <v>7495</v>
      </c>
      <c r="D147" s="1030" t="s">
        <v>8908</v>
      </c>
      <c r="E147" s="1075" t="s">
        <v>8951</v>
      </c>
      <c r="F147" s="1075" t="s">
        <v>8952</v>
      </c>
      <c r="G147" s="1057">
        <v>1</v>
      </c>
      <c r="H147" s="1076">
        <v>53000</v>
      </c>
      <c r="I147" s="17">
        <f t="shared" si="9"/>
        <v>53000</v>
      </c>
      <c r="J147" s="1030">
        <v>21200</v>
      </c>
      <c r="K147" s="18">
        <f t="shared" si="10"/>
        <v>31800</v>
      </c>
      <c r="L147" s="1058"/>
      <c r="M147" s="1058"/>
      <c r="N147" s="17">
        <f t="shared" si="11"/>
        <v>31800</v>
      </c>
      <c r="O147" s="1052" t="s">
        <v>23</v>
      </c>
      <c r="P147" s="1059"/>
      <c r="Q147" s="1053" t="s">
        <v>40</v>
      </c>
      <c r="R147" s="1069" t="s">
        <v>8716</v>
      </c>
      <c r="S147" s="1058"/>
      <c r="T147" s="1058"/>
      <c r="U147" s="1058"/>
      <c r="V147" s="1058"/>
      <c r="W147" s="1058"/>
    </row>
    <row r="148" spans="1:23" s="29" customFormat="1">
      <c r="A148" s="1051">
        <v>44532</v>
      </c>
      <c r="B148" s="1052" t="s">
        <v>23</v>
      </c>
      <c r="C148" s="1053" t="s">
        <v>7495</v>
      </c>
      <c r="D148" s="1030" t="s">
        <v>8908</v>
      </c>
      <c r="E148" s="1075" t="s">
        <v>8953</v>
      </c>
      <c r="F148" s="1075" t="s">
        <v>8954</v>
      </c>
      <c r="G148" s="1057">
        <v>1</v>
      </c>
      <c r="H148" s="1076">
        <v>50000</v>
      </c>
      <c r="I148" s="17">
        <f t="shared" si="9"/>
        <v>50000</v>
      </c>
      <c r="J148" s="1030">
        <v>20000</v>
      </c>
      <c r="K148" s="18">
        <f t="shared" si="10"/>
        <v>30000</v>
      </c>
      <c r="L148" s="1058"/>
      <c r="M148" s="1058"/>
      <c r="N148" s="17">
        <f t="shared" si="11"/>
        <v>30000</v>
      </c>
      <c r="O148" s="1052" t="s">
        <v>23</v>
      </c>
      <c r="P148" s="1059"/>
      <c r="Q148" s="1053" t="s">
        <v>40</v>
      </c>
      <c r="R148" s="1069" t="s">
        <v>8716</v>
      </c>
      <c r="S148" s="1058"/>
      <c r="T148" s="1058"/>
      <c r="U148" s="1058"/>
      <c r="V148" s="1058"/>
      <c r="W148" s="1058"/>
    </row>
    <row r="149" spans="1:23" s="29" customFormat="1">
      <c r="A149" s="1051">
        <v>44532</v>
      </c>
      <c r="B149" s="1052" t="s">
        <v>23</v>
      </c>
      <c r="C149" s="1053" t="s">
        <v>7495</v>
      </c>
      <c r="D149" s="1030" t="s">
        <v>8908</v>
      </c>
      <c r="E149" s="1075" t="s">
        <v>1802</v>
      </c>
      <c r="F149" s="1075" t="s">
        <v>1803</v>
      </c>
      <c r="G149" s="1057">
        <v>1</v>
      </c>
      <c r="H149" s="1076">
        <v>68000</v>
      </c>
      <c r="I149" s="17">
        <f t="shared" si="9"/>
        <v>68000</v>
      </c>
      <c r="J149" s="1030">
        <v>27200</v>
      </c>
      <c r="K149" s="18">
        <f t="shared" si="10"/>
        <v>40800</v>
      </c>
      <c r="L149" s="1058"/>
      <c r="M149" s="1058"/>
      <c r="N149" s="17">
        <f t="shared" si="11"/>
        <v>40800</v>
      </c>
      <c r="O149" s="1052" t="s">
        <v>23</v>
      </c>
      <c r="P149" s="1062"/>
      <c r="Q149" s="1053" t="s">
        <v>40</v>
      </c>
      <c r="R149" s="1069" t="s">
        <v>8716</v>
      </c>
      <c r="S149" s="1058"/>
      <c r="T149" s="1058"/>
      <c r="U149" s="1058"/>
      <c r="V149" s="1058"/>
      <c r="W149" s="1058"/>
    </row>
    <row r="150" spans="1:23" s="29" customFormat="1">
      <c r="A150" s="1051">
        <v>44532</v>
      </c>
      <c r="B150" s="1052" t="s">
        <v>23</v>
      </c>
      <c r="C150" s="1053" t="s">
        <v>7495</v>
      </c>
      <c r="D150" s="1030" t="s">
        <v>8908</v>
      </c>
      <c r="E150" s="1075" t="s">
        <v>8955</v>
      </c>
      <c r="F150" s="1075" t="s">
        <v>8956</v>
      </c>
      <c r="G150" s="1057">
        <v>1</v>
      </c>
      <c r="H150" s="1076">
        <v>74000</v>
      </c>
      <c r="I150" s="17">
        <f t="shared" si="9"/>
        <v>74000</v>
      </c>
      <c r="J150" s="1030">
        <v>29600</v>
      </c>
      <c r="K150" s="18">
        <f t="shared" si="10"/>
        <v>44400</v>
      </c>
      <c r="L150" s="1058"/>
      <c r="M150" s="1058"/>
      <c r="N150" s="17">
        <f t="shared" si="11"/>
        <v>44400</v>
      </c>
      <c r="O150" s="1052" t="s">
        <v>23</v>
      </c>
      <c r="P150" s="1062"/>
      <c r="Q150" s="1053" t="s">
        <v>40</v>
      </c>
      <c r="R150" s="1069" t="s">
        <v>8716</v>
      </c>
      <c r="S150" s="1058"/>
      <c r="T150" s="1058"/>
      <c r="U150" s="1058"/>
      <c r="V150" s="1058"/>
      <c r="W150" s="1058"/>
    </row>
    <row r="151" spans="1:23" s="29" customFormat="1">
      <c r="A151" s="1051">
        <v>44532</v>
      </c>
      <c r="B151" s="1052" t="s">
        <v>23</v>
      </c>
      <c r="C151" s="1053" t="s">
        <v>7495</v>
      </c>
      <c r="D151" s="1030" t="s">
        <v>8908</v>
      </c>
      <c r="E151" s="1075" t="s">
        <v>3727</v>
      </c>
      <c r="F151" s="1075" t="s">
        <v>3728</v>
      </c>
      <c r="G151" s="1057">
        <v>1</v>
      </c>
      <c r="H151" s="1076">
        <v>61000</v>
      </c>
      <c r="I151" s="17">
        <f t="shared" si="9"/>
        <v>61000</v>
      </c>
      <c r="J151" s="1030">
        <v>24400</v>
      </c>
      <c r="K151" s="18">
        <f t="shared" si="10"/>
        <v>36600</v>
      </c>
      <c r="L151" s="1058"/>
      <c r="M151" s="1058"/>
      <c r="N151" s="17">
        <f t="shared" si="11"/>
        <v>36600</v>
      </c>
      <c r="O151" s="1052" t="s">
        <v>23</v>
      </c>
      <c r="P151" s="1059"/>
      <c r="Q151" s="1053" t="s">
        <v>40</v>
      </c>
      <c r="R151" s="1069" t="s">
        <v>8716</v>
      </c>
      <c r="S151" s="1058"/>
      <c r="T151" s="1058"/>
      <c r="U151" s="1058"/>
      <c r="V151" s="1058"/>
      <c r="W151" s="1058"/>
    </row>
    <row r="152" spans="1:23" s="29" customFormat="1">
      <c r="A152" s="1051">
        <v>44533</v>
      </c>
      <c r="B152" s="1052" t="s">
        <v>206</v>
      </c>
      <c r="C152" s="1053" t="s">
        <v>8957</v>
      </c>
      <c r="D152" s="1030" t="s">
        <v>8958</v>
      </c>
      <c r="E152" s="1082" t="s">
        <v>4766</v>
      </c>
      <c r="F152" s="1082" t="s">
        <v>4767</v>
      </c>
      <c r="G152" s="1057">
        <v>1</v>
      </c>
      <c r="H152" s="1031">
        <v>187000</v>
      </c>
      <c r="I152" s="17">
        <f t="shared" si="9"/>
        <v>187000</v>
      </c>
      <c r="J152" s="1054"/>
      <c r="K152" s="18">
        <f t="shared" si="10"/>
        <v>187000</v>
      </c>
      <c r="L152" s="1058">
        <v>21400</v>
      </c>
      <c r="M152" s="1058"/>
      <c r="N152" s="17">
        <f t="shared" si="11"/>
        <v>208400</v>
      </c>
      <c r="O152" s="1052" t="s">
        <v>206</v>
      </c>
      <c r="P152" s="1059"/>
      <c r="Q152" s="1053" t="s">
        <v>328</v>
      </c>
      <c r="R152" s="1052" t="s">
        <v>8711</v>
      </c>
      <c r="S152" s="1058"/>
      <c r="T152" s="1058"/>
      <c r="U152" s="1058"/>
      <c r="V152" s="1058"/>
      <c r="W152" s="1058"/>
    </row>
    <row r="153" spans="1:23" s="20" customFormat="1">
      <c r="A153" s="1051">
        <v>44533</v>
      </c>
      <c r="B153" s="1052" t="s">
        <v>206</v>
      </c>
      <c r="C153" s="1053" t="s">
        <v>8957</v>
      </c>
      <c r="D153" s="1030" t="s">
        <v>8958</v>
      </c>
      <c r="E153" s="1082" t="s">
        <v>8959</v>
      </c>
      <c r="F153" s="1082" t="s">
        <v>8960</v>
      </c>
      <c r="G153" s="1057">
        <v>1</v>
      </c>
      <c r="H153" s="1031">
        <v>86000</v>
      </c>
      <c r="I153" s="17">
        <f t="shared" si="9"/>
        <v>86000</v>
      </c>
      <c r="J153" s="1054"/>
      <c r="K153" s="18">
        <f t="shared" si="10"/>
        <v>86000</v>
      </c>
      <c r="L153" s="1058"/>
      <c r="M153" s="1058"/>
      <c r="N153" s="17">
        <f t="shared" si="11"/>
        <v>86000</v>
      </c>
      <c r="O153" s="1052" t="s">
        <v>206</v>
      </c>
      <c r="P153" s="1059"/>
      <c r="Q153" s="1053" t="s">
        <v>328</v>
      </c>
      <c r="R153" s="1052" t="s">
        <v>8711</v>
      </c>
      <c r="S153" s="1058"/>
      <c r="T153" s="1058"/>
      <c r="U153" s="1058"/>
      <c r="V153" s="1058"/>
      <c r="W153" s="1058"/>
    </row>
    <row r="154" spans="1:23" s="20" customFormat="1">
      <c r="A154" s="1051">
        <v>44533</v>
      </c>
      <c r="B154" s="1052" t="s">
        <v>206</v>
      </c>
      <c r="C154" s="1053" t="s">
        <v>8961</v>
      </c>
      <c r="D154" s="1030" t="s">
        <v>8962</v>
      </c>
      <c r="E154" s="1056" t="s">
        <v>6588</v>
      </c>
      <c r="F154" s="1056" t="s">
        <v>3765</v>
      </c>
      <c r="G154" s="1083">
        <v>4</v>
      </c>
      <c r="H154" s="1031">
        <v>104000</v>
      </c>
      <c r="I154" s="17">
        <f t="shared" si="9"/>
        <v>416000</v>
      </c>
      <c r="J154" s="1054"/>
      <c r="K154" s="18">
        <f t="shared" si="10"/>
        <v>416000</v>
      </c>
      <c r="L154" s="1058">
        <v>1800</v>
      </c>
      <c r="M154" s="1054"/>
      <c r="N154" s="17">
        <f t="shared" si="11"/>
        <v>417800</v>
      </c>
      <c r="O154" s="1052" t="s">
        <v>206</v>
      </c>
      <c r="P154" s="1059"/>
      <c r="Q154" s="1053" t="s">
        <v>328</v>
      </c>
      <c r="R154" s="1052" t="s">
        <v>8711</v>
      </c>
      <c r="S154" s="1058"/>
      <c r="T154" s="1058"/>
      <c r="U154" s="1058"/>
      <c r="V154" s="1058"/>
      <c r="W154" s="1058"/>
    </row>
    <row r="155" spans="1:23" s="20" customFormat="1">
      <c r="A155" s="1051">
        <v>44533</v>
      </c>
      <c r="B155" s="1052" t="s">
        <v>43</v>
      </c>
      <c r="C155" s="1053" t="s">
        <v>8963</v>
      </c>
      <c r="D155" s="1030" t="s">
        <v>8964</v>
      </c>
      <c r="E155" s="1052" t="s">
        <v>5955</v>
      </c>
      <c r="F155" s="1052" t="s">
        <v>5956</v>
      </c>
      <c r="G155" s="1057">
        <v>1</v>
      </c>
      <c r="H155" s="1031">
        <v>99000</v>
      </c>
      <c r="I155" s="17">
        <f t="shared" si="9"/>
        <v>99000</v>
      </c>
      <c r="J155" s="1054"/>
      <c r="K155" s="18">
        <f t="shared" si="10"/>
        <v>99000</v>
      </c>
      <c r="L155" s="1058"/>
      <c r="M155" s="1058">
        <v>-554</v>
      </c>
      <c r="N155" s="17">
        <f t="shared" si="11"/>
        <v>98446</v>
      </c>
      <c r="O155" s="1052" t="s">
        <v>43</v>
      </c>
      <c r="P155" s="1059"/>
      <c r="Q155" s="1053" t="s">
        <v>54</v>
      </c>
      <c r="R155" s="1052" t="s">
        <v>8711</v>
      </c>
      <c r="S155" s="1058"/>
      <c r="T155" s="1058"/>
      <c r="U155" s="1058"/>
      <c r="V155" s="1058"/>
      <c r="W155" s="1058"/>
    </row>
    <row r="156" spans="1:23" s="20" customFormat="1">
      <c r="A156" s="1051">
        <v>44533</v>
      </c>
      <c r="B156" s="1052" t="s">
        <v>43</v>
      </c>
      <c r="C156" s="1053" t="s">
        <v>8965</v>
      </c>
      <c r="D156" s="1030" t="s">
        <v>8966</v>
      </c>
      <c r="E156" s="1056" t="s">
        <v>1648</v>
      </c>
      <c r="F156" s="1056" t="s">
        <v>1649</v>
      </c>
      <c r="G156" s="1057">
        <v>1</v>
      </c>
      <c r="H156" s="1031">
        <v>145000</v>
      </c>
      <c r="I156" s="17">
        <f t="shared" si="9"/>
        <v>145000</v>
      </c>
      <c r="J156" s="1054"/>
      <c r="K156" s="18">
        <f t="shared" si="10"/>
        <v>145000</v>
      </c>
      <c r="L156" s="1058"/>
      <c r="M156" s="1058">
        <v>-8120</v>
      </c>
      <c r="N156" s="17">
        <f t="shared" si="11"/>
        <v>136880</v>
      </c>
      <c r="O156" s="1052" t="s">
        <v>43</v>
      </c>
      <c r="P156" s="1059"/>
      <c r="Q156" s="1053" t="s">
        <v>176</v>
      </c>
      <c r="R156" s="1052" t="s">
        <v>8711</v>
      </c>
      <c r="S156" s="1058"/>
      <c r="T156" s="1058"/>
      <c r="U156" s="1058"/>
      <c r="V156" s="1058"/>
      <c r="W156" s="1058"/>
    </row>
    <row r="157" spans="1:23" s="20" customFormat="1">
      <c r="A157" s="1051">
        <v>44533</v>
      </c>
      <c r="B157" s="1052" t="s">
        <v>43</v>
      </c>
      <c r="C157" s="1053" t="s">
        <v>8967</v>
      </c>
      <c r="D157" s="1030" t="s">
        <v>8968</v>
      </c>
      <c r="E157" s="1052" t="s">
        <v>5026</v>
      </c>
      <c r="F157" s="1052" t="s">
        <v>5027</v>
      </c>
      <c r="G157" s="1057">
        <v>1</v>
      </c>
      <c r="H157" s="1031">
        <v>61500</v>
      </c>
      <c r="I157" s="17">
        <f t="shared" si="9"/>
        <v>61500</v>
      </c>
      <c r="J157" s="1054"/>
      <c r="K157" s="18">
        <f t="shared" si="10"/>
        <v>61500</v>
      </c>
      <c r="L157" s="1058"/>
      <c r="M157" s="1058">
        <v>-3444</v>
      </c>
      <c r="N157" s="17">
        <f t="shared" si="11"/>
        <v>58056</v>
      </c>
      <c r="O157" s="1052" t="s">
        <v>43</v>
      </c>
      <c r="P157" s="1058"/>
      <c r="Q157" s="1053" t="s">
        <v>54</v>
      </c>
      <c r="R157" s="1052" t="s">
        <v>8711</v>
      </c>
      <c r="S157" s="1058"/>
      <c r="T157" s="1058"/>
      <c r="U157" s="1058"/>
      <c r="V157" s="1058"/>
      <c r="W157" s="1058"/>
    </row>
    <row r="158" spans="1:23" s="20" customFormat="1" ht="15.75" customHeight="1">
      <c r="A158" s="1051">
        <v>44533</v>
      </c>
      <c r="B158" s="1052" t="s">
        <v>43</v>
      </c>
      <c r="C158" s="1053" t="s">
        <v>8969</v>
      </c>
      <c r="D158" s="1030" t="s">
        <v>8970</v>
      </c>
      <c r="E158" s="1056" t="s">
        <v>7677</v>
      </c>
      <c r="F158" s="1056" t="s">
        <v>7678</v>
      </c>
      <c r="G158" s="1057">
        <v>1</v>
      </c>
      <c r="H158" s="1031">
        <v>104000</v>
      </c>
      <c r="I158" s="17">
        <f t="shared" si="9"/>
        <v>104000</v>
      </c>
      <c r="J158" s="1054"/>
      <c r="K158" s="18">
        <f t="shared" si="10"/>
        <v>104000</v>
      </c>
      <c r="L158" s="1058"/>
      <c r="M158" s="1058">
        <v>-5824</v>
      </c>
      <c r="N158" s="17">
        <f t="shared" si="11"/>
        <v>98176</v>
      </c>
      <c r="O158" s="1052" t="s">
        <v>43</v>
      </c>
      <c r="P158" s="1058"/>
      <c r="Q158" s="1053" t="s">
        <v>54</v>
      </c>
      <c r="R158" s="1052" t="s">
        <v>8711</v>
      </c>
      <c r="S158" s="1058"/>
      <c r="T158" s="1058"/>
      <c r="U158" s="1058"/>
      <c r="V158" s="1058"/>
      <c r="W158" s="1058"/>
    </row>
    <row r="159" spans="1:23" s="20" customFormat="1" ht="15.75" customHeight="1">
      <c r="A159" s="1051">
        <v>44533</v>
      </c>
      <c r="B159" s="1052" t="s">
        <v>43</v>
      </c>
      <c r="C159" s="1053" t="s">
        <v>8971</v>
      </c>
      <c r="D159" s="1030" t="s">
        <v>8972</v>
      </c>
      <c r="E159" s="1052" t="s">
        <v>579</v>
      </c>
      <c r="F159" s="1052" t="s">
        <v>72</v>
      </c>
      <c r="G159" s="1083">
        <v>1</v>
      </c>
      <c r="H159" s="1031">
        <v>108000</v>
      </c>
      <c r="I159" s="17">
        <f t="shared" si="9"/>
        <v>108000</v>
      </c>
      <c r="J159" s="1054"/>
      <c r="K159" s="18">
        <f t="shared" si="10"/>
        <v>108000</v>
      </c>
      <c r="L159" s="1058"/>
      <c r="M159" s="1058">
        <v>-6048</v>
      </c>
      <c r="N159" s="17">
        <f t="shared" si="11"/>
        <v>101952</v>
      </c>
      <c r="O159" s="1052" t="s">
        <v>43</v>
      </c>
      <c r="P159" s="1058"/>
      <c r="Q159" s="1053" t="s">
        <v>176</v>
      </c>
      <c r="R159" s="1052" t="s">
        <v>8711</v>
      </c>
      <c r="S159" s="1058"/>
      <c r="T159" s="1058"/>
      <c r="U159" s="1058"/>
      <c r="V159" s="1058"/>
      <c r="W159" s="1058"/>
    </row>
    <row r="160" spans="1:23" s="20" customFormat="1" ht="15.75" customHeight="1">
      <c r="A160" s="1051">
        <v>44533</v>
      </c>
      <c r="B160" s="1052" t="s">
        <v>206</v>
      </c>
      <c r="C160" s="1061" t="s">
        <v>8973</v>
      </c>
      <c r="D160" s="1030" t="s">
        <v>8974</v>
      </c>
      <c r="E160" s="1056" t="s">
        <v>8975</v>
      </c>
      <c r="F160" s="1056" t="s">
        <v>8976</v>
      </c>
      <c r="G160" s="1057">
        <v>1</v>
      </c>
      <c r="H160" s="1031">
        <v>134000</v>
      </c>
      <c r="I160" s="17">
        <f t="shared" si="9"/>
        <v>134000</v>
      </c>
      <c r="J160" s="1054"/>
      <c r="K160" s="18">
        <f t="shared" si="10"/>
        <v>134000</v>
      </c>
      <c r="L160" s="1058">
        <v>0</v>
      </c>
      <c r="M160" s="1058"/>
      <c r="N160" s="17">
        <f t="shared" si="11"/>
        <v>134000</v>
      </c>
      <c r="O160" s="1052" t="s">
        <v>206</v>
      </c>
      <c r="P160" s="1058"/>
      <c r="Q160" s="1053" t="s">
        <v>328</v>
      </c>
      <c r="R160" s="1052" t="s">
        <v>8711</v>
      </c>
      <c r="S160" s="1058"/>
      <c r="T160" s="1058"/>
      <c r="U160" s="1058"/>
      <c r="V160" s="1058"/>
      <c r="W160" s="1058"/>
    </row>
    <row r="161" spans="1:23" s="20" customFormat="1" ht="16.5" customHeight="1">
      <c r="A161" s="1051">
        <v>44533</v>
      </c>
      <c r="B161" s="1052" t="s">
        <v>670</v>
      </c>
      <c r="C161" s="1053" t="s">
        <v>8977</v>
      </c>
      <c r="D161" s="1030" t="s">
        <v>31</v>
      </c>
      <c r="E161" s="1084" t="s">
        <v>8978</v>
      </c>
      <c r="F161" s="1084" t="s">
        <v>8979</v>
      </c>
      <c r="G161" s="1057">
        <v>1</v>
      </c>
      <c r="H161" s="1031">
        <v>81000</v>
      </c>
      <c r="I161" s="17">
        <f t="shared" si="9"/>
        <v>81000</v>
      </c>
      <c r="J161" s="1054"/>
      <c r="K161" s="18">
        <f t="shared" si="10"/>
        <v>81000</v>
      </c>
      <c r="L161" s="1058"/>
      <c r="M161" s="1058"/>
      <c r="N161" s="17">
        <f t="shared" si="11"/>
        <v>81000</v>
      </c>
      <c r="O161" s="1052" t="s">
        <v>670</v>
      </c>
      <c r="P161" s="1058"/>
      <c r="Q161" s="1053" t="s">
        <v>283</v>
      </c>
      <c r="R161" s="1052" t="s">
        <v>8711</v>
      </c>
      <c r="S161" s="1058"/>
      <c r="T161" s="1058"/>
      <c r="U161" s="1058"/>
      <c r="V161" s="1058"/>
      <c r="W161" s="1058"/>
    </row>
    <row r="162" spans="1:23" s="20" customFormat="1" ht="15.75" customHeight="1">
      <c r="A162" s="1051">
        <v>44533</v>
      </c>
      <c r="B162" s="1052" t="s">
        <v>670</v>
      </c>
      <c r="C162" s="1053" t="s">
        <v>8977</v>
      </c>
      <c r="D162" s="1030" t="s">
        <v>31</v>
      </c>
      <c r="E162" s="1084" t="s">
        <v>5135</v>
      </c>
      <c r="F162" s="1084" t="s">
        <v>5136</v>
      </c>
      <c r="G162" s="1057">
        <v>1</v>
      </c>
      <c r="H162" s="1031">
        <v>68000</v>
      </c>
      <c r="I162" s="17">
        <f t="shared" si="9"/>
        <v>68000</v>
      </c>
      <c r="J162" s="1054"/>
      <c r="K162" s="18">
        <f t="shared" si="10"/>
        <v>68000</v>
      </c>
      <c r="L162" s="1058"/>
      <c r="M162" s="1058"/>
      <c r="N162" s="17">
        <f t="shared" si="11"/>
        <v>68000</v>
      </c>
      <c r="O162" s="1052" t="s">
        <v>670</v>
      </c>
      <c r="P162" s="1058"/>
      <c r="Q162" s="1053" t="s">
        <v>283</v>
      </c>
      <c r="R162" s="1052" t="s">
        <v>8711</v>
      </c>
      <c r="S162" s="1058"/>
      <c r="T162" s="1058"/>
      <c r="U162" s="1058"/>
      <c r="V162" s="1058"/>
      <c r="W162" s="1058"/>
    </row>
    <row r="163" spans="1:23" s="20" customFormat="1" ht="15.75" customHeight="1">
      <c r="A163" s="991">
        <v>44536</v>
      </c>
      <c r="B163" s="76" t="s">
        <v>43</v>
      </c>
      <c r="C163" s="11" t="s">
        <v>8980</v>
      </c>
      <c r="D163" s="1030" t="s">
        <v>8981</v>
      </c>
      <c r="E163" s="76" t="s">
        <v>3035</v>
      </c>
      <c r="F163" s="76" t="s">
        <v>3036</v>
      </c>
      <c r="G163" s="16">
        <v>1</v>
      </c>
      <c r="H163" s="1031">
        <v>84000</v>
      </c>
      <c r="I163" s="17">
        <f t="shared" si="9"/>
        <v>84000</v>
      </c>
      <c r="J163" s="20">
        <f>I163*20%</f>
        <v>16800</v>
      </c>
      <c r="K163" s="18">
        <f t="shared" si="10"/>
        <v>67200</v>
      </c>
      <c r="L163" s="17"/>
      <c r="M163" s="17">
        <v>-3763</v>
      </c>
      <c r="N163" s="17">
        <f t="shared" si="11"/>
        <v>63437</v>
      </c>
      <c r="O163" s="76" t="s">
        <v>43</v>
      </c>
      <c r="P163" s="191"/>
      <c r="Q163" s="10" t="s">
        <v>54</v>
      </c>
      <c r="R163" s="76" t="s">
        <v>8711</v>
      </c>
      <c r="S163" s="17"/>
      <c r="T163" s="17"/>
      <c r="U163" s="17"/>
      <c r="V163" s="17"/>
      <c r="W163" s="17"/>
    </row>
    <row r="164" spans="1:23" s="20" customFormat="1" ht="15.75" customHeight="1">
      <c r="A164" s="991">
        <v>44536</v>
      </c>
      <c r="B164" s="76" t="s">
        <v>43</v>
      </c>
      <c r="C164" s="10" t="s">
        <v>8982</v>
      </c>
      <c r="D164" s="1030" t="s">
        <v>8983</v>
      </c>
      <c r="E164" s="739" t="s">
        <v>1098</v>
      </c>
      <c r="F164" s="739" t="s">
        <v>1099</v>
      </c>
      <c r="G164" s="16">
        <v>1</v>
      </c>
      <c r="H164" s="1031">
        <v>158000</v>
      </c>
      <c r="I164" s="17">
        <f t="shared" si="9"/>
        <v>158000</v>
      </c>
      <c r="J164" s="20">
        <f>I164*20%</f>
        <v>31600</v>
      </c>
      <c r="K164" s="18">
        <f t="shared" si="10"/>
        <v>126400</v>
      </c>
      <c r="L164" s="17"/>
      <c r="M164" s="17">
        <v>-7078</v>
      </c>
      <c r="N164" s="17">
        <f t="shared" si="11"/>
        <v>119322</v>
      </c>
      <c r="O164" s="76" t="s">
        <v>43</v>
      </c>
      <c r="P164" s="191"/>
      <c r="Q164" s="10" t="s">
        <v>176</v>
      </c>
      <c r="R164" s="76" t="s">
        <v>8711</v>
      </c>
      <c r="S164" s="17"/>
      <c r="T164" s="17"/>
      <c r="U164" s="17"/>
      <c r="V164" s="17"/>
      <c r="W164" s="17"/>
    </row>
    <row r="165" spans="1:23" s="20" customFormat="1" ht="15.75" customHeight="1">
      <c r="A165" s="991">
        <v>44536</v>
      </c>
      <c r="B165" s="76" t="s">
        <v>43</v>
      </c>
      <c r="C165" s="11" t="s">
        <v>8984</v>
      </c>
      <c r="D165" s="1030" t="s">
        <v>8985</v>
      </c>
      <c r="E165" s="739" t="s">
        <v>8986</v>
      </c>
      <c r="F165" s="739" t="s">
        <v>8987</v>
      </c>
      <c r="G165" s="16">
        <v>1</v>
      </c>
      <c r="H165" s="1031">
        <v>1610000</v>
      </c>
      <c r="I165" s="17">
        <v>161000</v>
      </c>
      <c r="J165" s="20">
        <f>I165*20%</f>
        <v>32200</v>
      </c>
      <c r="K165" s="18">
        <f t="shared" si="10"/>
        <v>128800</v>
      </c>
      <c r="L165" s="17"/>
      <c r="M165" s="17">
        <v>-7213</v>
      </c>
      <c r="N165" s="17">
        <f t="shared" si="11"/>
        <v>121587</v>
      </c>
      <c r="O165" s="76" t="s">
        <v>43</v>
      </c>
      <c r="P165" s="191"/>
      <c r="Q165" s="10" t="s">
        <v>54</v>
      </c>
      <c r="R165" s="76" t="s">
        <v>8711</v>
      </c>
      <c r="S165" s="17"/>
      <c r="T165" s="17"/>
      <c r="U165" s="17"/>
      <c r="V165" s="17"/>
      <c r="W165" s="17"/>
    </row>
    <row r="166" spans="1:23" s="20" customFormat="1" ht="15.75" customHeight="1">
      <c r="A166" s="991">
        <v>44536</v>
      </c>
      <c r="B166" s="76" t="s">
        <v>43</v>
      </c>
      <c r="C166" s="11" t="s">
        <v>8988</v>
      </c>
      <c r="D166" s="1030" t="s">
        <v>8966</v>
      </c>
      <c r="E166" s="739" t="s">
        <v>1648</v>
      </c>
      <c r="F166" s="739" t="s">
        <v>1649</v>
      </c>
      <c r="G166" s="16">
        <v>1</v>
      </c>
      <c r="H166" s="1031">
        <v>145000</v>
      </c>
      <c r="I166" s="17">
        <f t="shared" si="9"/>
        <v>145000</v>
      </c>
      <c r="K166" s="18">
        <f t="shared" si="10"/>
        <v>145000</v>
      </c>
      <c r="L166" s="17"/>
      <c r="M166" s="17">
        <v>-8120</v>
      </c>
      <c r="N166" s="17">
        <f t="shared" si="11"/>
        <v>136880</v>
      </c>
      <c r="O166" s="76" t="s">
        <v>43</v>
      </c>
      <c r="P166" s="191"/>
      <c r="Q166" s="10" t="s">
        <v>176</v>
      </c>
      <c r="R166" s="76" t="s">
        <v>8711</v>
      </c>
      <c r="S166" s="17"/>
      <c r="T166" s="17"/>
      <c r="U166" s="17"/>
      <c r="V166" s="17"/>
      <c r="W166" s="17"/>
    </row>
    <row r="167" spans="1:23" s="20" customFormat="1" ht="15.75" customHeight="1">
      <c r="A167" s="991">
        <v>44536</v>
      </c>
      <c r="B167" s="76" t="s">
        <v>43</v>
      </c>
      <c r="C167" s="10" t="s">
        <v>8989</v>
      </c>
      <c r="D167" s="1030" t="s">
        <v>8990</v>
      </c>
      <c r="E167" s="739" t="s">
        <v>306</v>
      </c>
      <c r="F167" s="739" t="s">
        <v>307</v>
      </c>
      <c r="G167" s="16">
        <v>1</v>
      </c>
      <c r="H167" s="1031">
        <v>90500</v>
      </c>
      <c r="I167" s="17">
        <f t="shared" si="9"/>
        <v>90500</v>
      </c>
      <c r="J167" s="20">
        <f>I167*20%</f>
        <v>18100</v>
      </c>
      <c r="K167" s="18">
        <f t="shared" si="10"/>
        <v>72400</v>
      </c>
      <c r="L167" s="17"/>
      <c r="M167" s="17">
        <f>-4054</f>
        <v>-4054</v>
      </c>
      <c r="N167" s="17">
        <f t="shared" si="11"/>
        <v>68346</v>
      </c>
      <c r="O167" s="76" t="s">
        <v>43</v>
      </c>
      <c r="P167" s="191"/>
      <c r="Q167" s="10" t="s">
        <v>176</v>
      </c>
      <c r="R167" s="76" t="s">
        <v>8711</v>
      </c>
      <c r="S167" s="17"/>
      <c r="T167" s="17"/>
      <c r="U167" s="17"/>
      <c r="V167" s="17"/>
      <c r="W167" s="17"/>
    </row>
    <row r="168" spans="1:23" s="20" customFormat="1" ht="15.75" customHeight="1">
      <c r="A168" s="991">
        <v>44536</v>
      </c>
      <c r="B168" s="76" t="s">
        <v>43</v>
      </c>
      <c r="C168" s="11" t="s">
        <v>8991</v>
      </c>
      <c r="D168" s="1030" t="s">
        <v>8992</v>
      </c>
      <c r="E168" s="76" t="s">
        <v>8993</v>
      </c>
      <c r="F168" s="76" t="s">
        <v>8994</v>
      </c>
      <c r="G168" s="16">
        <v>1</v>
      </c>
      <c r="H168" s="1031">
        <v>57000</v>
      </c>
      <c r="I168" s="17">
        <f t="shared" si="9"/>
        <v>57000</v>
      </c>
      <c r="K168" s="18">
        <f t="shared" si="10"/>
        <v>57000</v>
      </c>
      <c r="L168" s="17"/>
      <c r="M168" s="17">
        <v>-3192</v>
      </c>
      <c r="N168" s="17">
        <f t="shared" si="11"/>
        <v>53808</v>
      </c>
      <c r="O168" s="76" t="s">
        <v>43</v>
      </c>
      <c r="P168" s="191"/>
      <c r="Q168" s="10" t="s">
        <v>54</v>
      </c>
      <c r="R168" s="76" t="s">
        <v>8711</v>
      </c>
      <c r="S168" s="17"/>
      <c r="T168" s="17"/>
      <c r="U168" s="17"/>
      <c r="V168" s="17"/>
      <c r="W168" s="17"/>
    </row>
    <row r="169" spans="1:23" s="20" customFormat="1" ht="15.75" customHeight="1">
      <c r="A169" s="991">
        <v>44536</v>
      </c>
      <c r="B169" s="76" t="s">
        <v>206</v>
      </c>
      <c r="C169" s="10" t="s">
        <v>8995</v>
      </c>
      <c r="D169" s="1030" t="s">
        <v>8996</v>
      </c>
      <c r="E169" s="76" t="s">
        <v>3685</v>
      </c>
      <c r="F169" s="76" t="s">
        <v>3686</v>
      </c>
      <c r="G169" s="16">
        <v>1</v>
      </c>
      <c r="H169" s="1031">
        <v>84000</v>
      </c>
      <c r="I169" s="17">
        <f t="shared" si="9"/>
        <v>84000</v>
      </c>
      <c r="K169" s="18">
        <f t="shared" si="10"/>
        <v>84000</v>
      </c>
      <c r="L169" s="17">
        <f>16400-16000</f>
        <v>400</v>
      </c>
      <c r="M169" s="17"/>
      <c r="N169" s="17">
        <f t="shared" si="11"/>
        <v>84400</v>
      </c>
      <c r="O169" s="76" t="s">
        <v>206</v>
      </c>
      <c r="P169" s="191"/>
      <c r="Q169" s="10" t="s">
        <v>176</v>
      </c>
      <c r="R169" s="76" t="s">
        <v>8711</v>
      </c>
      <c r="S169" s="17"/>
      <c r="T169" s="17"/>
      <c r="U169" s="17"/>
      <c r="V169" s="17"/>
      <c r="W169" s="17"/>
    </row>
    <row r="170" spans="1:23" s="20" customFormat="1" ht="15.75" customHeight="1">
      <c r="A170" s="991">
        <v>44536</v>
      </c>
      <c r="B170" s="76" t="s">
        <v>206</v>
      </c>
      <c r="C170" s="11" t="s">
        <v>8997</v>
      </c>
      <c r="D170" s="29" t="s">
        <v>8998</v>
      </c>
      <c r="E170" s="748" t="s">
        <v>8999</v>
      </c>
      <c r="F170" s="748" t="s">
        <v>9000</v>
      </c>
      <c r="G170" s="16">
        <v>1</v>
      </c>
      <c r="H170" s="1031">
        <v>91500</v>
      </c>
      <c r="I170" s="17">
        <f t="shared" si="9"/>
        <v>91500</v>
      </c>
      <c r="K170" s="18">
        <f t="shared" si="10"/>
        <v>91500</v>
      </c>
      <c r="L170" s="17">
        <f>26800-20000</f>
        <v>6800</v>
      </c>
      <c r="M170" s="17"/>
      <c r="N170" s="17">
        <f t="shared" si="11"/>
        <v>98300</v>
      </c>
      <c r="O170" s="76" t="s">
        <v>206</v>
      </c>
      <c r="P170" s="191"/>
      <c r="Q170" s="10" t="s">
        <v>328</v>
      </c>
      <c r="R170" s="76" t="s">
        <v>8711</v>
      </c>
      <c r="S170" s="17"/>
      <c r="T170" s="17"/>
      <c r="U170" s="17"/>
      <c r="V170" s="17"/>
      <c r="W170" s="17"/>
    </row>
    <row r="171" spans="1:23" s="20" customFormat="1" ht="15.75" customHeight="1">
      <c r="A171" s="991">
        <v>44536</v>
      </c>
      <c r="B171" s="76" t="s">
        <v>206</v>
      </c>
      <c r="C171" s="11" t="s">
        <v>8997</v>
      </c>
      <c r="D171" s="29" t="s">
        <v>8998</v>
      </c>
      <c r="E171" s="780" t="s">
        <v>3063</v>
      </c>
      <c r="F171" s="780" t="s">
        <v>3064</v>
      </c>
      <c r="G171" s="969">
        <v>1</v>
      </c>
      <c r="H171" s="1031">
        <v>59000</v>
      </c>
      <c r="I171" s="17">
        <f t="shared" si="9"/>
        <v>59000</v>
      </c>
      <c r="K171" s="18">
        <f t="shared" si="10"/>
        <v>59000</v>
      </c>
      <c r="L171" s="17"/>
      <c r="M171" s="17"/>
      <c r="N171" s="17">
        <f t="shared" si="11"/>
        <v>59000</v>
      </c>
      <c r="O171" s="76" t="s">
        <v>206</v>
      </c>
      <c r="P171" s="191"/>
      <c r="Q171" s="10" t="s">
        <v>328</v>
      </c>
      <c r="R171" s="76" t="s">
        <v>8711</v>
      </c>
      <c r="S171" s="17"/>
      <c r="T171" s="17"/>
      <c r="U171" s="17"/>
      <c r="V171" s="17"/>
      <c r="W171" s="17"/>
    </row>
    <row r="172" spans="1:23" s="20" customFormat="1" ht="15.75" customHeight="1">
      <c r="A172" s="991">
        <v>44536</v>
      </c>
      <c r="B172" s="76" t="s">
        <v>206</v>
      </c>
      <c r="C172" s="11" t="s">
        <v>9001</v>
      </c>
      <c r="D172" s="1030" t="s">
        <v>9002</v>
      </c>
      <c r="E172" s="76" t="s">
        <v>1911</v>
      </c>
      <c r="F172" s="76" t="s">
        <v>1912</v>
      </c>
      <c r="G172" s="16">
        <v>1</v>
      </c>
      <c r="H172" s="1031">
        <v>98000</v>
      </c>
      <c r="I172" s="17">
        <f t="shared" si="9"/>
        <v>98000</v>
      </c>
      <c r="K172" s="18">
        <f t="shared" si="10"/>
        <v>98000</v>
      </c>
      <c r="L172" s="17">
        <f>19500-19000</f>
        <v>500</v>
      </c>
      <c r="M172" s="17"/>
      <c r="N172" s="17">
        <f t="shared" si="11"/>
        <v>98500</v>
      </c>
      <c r="O172" s="76" t="s">
        <v>206</v>
      </c>
      <c r="P172" s="191"/>
      <c r="Q172" s="10" t="s">
        <v>328</v>
      </c>
      <c r="R172" s="76" t="s">
        <v>8711</v>
      </c>
      <c r="S172" s="17"/>
      <c r="T172" s="17"/>
      <c r="U172" s="17"/>
      <c r="V172" s="17"/>
      <c r="W172" s="17"/>
    </row>
    <row r="173" spans="1:23" s="20" customFormat="1" ht="15.75" customHeight="1">
      <c r="A173" s="991">
        <v>44536</v>
      </c>
      <c r="B173" s="76" t="s">
        <v>43</v>
      </c>
      <c r="C173" s="10" t="s">
        <v>9003</v>
      </c>
      <c r="D173" s="1030" t="s">
        <v>9004</v>
      </c>
      <c r="E173" s="76" t="s">
        <v>2294</v>
      </c>
      <c r="F173" s="76" t="s">
        <v>2295</v>
      </c>
      <c r="G173" s="16">
        <v>1</v>
      </c>
      <c r="H173" s="1031">
        <v>106000</v>
      </c>
      <c r="I173" s="17">
        <f t="shared" si="9"/>
        <v>106000</v>
      </c>
      <c r="J173" s="20">
        <f>I173*20%</f>
        <v>21200</v>
      </c>
      <c r="K173" s="18">
        <f t="shared" si="10"/>
        <v>84800</v>
      </c>
      <c r="L173" s="17"/>
      <c r="M173" s="17">
        <v>-4749</v>
      </c>
      <c r="N173" s="17">
        <f t="shared" si="11"/>
        <v>80051</v>
      </c>
      <c r="O173" s="76" t="s">
        <v>43</v>
      </c>
      <c r="P173" s="92"/>
      <c r="Q173" s="10" t="s">
        <v>176</v>
      </c>
      <c r="R173" s="76" t="s">
        <v>8711</v>
      </c>
      <c r="S173" s="17"/>
      <c r="T173" s="17"/>
      <c r="U173" s="17"/>
      <c r="V173" s="17"/>
      <c r="W173" s="17"/>
    </row>
    <row r="174" spans="1:23" s="20" customFormat="1" ht="15.75" customHeight="1">
      <c r="A174" s="991">
        <v>44536</v>
      </c>
      <c r="B174" s="782" t="s">
        <v>313</v>
      </c>
      <c r="C174" s="1085" t="s">
        <v>9005</v>
      </c>
      <c r="D174" s="770" t="s">
        <v>9454</v>
      </c>
      <c r="E174" s="754" t="s">
        <v>8519</v>
      </c>
      <c r="F174" s="754" t="s">
        <v>8520</v>
      </c>
      <c r="G174" s="1028">
        <v>4</v>
      </c>
      <c r="H174" s="1031">
        <v>238000</v>
      </c>
      <c r="I174" s="17">
        <f t="shared" si="9"/>
        <v>952000</v>
      </c>
      <c r="K174" s="18">
        <f t="shared" si="10"/>
        <v>952000</v>
      </c>
      <c r="L174" s="17">
        <v>51095</v>
      </c>
      <c r="M174" s="17"/>
      <c r="N174" s="17">
        <f t="shared" si="11"/>
        <v>1003095</v>
      </c>
      <c r="O174" s="782" t="s">
        <v>313</v>
      </c>
      <c r="P174" s="92"/>
      <c r="Q174" s="982" t="s">
        <v>40</v>
      </c>
      <c r="R174" s="782" t="s">
        <v>8716</v>
      </c>
      <c r="S174" s="17"/>
      <c r="T174" s="17"/>
      <c r="U174" s="17"/>
      <c r="V174" s="17"/>
      <c r="W174" s="17"/>
    </row>
    <row r="175" spans="1:23" s="20" customFormat="1" ht="15.75" customHeight="1">
      <c r="A175" s="991">
        <v>44536</v>
      </c>
      <c r="B175" s="76" t="s">
        <v>23</v>
      </c>
      <c r="C175" s="11" t="s">
        <v>9404</v>
      </c>
      <c r="D175" s="29" t="s">
        <v>9006</v>
      </c>
      <c r="E175" s="739" t="s">
        <v>9007</v>
      </c>
      <c r="F175" s="739" t="s">
        <v>9008</v>
      </c>
      <c r="G175" s="16">
        <v>5</v>
      </c>
      <c r="H175" s="1031">
        <v>85000</v>
      </c>
      <c r="I175" s="17">
        <f t="shared" si="9"/>
        <v>425000</v>
      </c>
      <c r="J175" s="20">
        <f>I175*20%</f>
        <v>85000</v>
      </c>
      <c r="K175" s="18">
        <f t="shared" si="10"/>
        <v>340000</v>
      </c>
      <c r="L175" s="17">
        <v>28000</v>
      </c>
      <c r="M175" s="17"/>
      <c r="N175" s="17">
        <f t="shared" si="11"/>
        <v>368000</v>
      </c>
      <c r="O175" s="76" t="s">
        <v>23</v>
      </c>
      <c r="P175" s="191"/>
      <c r="Q175" s="10" t="s">
        <v>28</v>
      </c>
      <c r="R175" s="76" t="s">
        <v>8711</v>
      </c>
      <c r="S175" s="17"/>
      <c r="T175" s="17"/>
      <c r="U175" s="17"/>
      <c r="V175" s="17"/>
      <c r="W175" s="17"/>
    </row>
    <row r="176" spans="1:23" s="20" customFormat="1" ht="15.75" customHeight="1">
      <c r="A176" s="991">
        <v>44536</v>
      </c>
      <c r="B176" s="76" t="s">
        <v>23</v>
      </c>
      <c r="C176" s="10" t="s">
        <v>9009</v>
      </c>
      <c r="D176" s="29" t="s">
        <v>9010</v>
      </c>
      <c r="E176" s="29" t="s">
        <v>7069</v>
      </c>
      <c r="F176" s="29" t="s">
        <v>9011</v>
      </c>
      <c r="G176" s="319">
        <v>80</v>
      </c>
      <c r="H176" s="1031">
        <v>126000</v>
      </c>
      <c r="I176" s="17">
        <f t="shared" si="9"/>
        <v>10080000</v>
      </c>
      <c r="J176" s="20">
        <f>I176*35%</f>
        <v>3528000</v>
      </c>
      <c r="K176" s="18">
        <f t="shared" si="10"/>
        <v>6552000</v>
      </c>
      <c r="L176" s="17">
        <v>78000</v>
      </c>
      <c r="M176" s="17"/>
      <c r="N176" s="17">
        <f t="shared" si="11"/>
        <v>6630000</v>
      </c>
      <c r="O176" s="76" t="s">
        <v>23</v>
      </c>
      <c r="P176" s="72"/>
      <c r="Q176" s="72" t="s">
        <v>40</v>
      </c>
      <c r="R176" s="92" t="s">
        <v>8711</v>
      </c>
      <c r="S176" s="17"/>
      <c r="T176" s="17"/>
      <c r="U176" s="17"/>
      <c r="V176" s="17"/>
      <c r="W176" s="17"/>
    </row>
    <row r="177" spans="1:23" s="20" customFormat="1" ht="15.75" customHeight="1">
      <c r="A177" s="991">
        <v>44537</v>
      </c>
      <c r="B177" s="76" t="s">
        <v>43</v>
      </c>
      <c r="C177" s="10" t="s">
        <v>9012</v>
      </c>
      <c r="D177" s="29" t="s">
        <v>9013</v>
      </c>
      <c r="E177" s="76" t="s">
        <v>9014</v>
      </c>
      <c r="F177" s="76" t="s">
        <v>4260</v>
      </c>
      <c r="G177" s="16">
        <v>1</v>
      </c>
      <c r="H177" s="1031">
        <v>82000</v>
      </c>
      <c r="I177" s="17">
        <f t="shared" si="9"/>
        <v>82000</v>
      </c>
      <c r="J177" s="20">
        <f>I177*20%</f>
        <v>16400</v>
      </c>
      <c r="K177" s="18">
        <f t="shared" si="10"/>
        <v>65600</v>
      </c>
      <c r="L177" s="17"/>
      <c r="M177" s="17">
        <v>-3674</v>
      </c>
      <c r="N177" s="17">
        <f t="shared" si="11"/>
        <v>61926</v>
      </c>
      <c r="O177" s="76" t="s">
        <v>43</v>
      </c>
      <c r="P177" s="72"/>
      <c r="Q177" s="10" t="s">
        <v>176</v>
      </c>
      <c r="R177" s="76" t="s">
        <v>8711</v>
      </c>
      <c r="S177" s="13"/>
      <c r="T177" s="17"/>
      <c r="U177" s="17"/>
      <c r="V177" s="17"/>
      <c r="W177" s="17"/>
    </row>
    <row r="178" spans="1:23" s="20" customFormat="1" ht="15.75" customHeight="1">
      <c r="A178" s="991">
        <v>44537</v>
      </c>
      <c r="B178" s="76" t="s">
        <v>43</v>
      </c>
      <c r="C178" s="11" t="s">
        <v>9015</v>
      </c>
      <c r="D178" s="29" t="s">
        <v>9016</v>
      </c>
      <c r="E178" s="739" t="s">
        <v>8841</v>
      </c>
      <c r="F178" s="739" t="s">
        <v>8842</v>
      </c>
      <c r="G178" s="16">
        <v>1</v>
      </c>
      <c r="H178" s="1031">
        <v>107000</v>
      </c>
      <c r="I178" s="17">
        <f t="shared" si="9"/>
        <v>107000</v>
      </c>
      <c r="J178" s="20">
        <f>I178*20%</f>
        <v>21400</v>
      </c>
      <c r="K178" s="18">
        <f t="shared" si="10"/>
        <v>85600</v>
      </c>
      <c r="L178" s="17"/>
      <c r="M178" s="17">
        <v>-4794</v>
      </c>
      <c r="N178" s="17">
        <f t="shared" si="11"/>
        <v>80806</v>
      </c>
      <c r="O178" s="76" t="s">
        <v>43</v>
      </c>
      <c r="P178" s="183"/>
      <c r="Q178" s="10" t="s">
        <v>176</v>
      </c>
      <c r="R178" s="76" t="s">
        <v>8711</v>
      </c>
      <c r="S178" s="17"/>
      <c r="T178" s="17"/>
      <c r="U178" s="17"/>
      <c r="V178" s="17"/>
      <c r="W178" s="17"/>
    </row>
    <row r="179" spans="1:23" s="20" customFormat="1" ht="15.75" customHeight="1">
      <c r="A179" s="991">
        <v>44537</v>
      </c>
      <c r="B179" s="76" t="s">
        <v>43</v>
      </c>
      <c r="C179" s="10" t="s">
        <v>9017</v>
      </c>
      <c r="D179" s="29" t="s">
        <v>9018</v>
      </c>
      <c r="E179" s="739" t="s">
        <v>6588</v>
      </c>
      <c r="F179" s="739" t="s">
        <v>3765</v>
      </c>
      <c r="G179" s="16">
        <v>1</v>
      </c>
      <c r="H179" s="1031">
        <v>104000</v>
      </c>
      <c r="I179" s="17">
        <f t="shared" si="9"/>
        <v>104000</v>
      </c>
      <c r="J179" s="20">
        <f>I179*20%</f>
        <v>20800</v>
      </c>
      <c r="K179" s="18">
        <f t="shared" si="10"/>
        <v>83200</v>
      </c>
      <c r="L179" s="17"/>
      <c r="M179" s="17">
        <v>-4659</v>
      </c>
      <c r="N179" s="17">
        <f t="shared" si="11"/>
        <v>78541</v>
      </c>
      <c r="O179" s="76" t="s">
        <v>43</v>
      </c>
      <c r="P179" s="183"/>
      <c r="Q179" s="10" t="s">
        <v>54</v>
      </c>
      <c r="R179" s="76" t="s">
        <v>8711</v>
      </c>
      <c r="S179" s="17"/>
      <c r="T179" s="17"/>
      <c r="U179" s="17"/>
      <c r="V179" s="17"/>
      <c r="W179" s="17"/>
    </row>
    <row r="180" spans="1:23" s="20" customFormat="1" ht="15.75" customHeight="1">
      <c r="A180" s="991">
        <v>44537</v>
      </c>
      <c r="B180" s="76" t="s">
        <v>43</v>
      </c>
      <c r="C180" s="10" t="s">
        <v>9019</v>
      </c>
      <c r="D180" s="29" t="s">
        <v>9020</v>
      </c>
      <c r="E180" s="76" t="s">
        <v>5742</v>
      </c>
      <c r="F180" s="76" t="s">
        <v>5743</v>
      </c>
      <c r="G180" s="16">
        <v>1</v>
      </c>
      <c r="H180" s="1031">
        <v>73500</v>
      </c>
      <c r="I180" s="17">
        <f t="shared" si="9"/>
        <v>73500</v>
      </c>
      <c r="J180" s="20">
        <f>I180*20%</f>
        <v>14700</v>
      </c>
      <c r="K180" s="18">
        <f t="shared" si="10"/>
        <v>58800</v>
      </c>
      <c r="L180" s="17"/>
      <c r="M180" s="17">
        <v>-3293</v>
      </c>
      <c r="N180" s="17">
        <f t="shared" si="11"/>
        <v>55507</v>
      </c>
      <c r="O180" s="76" t="s">
        <v>43</v>
      </c>
      <c r="P180" s="183"/>
      <c r="Q180" s="10" t="s">
        <v>176</v>
      </c>
      <c r="R180" s="76" t="s">
        <v>8711</v>
      </c>
      <c r="S180" s="17"/>
      <c r="T180" s="17"/>
      <c r="U180" s="17"/>
      <c r="V180" s="17"/>
      <c r="W180" s="17"/>
    </row>
    <row r="181" spans="1:23" s="20" customFormat="1">
      <c r="A181" s="991">
        <v>44537</v>
      </c>
      <c r="B181" s="76" t="s">
        <v>43</v>
      </c>
      <c r="C181" s="10" t="s">
        <v>9017</v>
      </c>
      <c r="D181" s="29" t="s">
        <v>9018</v>
      </c>
      <c r="E181" s="739" t="s">
        <v>9021</v>
      </c>
      <c r="F181" s="739" t="s">
        <v>3765</v>
      </c>
      <c r="G181" s="16">
        <v>1</v>
      </c>
      <c r="H181" s="1031">
        <v>116000</v>
      </c>
      <c r="I181" s="17">
        <f t="shared" si="9"/>
        <v>116000</v>
      </c>
      <c r="K181" s="18">
        <f t="shared" si="10"/>
        <v>116000</v>
      </c>
      <c r="L181" s="17"/>
      <c r="M181" s="17">
        <v>-6496</v>
      </c>
      <c r="N181" s="17">
        <f t="shared" si="11"/>
        <v>109504</v>
      </c>
      <c r="O181" s="76" t="s">
        <v>43</v>
      </c>
      <c r="P181" s="183"/>
      <c r="Q181" s="10" t="s">
        <v>54</v>
      </c>
      <c r="R181" s="76" t="s">
        <v>8711</v>
      </c>
      <c r="S181" s="17"/>
      <c r="T181" s="17"/>
      <c r="U181" s="17"/>
      <c r="V181" s="17"/>
      <c r="W181" s="17"/>
    </row>
    <row r="182" spans="1:23" s="20" customFormat="1">
      <c r="A182" s="991">
        <v>44537</v>
      </c>
      <c r="B182" s="76" t="s">
        <v>43</v>
      </c>
      <c r="C182" s="11" t="s">
        <v>9022</v>
      </c>
      <c r="D182" s="29" t="s">
        <v>9023</v>
      </c>
      <c r="E182" s="76" t="s">
        <v>9024</v>
      </c>
      <c r="F182" s="76" t="s">
        <v>9025</v>
      </c>
      <c r="G182" s="16">
        <v>1</v>
      </c>
      <c r="H182" s="1031">
        <v>31000</v>
      </c>
      <c r="I182" s="17">
        <f t="shared" si="9"/>
        <v>31000</v>
      </c>
      <c r="K182" s="18">
        <f t="shared" si="10"/>
        <v>31000</v>
      </c>
      <c r="L182" s="17"/>
      <c r="M182" s="17">
        <v>-1736</v>
      </c>
      <c r="N182" s="17">
        <f t="shared" si="11"/>
        <v>29264</v>
      </c>
      <c r="O182" s="76" t="s">
        <v>43</v>
      </c>
      <c r="P182" s="72"/>
      <c r="Q182" s="10" t="s">
        <v>54</v>
      </c>
      <c r="R182" s="76" t="s">
        <v>8711</v>
      </c>
      <c r="S182" s="17"/>
      <c r="T182" s="17"/>
      <c r="U182" s="17"/>
      <c r="V182" s="17"/>
      <c r="W182" s="17"/>
    </row>
    <row r="183" spans="1:23" s="20" customFormat="1">
      <c r="A183" s="991">
        <v>44537</v>
      </c>
      <c r="B183" s="76" t="s">
        <v>23</v>
      </c>
      <c r="C183" s="10" t="s">
        <v>9026</v>
      </c>
      <c r="D183" s="29" t="s">
        <v>9027</v>
      </c>
      <c r="E183" s="739" t="s">
        <v>668</v>
      </c>
      <c r="F183" s="739" t="s">
        <v>669</v>
      </c>
      <c r="G183" s="16">
        <v>1</v>
      </c>
      <c r="H183" s="1031">
        <v>113000</v>
      </c>
      <c r="I183" s="17">
        <f t="shared" si="9"/>
        <v>113000</v>
      </c>
      <c r="K183" s="18">
        <f t="shared" si="10"/>
        <v>113000</v>
      </c>
      <c r="L183" s="17">
        <f>11000-10000</f>
        <v>1000</v>
      </c>
      <c r="M183" s="17"/>
      <c r="N183" s="17">
        <f t="shared" si="11"/>
        <v>114000</v>
      </c>
      <c r="O183" s="76" t="s">
        <v>23</v>
      </c>
      <c r="P183" s="72"/>
      <c r="Q183" s="10" t="s">
        <v>40</v>
      </c>
      <c r="R183" s="76" t="s">
        <v>8711</v>
      </c>
      <c r="S183" s="17"/>
      <c r="T183" s="17"/>
      <c r="U183" s="17"/>
      <c r="V183" s="17"/>
      <c r="W183" s="17"/>
    </row>
    <row r="184" spans="1:23" s="20" customFormat="1">
      <c r="A184" s="991">
        <v>44537</v>
      </c>
      <c r="B184" s="76" t="s">
        <v>23</v>
      </c>
      <c r="C184" s="11" t="s">
        <v>9028</v>
      </c>
      <c r="D184" s="29" t="s">
        <v>9029</v>
      </c>
      <c r="E184" s="739" t="s">
        <v>5696</v>
      </c>
      <c r="F184" s="739" t="s">
        <v>5697</v>
      </c>
      <c r="G184" s="16">
        <v>1</v>
      </c>
      <c r="H184" s="1031">
        <v>60000</v>
      </c>
      <c r="I184" s="17">
        <f t="shared" si="9"/>
        <v>60000</v>
      </c>
      <c r="K184" s="18">
        <f t="shared" si="10"/>
        <v>60000</v>
      </c>
      <c r="L184" s="17">
        <v>8000</v>
      </c>
      <c r="M184" s="17"/>
      <c r="N184" s="17">
        <f t="shared" si="11"/>
        <v>68000</v>
      </c>
      <c r="O184" s="76" t="s">
        <v>23</v>
      </c>
      <c r="P184" s="72"/>
      <c r="Q184" s="10" t="s">
        <v>28</v>
      </c>
      <c r="R184" s="76" t="s">
        <v>8711</v>
      </c>
      <c r="S184" s="17"/>
      <c r="T184" s="17"/>
      <c r="U184" s="17"/>
      <c r="V184" s="17"/>
      <c r="W184" s="17"/>
    </row>
    <row r="185" spans="1:23" s="20" customFormat="1">
      <c r="A185" s="991">
        <v>44538</v>
      </c>
      <c r="B185" s="76" t="s">
        <v>43</v>
      </c>
      <c r="C185" s="10" t="s">
        <v>9030</v>
      </c>
      <c r="D185" s="29" t="s">
        <v>9031</v>
      </c>
      <c r="E185" s="76" t="s">
        <v>6378</v>
      </c>
      <c r="F185" s="76" t="s">
        <v>813</v>
      </c>
      <c r="G185" s="16">
        <v>1</v>
      </c>
      <c r="H185" s="1031">
        <v>82000</v>
      </c>
      <c r="I185" s="17">
        <f t="shared" si="9"/>
        <v>82000</v>
      </c>
      <c r="J185" s="20">
        <f>I185*20%</f>
        <v>16400</v>
      </c>
      <c r="K185" s="18">
        <f t="shared" si="10"/>
        <v>65600</v>
      </c>
      <c r="L185" s="17"/>
      <c r="M185" s="17">
        <v>-3674</v>
      </c>
      <c r="N185" s="17">
        <f t="shared" si="11"/>
        <v>61926</v>
      </c>
      <c r="O185" s="76" t="s">
        <v>43</v>
      </c>
      <c r="P185" s="183"/>
      <c r="Q185" s="10" t="s">
        <v>176</v>
      </c>
      <c r="R185" s="76" t="s">
        <v>8711</v>
      </c>
      <c r="S185" s="17"/>
      <c r="T185" s="17"/>
      <c r="U185" s="17"/>
      <c r="V185" s="17"/>
      <c r="W185" s="17"/>
    </row>
    <row r="186" spans="1:23" s="20" customFormat="1">
      <c r="A186" s="991">
        <v>44538</v>
      </c>
      <c r="B186" s="76" t="s">
        <v>43</v>
      </c>
      <c r="C186" s="11" t="s">
        <v>9032</v>
      </c>
      <c r="D186" s="29" t="s">
        <v>9033</v>
      </c>
      <c r="E186" s="929" t="s">
        <v>8132</v>
      </c>
      <c r="F186" s="929" t="s">
        <v>8133</v>
      </c>
      <c r="G186" s="16">
        <v>3</v>
      </c>
      <c r="H186" s="1031">
        <v>57500</v>
      </c>
      <c r="I186" s="17">
        <f t="shared" si="9"/>
        <v>172500</v>
      </c>
      <c r="J186" s="20">
        <f>I186*20%</f>
        <v>34500</v>
      </c>
      <c r="K186" s="18">
        <f t="shared" si="10"/>
        <v>138000</v>
      </c>
      <c r="L186" s="17"/>
      <c r="M186" s="17">
        <v>-21504</v>
      </c>
      <c r="N186" s="17">
        <f t="shared" si="11"/>
        <v>116496</v>
      </c>
      <c r="O186" s="76" t="s">
        <v>43</v>
      </c>
      <c r="P186" s="72"/>
      <c r="Q186" s="10" t="s">
        <v>176</v>
      </c>
      <c r="R186" s="76" t="s">
        <v>8711</v>
      </c>
      <c r="S186" s="17"/>
      <c r="T186" s="17"/>
      <c r="U186" s="17"/>
      <c r="V186" s="17"/>
      <c r="W186" s="17"/>
    </row>
    <row r="187" spans="1:23" s="20" customFormat="1">
      <c r="A187" s="991">
        <v>44538</v>
      </c>
      <c r="B187" s="76" t="s">
        <v>43</v>
      </c>
      <c r="C187" s="11" t="s">
        <v>9032</v>
      </c>
      <c r="D187" s="29" t="s">
        <v>9034</v>
      </c>
      <c r="E187" s="929" t="s">
        <v>4677</v>
      </c>
      <c r="F187" s="929" t="s">
        <v>4678</v>
      </c>
      <c r="G187" s="16">
        <v>3</v>
      </c>
      <c r="H187" s="1031">
        <v>51500</v>
      </c>
      <c r="I187" s="17">
        <f t="shared" si="9"/>
        <v>154500</v>
      </c>
      <c r="J187" s="20">
        <f t="shared" ref="J187:J188" si="12">I187*20%</f>
        <v>30900</v>
      </c>
      <c r="K187" s="18">
        <f t="shared" si="10"/>
        <v>123600</v>
      </c>
      <c r="L187" s="17"/>
      <c r="M187" s="17"/>
      <c r="N187" s="17">
        <f t="shared" si="11"/>
        <v>123600</v>
      </c>
      <c r="O187" s="76" t="s">
        <v>43</v>
      </c>
      <c r="P187" s="72"/>
      <c r="Q187" s="10" t="s">
        <v>176</v>
      </c>
      <c r="R187" s="76" t="s">
        <v>8711</v>
      </c>
      <c r="S187" s="17"/>
      <c r="T187" s="17"/>
      <c r="U187" s="17"/>
      <c r="V187" s="17"/>
      <c r="W187" s="17"/>
    </row>
    <row r="188" spans="1:23" s="20" customFormat="1">
      <c r="A188" s="991">
        <v>44538</v>
      </c>
      <c r="B188" s="76" t="s">
        <v>43</v>
      </c>
      <c r="C188" s="11" t="s">
        <v>9032</v>
      </c>
      <c r="D188" s="29" t="s">
        <v>9035</v>
      </c>
      <c r="E188" s="928" t="s">
        <v>8003</v>
      </c>
      <c r="F188" s="928" t="s">
        <v>8004</v>
      </c>
      <c r="G188" s="16">
        <v>3</v>
      </c>
      <c r="H188" s="1031">
        <v>51000</v>
      </c>
      <c r="I188" s="17">
        <f t="shared" si="9"/>
        <v>153000</v>
      </c>
      <c r="J188" s="20">
        <f t="shared" si="12"/>
        <v>30600</v>
      </c>
      <c r="K188" s="18">
        <f t="shared" si="10"/>
        <v>122400</v>
      </c>
      <c r="L188" s="17"/>
      <c r="M188" s="17"/>
      <c r="N188" s="17">
        <f t="shared" si="11"/>
        <v>122400</v>
      </c>
      <c r="O188" s="76" t="s">
        <v>43</v>
      </c>
      <c r="P188" s="72"/>
      <c r="Q188" s="10" t="s">
        <v>176</v>
      </c>
      <c r="R188" s="76" t="s">
        <v>8711</v>
      </c>
      <c r="S188" s="17"/>
      <c r="T188" s="17"/>
      <c r="U188" s="17"/>
      <c r="V188" s="17"/>
      <c r="W188" s="17"/>
    </row>
    <row r="189" spans="1:23" s="20" customFormat="1">
      <c r="A189" s="991">
        <v>44538</v>
      </c>
      <c r="B189" s="76" t="s">
        <v>313</v>
      </c>
      <c r="C189" s="11" t="s">
        <v>9036</v>
      </c>
      <c r="D189" s="29" t="s">
        <v>9037</v>
      </c>
      <c r="E189" s="749" t="s">
        <v>8495</v>
      </c>
      <c r="F189" s="749" t="s">
        <v>8496</v>
      </c>
      <c r="G189" s="16">
        <v>1</v>
      </c>
      <c r="H189" s="1031">
        <v>66000</v>
      </c>
      <c r="I189" s="17">
        <f t="shared" si="9"/>
        <v>66000</v>
      </c>
      <c r="K189" s="18">
        <f t="shared" si="10"/>
        <v>66000</v>
      </c>
      <c r="L189" s="17">
        <v>17948</v>
      </c>
      <c r="M189" s="17"/>
      <c r="N189" s="17">
        <f t="shared" si="11"/>
        <v>83948</v>
      </c>
      <c r="O189" s="76" t="s">
        <v>313</v>
      </c>
      <c r="P189" s="72"/>
      <c r="Q189" s="10" t="s">
        <v>40</v>
      </c>
      <c r="R189" s="76" t="s">
        <v>8711</v>
      </c>
      <c r="S189" s="17"/>
      <c r="T189" s="17"/>
      <c r="U189" s="17"/>
      <c r="V189" s="17"/>
      <c r="W189" s="17"/>
    </row>
    <row r="190" spans="1:23" s="20" customFormat="1">
      <c r="A190" s="991">
        <v>44538</v>
      </c>
      <c r="B190" s="76" t="s">
        <v>313</v>
      </c>
      <c r="C190" s="11" t="s">
        <v>9036</v>
      </c>
      <c r="D190" s="29" t="s">
        <v>9037</v>
      </c>
      <c r="E190" s="947" t="s">
        <v>6813</v>
      </c>
      <c r="F190" s="947" t="s">
        <v>6814</v>
      </c>
      <c r="G190" s="16">
        <v>1</v>
      </c>
      <c r="H190" s="1031">
        <v>147000</v>
      </c>
      <c r="I190" s="17">
        <f t="shared" si="9"/>
        <v>147000</v>
      </c>
      <c r="K190" s="18">
        <f t="shared" si="10"/>
        <v>147000</v>
      </c>
      <c r="L190" s="17"/>
      <c r="M190" s="17"/>
      <c r="N190" s="17">
        <f t="shared" si="11"/>
        <v>147000</v>
      </c>
      <c r="O190" s="76" t="s">
        <v>313</v>
      </c>
      <c r="P190" s="72"/>
      <c r="Q190" s="10" t="s">
        <v>40</v>
      </c>
      <c r="R190" s="76" t="s">
        <v>8711</v>
      </c>
      <c r="S190" s="17"/>
      <c r="T190" s="17"/>
      <c r="U190" s="17"/>
      <c r="V190" s="17"/>
      <c r="W190" s="17"/>
    </row>
    <row r="191" spans="1:23" s="20" customFormat="1">
      <c r="A191" s="991">
        <v>44538</v>
      </c>
      <c r="B191" s="76" t="s">
        <v>313</v>
      </c>
      <c r="C191" s="11" t="s">
        <v>9036</v>
      </c>
      <c r="D191" s="29" t="s">
        <v>9037</v>
      </c>
      <c r="E191" s="947" t="s">
        <v>955</v>
      </c>
      <c r="F191" s="947" t="s">
        <v>956</v>
      </c>
      <c r="G191" s="16">
        <v>1</v>
      </c>
      <c r="H191" s="1031">
        <v>73000</v>
      </c>
      <c r="I191" s="17">
        <f t="shared" si="9"/>
        <v>73000</v>
      </c>
      <c r="K191" s="18">
        <f t="shared" si="10"/>
        <v>73000</v>
      </c>
      <c r="L191" s="17"/>
      <c r="M191" s="17"/>
      <c r="N191" s="17">
        <f t="shared" si="11"/>
        <v>73000</v>
      </c>
      <c r="O191" s="76" t="s">
        <v>313</v>
      </c>
      <c r="P191" s="72"/>
      <c r="Q191" s="10" t="s">
        <v>40</v>
      </c>
      <c r="R191" s="76" t="s">
        <v>8711</v>
      </c>
      <c r="S191" s="17"/>
      <c r="T191" s="17"/>
      <c r="U191" s="17"/>
      <c r="V191" s="17"/>
      <c r="W191" s="17"/>
    </row>
    <row r="192" spans="1:23" s="20" customFormat="1">
      <c r="A192" s="991">
        <v>44538</v>
      </c>
      <c r="B192" s="76" t="s">
        <v>313</v>
      </c>
      <c r="C192" s="11" t="s">
        <v>9036</v>
      </c>
      <c r="D192" s="29" t="s">
        <v>9037</v>
      </c>
      <c r="E192" s="947" t="s">
        <v>7160</v>
      </c>
      <c r="F192" s="947" t="s">
        <v>7161</v>
      </c>
      <c r="G192" s="16">
        <v>1</v>
      </c>
      <c r="H192" s="1031">
        <v>90000</v>
      </c>
      <c r="I192" s="17">
        <f t="shared" si="9"/>
        <v>90000</v>
      </c>
      <c r="K192" s="18">
        <f t="shared" si="10"/>
        <v>90000</v>
      </c>
      <c r="L192" s="17"/>
      <c r="M192" s="17"/>
      <c r="N192" s="17">
        <f t="shared" si="11"/>
        <v>90000</v>
      </c>
      <c r="O192" s="76" t="s">
        <v>313</v>
      </c>
      <c r="P192" s="72"/>
      <c r="Q192" s="10" t="s">
        <v>40</v>
      </c>
      <c r="R192" s="76" t="s">
        <v>8711</v>
      </c>
      <c r="S192" s="17"/>
      <c r="T192" s="17"/>
      <c r="U192" s="17"/>
      <c r="V192" s="17"/>
      <c r="W192" s="17"/>
    </row>
    <row r="193" spans="1:23" s="20" customFormat="1">
      <c r="A193" s="991">
        <v>44538</v>
      </c>
      <c r="B193" s="76" t="s">
        <v>177</v>
      </c>
      <c r="C193" s="10" t="s">
        <v>9038</v>
      </c>
      <c r="D193" s="20" t="s">
        <v>9039</v>
      </c>
      <c r="E193" s="901" t="s">
        <v>6982</v>
      </c>
      <c r="F193" s="901" t="s">
        <v>6983</v>
      </c>
      <c r="G193" s="16">
        <v>1</v>
      </c>
      <c r="H193" s="20">
        <v>73000</v>
      </c>
      <c r="I193" s="17">
        <f t="shared" si="9"/>
        <v>73000</v>
      </c>
      <c r="K193" s="18">
        <f t="shared" si="10"/>
        <v>73000</v>
      </c>
      <c r="L193" s="17">
        <v>7000</v>
      </c>
      <c r="M193" s="17"/>
      <c r="N193" s="17">
        <f t="shared" si="11"/>
        <v>80000</v>
      </c>
      <c r="O193" s="76" t="s">
        <v>177</v>
      </c>
      <c r="P193" s="72"/>
      <c r="Q193" s="10" t="s">
        <v>54</v>
      </c>
      <c r="R193" s="76" t="s">
        <v>8716</v>
      </c>
      <c r="S193" s="17"/>
      <c r="T193" s="17"/>
      <c r="U193" s="17"/>
      <c r="V193" s="17"/>
      <c r="W193" s="17"/>
    </row>
    <row r="194" spans="1:23" s="20" customFormat="1">
      <c r="A194" s="991">
        <v>44538</v>
      </c>
      <c r="B194" s="76" t="s">
        <v>177</v>
      </c>
      <c r="C194" s="10" t="s">
        <v>9040</v>
      </c>
      <c r="D194" s="20" t="s">
        <v>9041</v>
      </c>
      <c r="E194" s="901" t="s">
        <v>6114</v>
      </c>
      <c r="F194" s="901" t="s">
        <v>6115</v>
      </c>
      <c r="G194" s="16">
        <v>1</v>
      </c>
      <c r="H194" s="20">
        <v>119000</v>
      </c>
      <c r="I194" s="17">
        <f t="shared" si="9"/>
        <v>119000</v>
      </c>
      <c r="K194" s="18">
        <f t="shared" si="10"/>
        <v>119000</v>
      </c>
      <c r="L194" s="17">
        <v>38000</v>
      </c>
      <c r="M194" s="17"/>
      <c r="N194" s="17">
        <f t="shared" si="11"/>
        <v>157000</v>
      </c>
      <c r="O194" s="76" t="s">
        <v>177</v>
      </c>
      <c r="P194" s="72"/>
      <c r="Q194" s="10" t="s">
        <v>54</v>
      </c>
      <c r="R194" s="76" t="s">
        <v>8711</v>
      </c>
      <c r="S194" s="17"/>
      <c r="T194" s="17"/>
      <c r="U194" s="17"/>
      <c r="V194" s="17"/>
      <c r="W194" s="17"/>
    </row>
    <row r="195" spans="1:23" s="20" customFormat="1">
      <c r="A195" s="991">
        <v>44538</v>
      </c>
      <c r="B195" s="76" t="s">
        <v>23</v>
      </c>
      <c r="C195" s="11" t="s">
        <v>9042</v>
      </c>
      <c r="D195" s="29" t="s">
        <v>9043</v>
      </c>
      <c r="E195" s="76" t="s">
        <v>5207</v>
      </c>
      <c r="F195" s="76" t="s">
        <v>5208</v>
      </c>
      <c r="G195" s="319">
        <v>1</v>
      </c>
      <c r="H195" s="20">
        <v>106000</v>
      </c>
      <c r="I195" s="17">
        <f t="shared" ref="I195:I258" si="13">H195*G195</f>
        <v>106000</v>
      </c>
      <c r="K195" s="18">
        <f t="shared" ref="K195:K260" si="14">I195-J195</f>
        <v>106000</v>
      </c>
      <c r="L195" s="17">
        <v>17000</v>
      </c>
      <c r="M195" s="17"/>
      <c r="N195" s="17">
        <f t="shared" ref="N195:N260" si="15">K195+L195+M195</f>
        <v>123000</v>
      </c>
      <c r="O195" s="76" t="s">
        <v>23</v>
      </c>
      <c r="P195" s="72"/>
      <c r="Q195" s="10" t="s">
        <v>40</v>
      </c>
      <c r="R195" s="76" t="s">
        <v>8711</v>
      </c>
      <c r="S195" s="17"/>
      <c r="T195" s="17"/>
      <c r="U195" s="17"/>
      <c r="V195" s="17"/>
      <c r="W195" s="17"/>
    </row>
    <row r="196" spans="1:23" s="20" customFormat="1">
      <c r="A196" s="991">
        <v>44538</v>
      </c>
      <c r="B196" s="76" t="s">
        <v>313</v>
      </c>
      <c r="C196" s="10" t="s">
        <v>3906</v>
      </c>
      <c r="D196" s="29" t="s">
        <v>9044</v>
      </c>
      <c r="E196" s="748" t="s">
        <v>7075</v>
      </c>
      <c r="F196" s="748" t="s">
        <v>7076</v>
      </c>
      <c r="G196" s="16">
        <v>6</v>
      </c>
      <c r="H196" s="20">
        <v>97000</v>
      </c>
      <c r="I196" s="17">
        <f t="shared" si="13"/>
        <v>582000</v>
      </c>
      <c r="K196" s="18">
        <f t="shared" si="14"/>
        <v>582000</v>
      </c>
      <c r="L196" s="17"/>
      <c r="M196" s="17"/>
      <c r="N196" s="17">
        <f t="shared" si="15"/>
        <v>582000</v>
      </c>
      <c r="O196" s="76" t="s">
        <v>313</v>
      </c>
      <c r="P196" s="183"/>
      <c r="Q196" s="10" t="s">
        <v>40</v>
      </c>
      <c r="R196" s="76" t="s">
        <v>8711</v>
      </c>
      <c r="S196" s="17"/>
      <c r="T196" s="17"/>
      <c r="U196" s="17"/>
      <c r="V196" s="17"/>
      <c r="W196" s="17"/>
    </row>
    <row r="197" spans="1:23" s="20" customFormat="1">
      <c r="A197" s="991">
        <v>44538</v>
      </c>
      <c r="B197" s="76" t="s">
        <v>313</v>
      </c>
      <c r="C197" s="10" t="s">
        <v>3906</v>
      </c>
      <c r="D197" s="29" t="s">
        <v>9045</v>
      </c>
      <c r="E197" s="1032" t="s">
        <v>7164</v>
      </c>
      <c r="F197" s="1032" t="s">
        <v>7165</v>
      </c>
      <c r="G197" s="896">
        <v>6</v>
      </c>
      <c r="H197" s="20">
        <v>110000</v>
      </c>
      <c r="I197" s="17">
        <f t="shared" si="13"/>
        <v>660000</v>
      </c>
      <c r="K197" s="18">
        <f t="shared" si="14"/>
        <v>660000</v>
      </c>
      <c r="L197" s="17"/>
      <c r="M197" s="17"/>
      <c r="N197" s="17">
        <f t="shared" si="15"/>
        <v>660000</v>
      </c>
      <c r="O197" s="76" t="s">
        <v>313</v>
      </c>
      <c r="P197" s="183"/>
      <c r="Q197" s="10" t="s">
        <v>40</v>
      </c>
      <c r="R197" s="76" t="s">
        <v>8711</v>
      </c>
      <c r="S197" s="17"/>
      <c r="T197" s="17"/>
      <c r="U197" s="17"/>
      <c r="V197" s="17"/>
      <c r="W197" s="17"/>
    </row>
    <row r="198" spans="1:23" s="20" customFormat="1">
      <c r="A198" s="991">
        <v>44538</v>
      </c>
      <c r="B198" s="76" t="s">
        <v>313</v>
      </c>
      <c r="C198" s="10" t="s">
        <v>3906</v>
      </c>
      <c r="D198" s="29" t="s">
        <v>9046</v>
      </c>
      <c r="E198" s="748" t="s">
        <v>9047</v>
      </c>
      <c r="F198" s="748" t="s">
        <v>9048</v>
      </c>
      <c r="G198" s="16">
        <v>6</v>
      </c>
      <c r="H198" s="20">
        <v>76000</v>
      </c>
      <c r="I198" s="17">
        <f t="shared" si="13"/>
        <v>456000</v>
      </c>
      <c r="K198" s="18">
        <f t="shared" si="14"/>
        <v>456000</v>
      </c>
      <c r="L198" s="17"/>
      <c r="M198" s="17"/>
      <c r="N198" s="17">
        <f t="shared" si="15"/>
        <v>456000</v>
      </c>
      <c r="O198" s="76" t="s">
        <v>313</v>
      </c>
      <c r="P198" s="183"/>
      <c r="Q198" s="10" t="s">
        <v>40</v>
      </c>
      <c r="R198" s="76" t="s">
        <v>8711</v>
      </c>
      <c r="S198" s="17"/>
      <c r="T198" s="17"/>
      <c r="U198" s="17"/>
      <c r="V198" s="17"/>
      <c r="W198" s="17"/>
    </row>
    <row r="199" spans="1:23" s="20" customFormat="1">
      <c r="A199" s="991">
        <v>44538</v>
      </c>
      <c r="B199" s="76" t="s">
        <v>313</v>
      </c>
      <c r="C199" s="10" t="s">
        <v>3906</v>
      </c>
      <c r="D199" s="29" t="s">
        <v>9049</v>
      </c>
      <c r="E199" s="748" t="s">
        <v>9050</v>
      </c>
      <c r="F199" s="748" t="s">
        <v>9051</v>
      </c>
      <c r="G199" s="16">
        <v>6</v>
      </c>
      <c r="H199" s="20">
        <v>127000</v>
      </c>
      <c r="I199" s="17">
        <f t="shared" si="13"/>
        <v>762000</v>
      </c>
      <c r="K199" s="18">
        <f t="shared" si="14"/>
        <v>762000</v>
      </c>
      <c r="L199" s="17"/>
      <c r="M199" s="17"/>
      <c r="N199" s="17">
        <f t="shared" si="15"/>
        <v>762000</v>
      </c>
      <c r="O199" s="76" t="s">
        <v>313</v>
      </c>
      <c r="P199" s="183"/>
      <c r="Q199" s="10" t="s">
        <v>40</v>
      </c>
      <c r="R199" s="76" t="s">
        <v>8711</v>
      </c>
      <c r="S199" s="17"/>
      <c r="T199" s="17"/>
      <c r="U199" s="17"/>
      <c r="V199" s="17"/>
      <c r="W199" s="17"/>
    </row>
    <row r="200" spans="1:23" s="20" customFormat="1">
      <c r="A200" s="991">
        <v>44538</v>
      </c>
      <c r="B200" s="76" t="s">
        <v>313</v>
      </c>
      <c r="C200" s="10" t="s">
        <v>3906</v>
      </c>
      <c r="D200" s="29" t="s">
        <v>9049</v>
      </c>
      <c r="E200" s="748" t="s">
        <v>7902</v>
      </c>
      <c r="F200" s="748" t="s">
        <v>9052</v>
      </c>
      <c r="G200" s="16">
        <v>6</v>
      </c>
      <c r="H200" s="20">
        <v>14688</v>
      </c>
      <c r="I200" s="17">
        <f t="shared" si="13"/>
        <v>88128</v>
      </c>
      <c r="K200" s="18">
        <f t="shared" si="14"/>
        <v>88128</v>
      </c>
      <c r="L200" s="17"/>
      <c r="M200" s="17"/>
      <c r="N200" s="17">
        <f t="shared" si="15"/>
        <v>88128</v>
      </c>
      <c r="O200" s="76"/>
      <c r="P200" s="183"/>
      <c r="Q200" s="10"/>
      <c r="R200" s="76"/>
      <c r="S200" s="17"/>
      <c r="T200" s="17"/>
      <c r="U200" s="17"/>
      <c r="V200" s="17"/>
      <c r="W200" s="17"/>
    </row>
    <row r="201" spans="1:23" s="20" customFormat="1">
      <c r="A201" s="991">
        <v>44538</v>
      </c>
      <c r="B201" s="76" t="s">
        <v>313</v>
      </c>
      <c r="C201" s="10" t="s">
        <v>3906</v>
      </c>
      <c r="D201" s="29" t="s">
        <v>9049</v>
      </c>
      <c r="E201" s="748" t="s">
        <v>9053</v>
      </c>
      <c r="F201" s="748" t="s">
        <v>9054</v>
      </c>
      <c r="G201" s="16">
        <v>6</v>
      </c>
      <c r="H201" s="20">
        <v>14688</v>
      </c>
      <c r="I201" s="17">
        <f t="shared" si="13"/>
        <v>88128</v>
      </c>
      <c r="K201" s="18">
        <f t="shared" si="14"/>
        <v>88128</v>
      </c>
      <c r="L201" s="17"/>
      <c r="M201" s="17"/>
      <c r="N201" s="17">
        <f t="shared" si="15"/>
        <v>88128</v>
      </c>
      <c r="O201" s="76"/>
      <c r="P201" s="183"/>
      <c r="Q201" s="10"/>
      <c r="R201" s="76"/>
      <c r="S201" s="17"/>
      <c r="T201" s="17"/>
      <c r="U201" s="17"/>
      <c r="V201" s="17"/>
      <c r="W201" s="17"/>
    </row>
    <row r="202" spans="1:23" s="20" customFormat="1">
      <c r="A202" s="991">
        <v>44539</v>
      </c>
      <c r="B202" s="76" t="s">
        <v>43</v>
      </c>
      <c r="C202" s="11" t="s">
        <v>9055</v>
      </c>
      <c r="D202" s="29" t="s">
        <v>9056</v>
      </c>
      <c r="E202" s="76" t="s">
        <v>147</v>
      </c>
      <c r="F202" s="76" t="s">
        <v>148</v>
      </c>
      <c r="G202" s="16">
        <v>1</v>
      </c>
      <c r="H202" s="20">
        <v>106000</v>
      </c>
      <c r="I202" s="17">
        <f t="shared" si="13"/>
        <v>106000</v>
      </c>
      <c r="J202" s="20">
        <f>I202*20%</f>
        <v>21200</v>
      </c>
      <c r="K202" s="18">
        <f t="shared" si="14"/>
        <v>84800</v>
      </c>
      <c r="L202" s="17"/>
      <c r="M202" s="17">
        <v>-4749</v>
      </c>
      <c r="N202" s="17">
        <f t="shared" si="15"/>
        <v>80051</v>
      </c>
      <c r="O202" s="76" t="s">
        <v>43</v>
      </c>
      <c r="P202" s="183"/>
      <c r="Q202" s="10" t="s">
        <v>176</v>
      </c>
      <c r="R202" s="76" t="s">
        <v>8711</v>
      </c>
      <c r="S202" s="17"/>
      <c r="T202" s="17"/>
      <c r="U202" s="17"/>
      <c r="V202" s="17"/>
      <c r="W202" s="17"/>
    </row>
    <row r="203" spans="1:23" s="20" customFormat="1">
      <c r="A203" s="991">
        <v>44539</v>
      </c>
      <c r="B203" s="76" t="s">
        <v>206</v>
      </c>
      <c r="C203" s="11" t="s">
        <v>9057</v>
      </c>
      <c r="D203" s="29" t="s">
        <v>9058</v>
      </c>
      <c r="E203" s="76" t="s">
        <v>4677</v>
      </c>
      <c r="F203" s="76" t="s">
        <v>4678</v>
      </c>
      <c r="G203" s="16">
        <v>5</v>
      </c>
      <c r="H203" s="20">
        <v>51500</v>
      </c>
      <c r="I203" s="17">
        <f t="shared" si="13"/>
        <v>257500</v>
      </c>
      <c r="K203" s="18">
        <f t="shared" si="14"/>
        <v>257500</v>
      </c>
      <c r="L203" s="17">
        <f>17100-16000</f>
        <v>1100</v>
      </c>
      <c r="M203" s="17"/>
      <c r="N203" s="17">
        <f t="shared" si="15"/>
        <v>258600</v>
      </c>
      <c r="O203" s="76" t="s">
        <v>206</v>
      </c>
      <c r="P203" s="72"/>
      <c r="Q203" s="10" t="s">
        <v>176</v>
      </c>
      <c r="R203" s="76" t="s">
        <v>8711</v>
      </c>
      <c r="S203" s="13"/>
      <c r="T203" s="17"/>
      <c r="U203" s="17"/>
      <c r="V203" s="17"/>
      <c r="W203" s="17"/>
    </row>
    <row r="204" spans="1:23" s="20" customFormat="1">
      <c r="A204" s="991">
        <v>44539</v>
      </c>
      <c r="B204" s="76" t="s">
        <v>206</v>
      </c>
      <c r="C204" s="11" t="s">
        <v>7052</v>
      </c>
      <c r="D204" s="29" t="s">
        <v>9059</v>
      </c>
      <c r="E204" s="76" t="s">
        <v>9060</v>
      </c>
      <c r="F204" s="76" t="s">
        <v>8701</v>
      </c>
      <c r="G204" s="16">
        <v>1</v>
      </c>
      <c r="H204" s="20">
        <v>96000</v>
      </c>
      <c r="I204" s="17">
        <f t="shared" si="13"/>
        <v>96000</v>
      </c>
      <c r="K204" s="18">
        <f t="shared" si="14"/>
        <v>96000</v>
      </c>
      <c r="L204" s="17">
        <v>55700</v>
      </c>
      <c r="M204" s="17"/>
      <c r="N204" s="17">
        <f t="shared" si="15"/>
        <v>151700</v>
      </c>
      <c r="O204" s="76" t="s">
        <v>206</v>
      </c>
      <c r="P204" s="183"/>
      <c r="Q204" s="10" t="s">
        <v>328</v>
      </c>
      <c r="R204" s="76" t="s">
        <v>8711</v>
      </c>
      <c r="S204" s="13"/>
      <c r="T204" s="17"/>
      <c r="U204" s="17"/>
      <c r="V204" s="17"/>
      <c r="W204" s="17"/>
    </row>
    <row r="205" spans="1:23" s="20" customFormat="1">
      <c r="A205" s="991">
        <v>44539</v>
      </c>
      <c r="B205" s="76" t="s">
        <v>206</v>
      </c>
      <c r="C205" s="11" t="s">
        <v>9061</v>
      </c>
      <c r="D205" s="29" t="s">
        <v>9062</v>
      </c>
      <c r="E205" s="76" t="s">
        <v>9063</v>
      </c>
      <c r="F205" s="76" t="s">
        <v>9064</v>
      </c>
      <c r="G205" s="16">
        <v>1</v>
      </c>
      <c r="H205" s="20">
        <v>94000</v>
      </c>
      <c r="I205" s="17">
        <f t="shared" si="13"/>
        <v>94000</v>
      </c>
      <c r="K205" s="18">
        <f t="shared" si="14"/>
        <v>94000</v>
      </c>
      <c r="L205" s="17">
        <v>55600</v>
      </c>
      <c r="M205" s="17"/>
      <c r="N205" s="17">
        <f t="shared" si="15"/>
        <v>149600</v>
      </c>
      <c r="O205" s="76" t="s">
        <v>206</v>
      </c>
      <c r="P205" s="72"/>
      <c r="Q205" s="10" t="s">
        <v>328</v>
      </c>
      <c r="R205" s="76" t="s">
        <v>8711</v>
      </c>
      <c r="S205" s="17"/>
      <c r="T205" s="17"/>
      <c r="U205" s="17"/>
      <c r="V205" s="17"/>
      <c r="W205" s="17"/>
    </row>
    <row r="206" spans="1:23" s="20" customFormat="1">
      <c r="A206" s="991">
        <v>44539</v>
      </c>
      <c r="B206" s="76" t="s">
        <v>43</v>
      </c>
      <c r="C206" s="11" t="s">
        <v>9065</v>
      </c>
      <c r="D206" s="29" t="s">
        <v>9066</v>
      </c>
      <c r="E206" s="76" t="s">
        <v>4574</v>
      </c>
      <c r="F206" s="76" t="s">
        <v>4048</v>
      </c>
      <c r="G206" s="16">
        <v>1</v>
      </c>
      <c r="H206" s="20">
        <v>192500</v>
      </c>
      <c r="I206" s="17">
        <f t="shared" si="13"/>
        <v>192500</v>
      </c>
      <c r="J206" s="20">
        <f>I206*20%</f>
        <v>38500</v>
      </c>
      <c r="K206" s="18">
        <f t="shared" si="14"/>
        <v>154000</v>
      </c>
      <c r="L206" s="17"/>
      <c r="M206" s="17">
        <v>-8524</v>
      </c>
      <c r="N206" s="17">
        <f t="shared" si="15"/>
        <v>145476</v>
      </c>
      <c r="O206" s="76" t="s">
        <v>43</v>
      </c>
      <c r="P206" s="183"/>
      <c r="Q206" s="10" t="s">
        <v>54</v>
      </c>
      <c r="R206" s="76" t="s">
        <v>8711</v>
      </c>
      <c r="S206" s="17"/>
      <c r="T206" s="17"/>
      <c r="U206" s="17"/>
      <c r="V206" s="17"/>
      <c r="W206" s="17"/>
    </row>
    <row r="207" spans="1:23" s="17" customFormat="1" ht="14.25" customHeight="1">
      <c r="A207" s="991">
        <v>44539</v>
      </c>
      <c r="B207" s="76" t="s">
        <v>313</v>
      </c>
      <c r="C207" s="11" t="s">
        <v>9067</v>
      </c>
      <c r="D207" s="92" t="s">
        <v>9068</v>
      </c>
      <c r="E207" s="1033" t="s">
        <v>88</v>
      </c>
      <c r="F207" s="1033" t="s">
        <v>111</v>
      </c>
      <c r="G207" s="1034">
        <v>1</v>
      </c>
      <c r="H207" s="17">
        <v>37000</v>
      </c>
      <c r="I207" s="17">
        <f t="shared" si="13"/>
        <v>37000</v>
      </c>
      <c r="K207" s="18">
        <f t="shared" si="14"/>
        <v>37000</v>
      </c>
      <c r="L207" s="17">
        <v>17025</v>
      </c>
      <c r="N207" s="17">
        <f t="shared" si="15"/>
        <v>54025</v>
      </c>
      <c r="O207" s="76" t="s">
        <v>313</v>
      </c>
      <c r="P207" s="183"/>
      <c r="Q207" s="10" t="s">
        <v>40</v>
      </c>
      <c r="R207" s="76" t="s">
        <v>8711</v>
      </c>
      <c r="S207" s="13"/>
    </row>
    <row r="208" spans="1:23" s="17" customFormat="1">
      <c r="A208" s="991">
        <v>44539</v>
      </c>
      <c r="B208" s="76" t="s">
        <v>23</v>
      </c>
      <c r="C208" s="10" t="s">
        <v>9069</v>
      </c>
      <c r="D208" s="92" t="s">
        <v>9070</v>
      </c>
      <c r="E208" s="739" t="s">
        <v>7219</v>
      </c>
      <c r="F208" s="739" t="s">
        <v>7220</v>
      </c>
      <c r="G208" s="16">
        <v>3</v>
      </c>
      <c r="H208" s="17">
        <v>193000</v>
      </c>
      <c r="I208" s="17">
        <f t="shared" si="13"/>
        <v>579000</v>
      </c>
      <c r="K208" s="18">
        <f t="shared" si="14"/>
        <v>579000</v>
      </c>
      <c r="L208" s="17">
        <v>80000</v>
      </c>
      <c r="N208" s="17">
        <f t="shared" si="15"/>
        <v>659000</v>
      </c>
      <c r="O208" s="76" t="s">
        <v>23</v>
      </c>
      <c r="P208" s="183"/>
      <c r="Q208" s="10" t="s">
        <v>40</v>
      </c>
      <c r="R208" s="76" t="s">
        <v>8711</v>
      </c>
    </row>
    <row r="209" spans="1:19" s="17" customFormat="1">
      <c r="A209" s="991">
        <v>44540</v>
      </c>
      <c r="B209" s="76" t="s">
        <v>43</v>
      </c>
      <c r="C209" s="10" t="s">
        <v>9071</v>
      </c>
      <c r="D209" s="92" t="s">
        <v>9072</v>
      </c>
      <c r="E209" s="76" t="s">
        <v>4546</v>
      </c>
      <c r="F209" s="76" t="s">
        <v>4547</v>
      </c>
      <c r="G209" s="16">
        <v>1</v>
      </c>
      <c r="H209" s="17">
        <v>78000</v>
      </c>
      <c r="I209" s="17">
        <f t="shared" si="13"/>
        <v>78000</v>
      </c>
      <c r="J209" s="17">
        <f>I209*20%</f>
        <v>15600</v>
      </c>
      <c r="K209" s="18">
        <f t="shared" si="14"/>
        <v>62400</v>
      </c>
      <c r="M209" s="17">
        <v>-3494</v>
      </c>
      <c r="N209" s="17">
        <f t="shared" si="15"/>
        <v>58906</v>
      </c>
      <c r="O209" s="76" t="s">
        <v>43</v>
      </c>
      <c r="P209" s="183"/>
      <c r="Q209" s="10" t="s">
        <v>54</v>
      </c>
      <c r="R209" s="76" t="s">
        <v>8711</v>
      </c>
    </row>
    <row r="210" spans="1:19" s="17" customFormat="1">
      <c r="A210" s="991">
        <v>44540</v>
      </c>
      <c r="B210" s="76" t="s">
        <v>43</v>
      </c>
      <c r="C210" s="10" t="s">
        <v>9073</v>
      </c>
      <c r="D210" s="92" t="s">
        <v>9074</v>
      </c>
      <c r="E210" s="76" t="s">
        <v>3328</v>
      </c>
      <c r="F210" s="76" t="s">
        <v>3329</v>
      </c>
      <c r="G210" s="16">
        <v>1</v>
      </c>
      <c r="H210" s="17">
        <v>68500</v>
      </c>
      <c r="I210" s="17">
        <f t="shared" si="13"/>
        <v>68500</v>
      </c>
      <c r="K210" s="18">
        <f t="shared" si="14"/>
        <v>68500</v>
      </c>
      <c r="M210" s="17">
        <v>-3836</v>
      </c>
      <c r="N210" s="17">
        <f t="shared" si="15"/>
        <v>64664</v>
      </c>
      <c r="O210" s="76" t="s">
        <v>43</v>
      </c>
      <c r="P210" s="72"/>
      <c r="Q210" s="10" t="s">
        <v>54</v>
      </c>
      <c r="R210" s="76" t="s">
        <v>8711</v>
      </c>
    </row>
    <row r="211" spans="1:19" s="17" customFormat="1">
      <c r="A211" s="991">
        <v>44540</v>
      </c>
      <c r="B211" s="76" t="s">
        <v>206</v>
      </c>
      <c r="C211" s="11" t="s">
        <v>5621</v>
      </c>
      <c r="D211" s="92" t="s">
        <v>9075</v>
      </c>
      <c r="E211" s="739" t="s">
        <v>9076</v>
      </c>
      <c r="F211" s="739" t="s">
        <v>4977</v>
      </c>
      <c r="G211" s="16">
        <v>1</v>
      </c>
      <c r="H211" s="17">
        <v>122000</v>
      </c>
      <c r="I211" s="17">
        <f t="shared" si="13"/>
        <v>122000</v>
      </c>
      <c r="K211" s="18">
        <f t="shared" si="14"/>
        <v>122000</v>
      </c>
      <c r="L211" s="17">
        <f>19600-19000</f>
        <v>600</v>
      </c>
      <c r="N211" s="17">
        <f t="shared" si="15"/>
        <v>122600</v>
      </c>
      <c r="O211" s="76" t="s">
        <v>206</v>
      </c>
      <c r="P211" s="72"/>
      <c r="Q211" s="10" t="s">
        <v>328</v>
      </c>
      <c r="R211" s="76" t="s">
        <v>8711</v>
      </c>
    </row>
    <row r="212" spans="1:19" s="17" customFormat="1">
      <c r="A212" s="991">
        <v>44540</v>
      </c>
      <c r="B212" s="76" t="s">
        <v>23</v>
      </c>
      <c r="C212" s="10" t="s">
        <v>9077</v>
      </c>
      <c r="D212" s="92" t="s">
        <v>9078</v>
      </c>
      <c r="E212" s="76" t="s">
        <v>9079</v>
      </c>
      <c r="F212" s="76" t="s">
        <v>9080</v>
      </c>
      <c r="G212" s="16">
        <v>1</v>
      </c>
      <c r="H212" s="17">
        <v>94000</v>
      </c>
      <c r="I212" s="17">
        <f t="shared" si="13"/>
        <v>94000</v>
      </c>
      <c r="K212" s="18">
        <f t="shared" si="14"/>
        <v>94000</v>
      </c>
      <c r="L212" s="17">
        <v>15000</v>
      </c>
      <c r="N212" s="17">
        <f t="shared" si="15"/>
        <v>109000</v>
      </c>
      <c r="O212" s="76" t="s">
        <v>23</v>
      </c>
      <c r="P212" s="183"/>
      <c r="Q212" s="10" t="s">
        <v>40</v>
      </c>
      <c r="R212" s="76" t="s">
        <v>8711</v>
      </c>
    </row>
    <row r="213" spans="1:19" s="17" customFormat="1">
      <c r="A213" s="991">
        <v>44540</v>
      </c>
      <c r="B213" s="76" t="s">
        <v>23</v>
      </c>
      <c r="C213" s="11" t="s">
        <v>9081</v>
      </c>
      <c r="D213" s="92" t="s">
        <v>9082</v>
      </c>
      <c r="E213" s="748" t="s">
        <v>2547</v>
      </c>
      <c r="F213" s="748" t="s">
        <v>2548</v>
      </c>
      <c r="G213" s="16">
        <v>1</v>
      </c>
      <c r="H213" s="17">
        <v>70700</v>
      </c>
      <c r="I213" s="17">
        <f t="shared" si="13"/>
        <v>70700</v>
      </c>
      <c r="K213" s="18">
        <f t="shared" si="14"/>
        <v>70700</v>
      </c>
      <c r="L213" s="17">
        <v>23000</v>
      </c>
      <c r="N213" s="17">
        <f t="shared" si="15"/>
        <v>93700</v>
      </c>
      <c r="O213" s="76" t="s">
        <v>23</v>
      </c>
      <c r="P213" s="183"/>
      <c r="Q213" s="10" t="s">
        <v>40</v>
      </c>
      <c r="R213" s="76" t="s">
        <v>8711</v>
      </c>
      <c r="S213" s="13"/>
    </row>
    <row r="214" spans="1:19" s="17" customFormat="1">
      <c r="A214" s="991">
        <v>44540</v>
      </c>
      <c r="B214" s="76" t="s">
        <v>23</v>
      </c>
      <c r="C214" s="11" t="s">
        <v>9081</v>
      </c>
      <c r="D214" s="92" t="s">
        <v>9083</v>
      </c>
      <c r="E214" s="748" t="s">
        <v>5216</v>
      </c>
      <c r="F214" s="748" t="s">
        <v>7369</v>
      </c>
      <c r="G214" s="16">
        <v>1</v>
      </c>
      <c r="H214" s="17">
        <v>101600</v>
      </c>
      <c r="I214" s="17">
        <f t="shared" si="13"/>
        <v>101600</v>
      </c>
      <c r="K214" s="18">
        <f t="shared" si="14"/>
        <v>101600</v>
      </c>
      <c r="N214" s="17">
        <f t="shared" si="15"/>
        <v>101600</v>
      </c>
      <c r="O214" s="76" t="s">
        <v>23</v>
      </c>
      <c r="P214" s="183"/>
      <c r="Q214" s="10" t="s">
        <v>40</v>
      </c>
      <c r="R214" s="76" t="s">
        <v>8711</v>
      </c>
      <c r="S214" s="13"/>
    </row>
    <row r="215" spans="1:19" s="17" customFormat="1">
      <c r="A215" s="991">
        <v>44540</v>
      </c>
      <c r="B215" s="76" t="s">
        <v>313</v>
      </c>
      <c r="C215" s="10" t="s">
        <v>9084</v>
      </c>
      <c r="D215" s="92" t="s">
        <v>9085</v>
      </c>
      <c r="E215" s="739" t="s">
        <v>9086</v>
      </c>
      <c r="F215" s="739" t="s">
        <v>9087</v>
      </c>
      <c r="G215" s="16">
        <v>1</v>
      </c>
      <c r="H215" s="17">
        <v>157000</v>
      </c>
      <c r="I215" s="17">
        <f t="shared" si="13"/>
        <v>157000</v>
      </c>
      <c r="K215" s="18">
        <f t="shared" si="14"/>
        <v>157000</v>
      </c>
      <c r="N215" s="17">
        <f t="shared" si="15"/>
        <v>157000</v>
      </c>
      <c r="O215" s="76" t="s">
        <v>313</v>
      </c>
      <c r="P215" s="183"/>
      <c r="Q215" s="10" t="s">
        <v>28</v>
      </c>
      <c r="R215" s="76" t="s">
        <v>8711</v>
      </c>
      <c r="S215" s="13"/>
    </row>
    <row r="216" spans="1:19" s="17" customFormat="1">
      <c r="A216" s="991">
        <v>44540</v>
      </c>
      <c r="B216" s="76" t="s">
        <v>23</v>
      </c>
      <c r="C216" s="10" t="s">
        <v>9405</v>
      </c>
      <c r="D216" s="92" t="s">
        <v>9406</v>
      </c>
      <c r="E216" s="739" t="s">
        <v>1758</v>
      </c>
      <c r="F216" s="739" t="s">
        <v>1759</v>
      </c>
      <c r="G216" s="16">
        <v>7</v>
      </c>
      <c r="H216" s="17">
        <v>44000</v>
      </c>
      <c r="I216" s="17">
        <f t="shared" si="13"/>
        <v>308000</v>
      </c>
      <c r="K216" s="18">
        <f t="shared" si="14"/>
        <v>308000</v>
      </c>
      <c r="L216" s="17">
        <v>7051</v>
      </c>
      <c r="N216" s="17">
        <f t="shared" si="15"/>
        <v>315051</v>
      </c>
      <c r="O216" s="76" t="s">
        <v>23</v>
      </c>
      <c r="P216" s="72"/>
      <c r="Q216" s="10" t="s">
        <v>40</v>
      </c>
      <c r="R216" s="1086" t="s">
        <v>8711</v>
      </c>
    </row>
    <row r="217" spans="1:19" s="17" customFormat="1">
      <c r="A217" s="1087">
        <v>44543</v>
      </c>
      <c r="B217" s="76" t="s">
        <v>177</v>
      </c>
      <c r="C217" s="10" t="s">
        <v>9088</v>
      </c>
      <c r="D217" s="92" t="s">
        <v>9039</v>
      </c>
      <c r="E217" s="76" t="s">
        <v>1679</v>
      </c>
      <c r="F217" s="76" t="s">
        <v>1680</v>
      </c>
      <c r="G217" s="16">
        <v>1</v>
      </c>
      <c r="H217" s="17">
        <v>73000</v>
      </c>
      <c r="I217" s="17">
        <f t="shared" si="13"/>
        <v>73000</v>
      </c>
      <c r="K217" s="171">
        <f t="shared" si="14"/>
        <v>73000</v>
      </c>
      <c r="L217" s="17">
        <v>7000</v>
      </c>
      <c r="N217" s="17">
        <f t="shared" si="15"/>
        <v>80000</v>
      </c>
      <c r="O217" s="76" t="s">
        <v>177</v>
      </c>
      <c r="P217" s="183"/>
      <c r="Q217" s="10" t="s">
        <v>54</v>
      </c>
      <c r="R217" s="76" t="s">
        <v>8711</v>
      </c>
    </row>
    <row r="218" spans="1:19" s="17" customFormat="1">
      <c r="A218" s="1087">
        <v>44543</v>
      </c>
      <c r="B218" s="76" t="s">
        <v>43</v>
      </c>
      <c r="C218" s="11" t="s">
        <v>9089</v>
      </c>
      <c r="D218" s="92" t="s">
        <v>9090</v>
      </c>
      <c r="E218" s="739" t="s">
        <v>4176</v>
      </c>
      <c r="F218" s="739" t="s">
        <v>4177</v>
      </c>
      <c r="G218" s="16">
        <v>1</v>
      </c>
      <c r="H218" s="17">
        <v>191000</v>
      </c>
      <c r="I218" s="17">
        <f t="shared" si="13"/>
        <v>191000</v>
      </c>
      <c r="J218" s="17">
        <f>I218*20%</f>
        <v>38200</v>
      </c>
      <c r="K218" s="171">
        <f t="shared" si="14"/>
        <v>152800</v>
      </c>
      <c r="M218" s="17">
        <v>-8557</v>
      </c>
      <c r="N218" s="17">
        <f t="shared" si="15"/>
        <v>144243</v>
      </c>
      <c r="O218" s="76" t="s">
        <v>43</v>
      </c>
      <c r="P218" s="183"/>
      <c r="Q218" s="10" t="s">
        <v>176</v>
      </c>
      <c r="R218" s="76" t="s">
        <v>8711</v>
      </c>
    </row>
    <row r="219" spans="1:19" s="17" customFormat="1">
      <c r="A219" s="1087">
        <v>44543</v>
      </c>
      <c r="B219" s="76" t="s">
        <v>43</v>
      </c>
      <c r="C219" s="11" t="s">
        <v>9091</v>
      </c>
      <c r="D219" s="92" t="s">
        <v>9458</v>
      </c>
      <c r="E219" s="76" t="s">
        <v>1351</v>
      </c>
      <c r="F219" s="76" t="s">
        <v>1352</v>
      </c>
      <c r="G219" s="16">
        <v>1</v>
      </c>
      <c r="H219" s="17">
        <v>41000</v>
      </c>
      <c r="I219" s="17">
        <f t="shared" si="13"/>
        <v>41000</v>
      </c>
      <c r="K219" s="171">
        <f t="shared" si="14"/>
        <v>41000</v>
      </c>
      <c r="M219" s="17">
        <v>-2296</v>
      </c>
      <c r="N219" s="17">
        <f t="shared" si="15"/>
        <v>38704</v>
      </c>
      <c r="O219" s="76" t="s">
        <v>43</v>
      </c>
      <c r="P219" s="72"/>
      <c r="Q219" s="10" t="s">
        <v>54</v>
      </c>
      <c r="R219" s="76" t="s">
        <v>8711</v>
      </c>
    </row>
    <row r="220" spans="1:19" s="17" customFormat="1">
      <c r="A220" s="1087">
        <v>44543</v>
      </c>
      <c r="B220" s="76" t="s">
        <v>43</v>
      </c>
      <c r="C220" s="10" t="s">
        <v>9092</v>
      </c>
      <c r="D220" s="92" t="s">
        <v>9093</v>
      </c>
      <c r="E220" s="76" t="s">
        <v>5308</v>
      </c>
      <c r="F220" s="76" t="s">
        <v>5309</v>
      </c>
      <c r="G220" s="16">
        <v>1</v>
      </c>
      <c r="H220" s="849">
        <v>69000</v>
      </c>
      <c r="I220" s="17">
        <f t="shared" si="13"/>
        <v>69000</v>
      </c>
      <c r="K220" s="171">
        <f t="shared" si="14"/>
        <v>69000</v>
      </c>
      <c r="M220" s="17">
        <v>-3864</v>
      </c>
      <c r="N220" s="17">
        <f t="shared" si="15"/>
        <v>65136</v>
      </c>
      <c r="O220" s="76" t="s">
        <v>43</v>
      </c>
      <c r="P220" s="72"/>
      <c r="Q220" s="10" t="s">
        <v>54</v>
      </c>
      <c r="R220" s="76" t="s">
        <v>8711</v>
      </c>
      <c r="S220" s="13"/>
    </row>
    <row r="221" spans="1:19" s="17" customFormat="1">
      <c r="A221" s="1087">
        <v>44543</v>
      </c>
      <c r="B221" s="76" t="s">
        <v>43</v>
      </c>
      <c r="C221" s="10" t="s">
        <v>9094</v>
      </c>
      <c r="D221" s="92" t="s">
        <v>9095</v>
      </c>
      <c r="E221" s="739" t="s">
        <v>7649</v>
      </c>
      <c r="F221" s="739" t="s">
        <v>7650</v>
      </c>
      <c r="G221" s="16">
        <v>1</v>
      </c>
      <c r="H221" s="849">
        <v>79000</v>
      </c>
      <c r="I221" s="17">
        <f t="shared" si="13"/>
        <v>79000</v>
      </c>
      <c r="J221" s="17">
        <f>I221*20%</f>
        <v>15800</v>
      </c>
      <c r="K221" s="171">
        <f t="shared" si="14"/>
        <v>63200</v>
      </c>
      <c r="M221" s="17">
        <v>-3539</v>
      </c>
      <c r="N221" s="17">
        <f t="shared" si="15"/>
        <v>59661</v>
      </c>
      <c r="O221" s="76" t="s">
        <v>43</v>
      </c>
      <c r="P221" s="72"/>
      <c r="Q221" s="10" t="s">
        <v>54</v>
      </c>
      <c r="R221" s="76" t="s">
        <v>8711</v>
      </c>
    </row>
    <row r="222" spans="1:19" s="17" customFormat="1">
      <c r="A222" s="1087">
        <v>44543</v>
      </c>
      <c r="B222" s="76" t="s">
        <v>43</v>
      </c>
      <c r="C222" s="11" t="s">
        <v>9096</v>
      </c>
      <c r="D222" s="191" t="s">
        <v>9097</v>
      </c>
      <c r="E222" s="76" t="s">
        <v>1933</v>
      </c>
      <c r="F222" s="76" t="s">
        <v>202</v>
      </c>
      <c r="G222" s="16">
        <v>1</v>
      </c>
      <c r="H222" s="17">
        <v>143500</v>
      </c>
      <c r="I222" s="17">
        <f t="shared" si="13"/>
        <v>143500</v>
      </c>
      <c r="J222" s="17">
        <f>I222*20%</f>
        <v>28700</v>
      </c>
      <c r="K222" s="171">
        <f t="shared" si="14"/>
        <v>114800</v>
      </c>
      <c r="M222" s="17">
        <v>-6429</v>
      </c>
      <c r="N222" s="17">
        <f t="shared" si="15"/>
        <v>108371</v>
      </c>
      <c r="O222" s="76" t="s">
        <v>43</v>
      </c>
      <c r="P222" s="72"/>
      <c r="Q222" s="10" t="s">
        <v>54</v>
      </c>
      <c r="R222" s="76" t="s">
        <v>8711</v>
      </c>
    </row>
    <row r="223" spans="1:19" s="17" customFormat="1">
      <c r="A223" s="1087">
        <v>44543</v>
      </c>
      <c r="B223" s="76" t="s">
        <v>43</v>
      </c>
      <c r="C223" s="739" t="s">
        <v>9098</v>
      </c>
      <c r="D223" s="92" t="s">
        <v>9099</v>
      </c>
      <c r="E223" s="76" t="s">
        <v>7614</v>
      </c>
      <c r="F223" s="76" t="s">
        <v>7615</v>
      </c>
      <c r="G223" s="16">
        <v>1</v>
      </c>
      <c r="H223" s="17">
        <v>105000</v>
      </c>
      <c r="I223" s="17">
        <f t="shared" si="13"/>
        <v>105000</v>
      </c>
      <c r="J223" s="17">
        <f>I223*20%</f>
        <v>21000</v>
      </c>
      <c r="K223" s="171">
        <f t="shared" si="14"/>
        <v>84000</v>
      </c>
      <c r="M223" s="17">
        <v>-4704</v>
      </c>
      <c r="N223" s="17">
        <f t="shared" si="15"/>
        <v>79296</v>
      </c>
      <c r="O223" s="76" t="s">
        <v>43</v>
      </c>
      <c r="P223" s="183"/>
      <c r="Q223" s="10" t="s">
        <v>54</v>
      </c>
      <c r="R223" s="76" t="s">
        <v>8711</v>
      </c>
    </row>
    <row r="224" spans="1:19" s="17" customFormat="1">
      <c r="A224" s="1087">
        <v>44543</v>
      </c>
      <c r="B224" s="76" t="s">
        <v>43</v>
      </c>
      <c r="C224" s="11" t="s">
        <v>9100</v>
      </c>
      <c r="D224" s="92" t="s">
        <v>9101</v>
      </c>
      <c r="E224" s="76" t="s">
        <v>579</v>
      </c>
      <c r="F224" s="76" t="s">
        <v>72</v>
      </c>
      <c r="G224" s="1035">
        <v>1</v>
      </c>
      <c r="H224" s="17">
        <v>108000</v>
      </c>
      <c r="I224" s="17">
        <f t="shared" si="13"/>
        <v>108000</v>
      </c>
      <c r="K224" s="171">
        <f t="shared" si="14"/>
        <v>108000</v>
      </c>
      <c r="M224" s="17">
        <v>-6048</v>
      </c>
      <c r="N224" s="17">
        <f t="shared" si="15"/>
        <v>101952</v>
      </c>
      <c r="O224" s="76" t="s">
        <v>43</v>
      </c>
      <c r="P224" s="183"/>
      <c r="Q224" s="10" t="s">
        <v>54</v>
      </c>
      <c r="R224" s="76" t="s">
        <v>8711</v>
      </c>
    </row>
    <row r="225" spans="1:18" s="17" customFormat="1">
      <c r="A225" s="1087">
        <v>44543</v>
      </c>
      <c r="B225" s="76" t="s">
        <v>43</v>
      </c>
      <c r="C225" s="10" t="s">
        <v>9102</v>
      </c>
      <c r="D225" s="92" t="s">
        <v>9103</v>
      </c>
      <c r="E225" s="780" t="s">
        <v>9104</v>
      </c>
      <c r="F225" s="780" t="s">
        <v>9105</v>
      </c>
      <c r="G225" s="16">
        <v>1</v>
      </c>
      <c r="H225" s="17">
        <v>104500</v>
      </c>
      <c r="I225" s="17">
        <f t="shared" si="13"/>
        <v>104500</v>
      </c>
      <c r="J225" s="17">
        <f>I225*20%</f>
        <v>20900</v>
      </c>
      <c r="K225" s="171">
        <f t="shared" si="14"/>
        <v>83600</v>
      </c>
      <c r="M225" s="17">
        <v>-8378</v>
      </c>
      <c r="N225" s="17">
        <f t="shared" si="15"/>
        <v>75222</v>
      </c>
      <c r="O225" s="76" t="s">
        <v>43</v>
      </c>
      <c r="P225" s="183"/>
      <c r="Q225" s="10" t="s">
        <v>176</v>
      </c>
      <c r="R225" s="76" t="s">
        <v>8711</v>
      </c>
    </row>
    <row r="226" spans="1:18" s="17" customFormat="1">
      <c r="A226" s="1087">
        <v>44543</v>
      </c>
      <c r="B226" s="76" t="s">
        <v>43</v>
      </c>
      <c r="C226" s="10" t="s">
        <v>9102</v>
      </c>
      <c r="D226" s="92" t="s">
        <v>9106</v>
      </c>
      <c r="E226" s="780" t="s">
        <v>6780</v>
      </c>
      <c r="F226" s="780" t="s">
        <v>6781</v>
      </c>
      <c r="G226" s="16">
        <v>1</v>
      </c>
      <c r="H226" s="17">
        <v>82500</v>
      </c>
      <c r="I226" s="17">
        <f t="shared" si="13"/>
        <v>82500</v>
      </c>
      <c r="J226" s="17">
        <f>I226*20%</f>
        <v>16500</v>
      </c>
      <c r="K226" s="171">
        <f t="shared" si="14"/>
        <v>66000</v>
      </c>
      <c r="N226" s="17">
        <f t="shared" si="15"/>
        <v>66000</v>
      </c>
      <c r="O226" s="76" t="s">
        <v>43</v>
      </c>
      <c r="P226" s="183"/>
      <c r="Q226" s="10" t="s">
        <v>176</v>
      </c>
      <c r="R226" s="76" t="s">
        <v>8711</v>
      </c>
    </row>
    <row r="227" spans="1:18" s="17" customFormat="1">
      <c r="A227" s="1087">
        <v>44543</v>
      </c>
      <c r="B227" s="76" t="s">
        <v>43</v>
      </c>
      <c r="C227" s="11" t="s">
        <v>9107</v>
      </c>
      <c r="D227" s="92" t="s">
        <v>9108</v>
      </c>
      <c r="E227" s="76" t="s">
        <v>9109</v>
      </c>
      <c r="F227" s="76" t="s">
        <v>9110</v>
      </c>
      <c r="G227" s="938">
        <v>1</v>
      </c>
      <c r="H227" s="17">
        <v>79000</v>
      </c>
      <c r="I227" s="17">
        <f t="shared" si="13"/>
        <v>79000</v>
      </c>
      <c r="K227" s="171">
        <f t="shared" si="14"/>
        <v>79000</v>
      </c>
      <c r="M227" s="17">
        <v>-4424</v>
      </c>
      <c r="N227" s="17">
        <f t="shared" si="15"/>
        <v>74576</v>
      </c>
      <c r="O227" s="76" t="s">
        <v>43</v>
      </c>
      <c r="P227" s="183"/>
      <c r="Q227" s="10" t="s">
        <v>54</v>
      </c>
      <c r="R227" s="76" t="s">
        <v>8711</v>
      </c>
    </row>
    <row r="228" spans="1:18" s="17" customFormat="1">
      <c r="A228" s="1087">
        <v>44543</v>
      </c>
      <c r="B228" s="76" t="s">
        <v>43</v>
      </c>
      <c r="C228" s="10" t="s">
        <v>9111</v>
      </c>
      <c r="D228" s="92" t="s">
        <v>9112</v>
      </c>
      <c r="E228" s="76" t="s">
        <v>4225</v>
      </c>
      <c r="F228" s="76" t="s">
        <v>4226</v>
      </c>
      <c r="G228" s="16">
        <v>1</v>
      </c>
      <c r="H228" s="17">
        <v>126000</v>
      </c>
      <c r="I228" s="17">
        <f t="shared" si="13"/>
        <v>126000</v>
      </c>
      <c r="J228" s="17">
        <f>I228*20%</f>
        <v>25200</v>
      </c>
      <c r="K228" s="171">
        <f t="shared" si="14"/>
        <v>100800</v>
      </c>
      <c r="M228" s="17">
        <v>-5645</v>
      </c>
      <c r="N228" s="17">
        <f t="shared" si="15"/>
        <v>95155</v>
      </c>
      <c r="O228" s="76" t="s">
        <v>43</v>
      </c>
      <c r="P228" s="183"/>
      <c r="Q228" s="10" t="s">
        <v>176</v>
      </c>
      <c r="R228" s="76" t="s">
        <v>8711</v>
      </c>
    </row>
    <row r="229" spans="1:18" s="17" customFormat="1">
      <c r="A229" s="1087">
        <v>44543</v>
      </c>
      <c r="B229" s="76" t="s">
        <v>206</v>
      </c>
      <c r="C229" s="10" t="s">
        <v>9113</v>
      </c>
      <c r="D229" s="92" t="s">
        <v>9114</v>
      </c>
      <c r="E229" s="76" t="s">
        <v>9115</v>
      </c>
      <c r="F229" s="76" t="s">
        <v>3564</v>
      </c>
      <c r="G229" s="16">
        <v>1</v>
      </c>
      <c r="H229" s="17">
        <v>74500</v>
      </c>
      <c r="I229" s="17">
        <f t="shared" si="13"/>
        <v>74500</v>
      </c>
      <c r="K229" s="171">
        <f t="shared" si="14"/>
        <v>74500</v>
      </c>
      <c r="L229" s="17">
        <v>6400</v>
      </c>
      <c r="N229" s="17">
        <f t="shared" si="15"/>
        <v>80900</v>
      </c>
      <c r="O229" s="76" t="s">
        <v>206</v>
      </c>
      <c r="P229" s="183"/>
      <c r="Q229" s="10" t="s">
        <v>28</v>
      </c>
      <c r="R229" s="76" t="s">
        <v>8711</v>
      </c>
    </row>
    <row r="230" spans="1:18" s="17" customFormat="1">
      <c r="A230" s="1087">
        <v>44543</v>
      </c>
      <c r="B230" s="76" t="s">
        <v>23</v>
      </c>
      <c r="C230" s="11" t="s">
        <v>9116</v>
      </c>
      <c r="D230" s="92" t="s">
        <v>9117</v>
      </c>
      <c r="E230" s="739" t="s">
        <v>9118</v>
      </c>
      <c r="F230" s="739" t="s">
        <v>9119</v>
      </c>
      <c r="G230" s="16">
        <v>1</v>
      </c>
      <c r="H230" s="17">
        <v>160000</v>
      </c>
      <c r="I230" s="17">
        <f t="shared" si="13"/>
        <v>160000</v>
      </c>
      <c r="K230" s="171">
        <f t="shared" si="14"/>
        <v>160000</v>
      </c>
      <c r="L230" s="17">
        <v>7000</v>
      </c>
      <c r="N230" s="17">
        <f t="shared" si="15"/>
        <v>167000</v>
      </c>
      <c r="O230" s="76" t="s">
        <v>23</v>
      </c>
      <c r="P230" s="183"/>
      <c r="Q230" s="10" t="s">
        <v>28</v>
      </c>
      <c r="R230" s="76" t="s">
        <v>8711</v>
      </c>
    </row>
    <row r="231" spans="1:18" s="17" customFormat="1">
      <c r="A231" s="1087">
        <v>44543</v>
      </c>
      <c r="B231" s="76" t="s">
        <v>313</v>
      </c>
      <c r="C231" s="11" t="s">
        <v>9120</v>
      </c>
      <c r="D231" s="92" t="s">
        <v>9121</v>
      </c>
      <c r="E231" s="748" t="s">
        <v>9122</v>
      </c>
      <c r="F231" s="748" t="s">
        <v>9123</v>
      </c>
      <c r="G231" s="16">
        <v>1</v>
      </c>
      <c r="H231" s="17">
        <v>102000</v>
      </c>
      <c r="I231" s="17">
        <f t="shared" si="13"/>
        <v>102000</v>
      </c>
      <c r="J231" s="17">
        <f>I231*30%</f>
        <v>30600</v>
      </c>
      <c r="K231" s="171">
        <f t="shared" si="14"/>
        <v>71400</v>
      </c>
      <c r="L231" s="17">
        <v>46052</v>
      </c>
      <c r="N231" s="17">
        <f t="shared" si="15"/>
        <v>117452</v>
      </c>
      <c r="O231" s="76" t="s">
        <v>313</v>
      </c>
      <c r="P231" s="183"/>
      <c r="Q231" s="10" t="s">
        <v>28</v>
      </c>
      <c r="R231" s="76" t="s">
        <v>8711</v>
      </c>
    </row>
    <row r="232" spans="1:18" s="17" customFormat="1">
      <c r="A232" s="1087">
        <v>44543</v>
      </c>
      <c r="B232" s="76" t="s">
        <v>313</v>
      </c>
      <c r="C232" s="11" t="s">
        <v>9120</v>
      </c>
      <c r="D232" s="92" t="s">
        <v>9124</v>
      </c>
      <c r="E232" s="780" t="s">
        <v>67</v>
      </c>
      <c r="F232" s="780" t="s">
        <v>68</v>
      </c>
      <c r="G232" s="16">
        <v>1</v>
      </c>
      <c r="H232" s="17">
        <v>83000</v>
      </c>
      <c r="I232" s="17">
        <f t="shared" si="13"/>
        <v>83000</v>
      </c>
      <c r="J232" s="17">
        <f>I232*30%</f>
        <v>24900</v>
      </c>
      <c r="K232" s="171">
        <f t="shared" si="14"/>
        <v>58100</v>
      </c>
      <c r="N232" s="17">
        <f t="shared" si="15"/>
        <v>58100</v>
      </c>
      <c r="O232" s="76" t="s">
        <v>313</v>
      </c>
      <c r="P232" s="183"/>
      <c r="Q232" s="10" t="s">
        <v>28</v>
      </c>
      <c r="R232" s="76" t="s">
        <v>8711</v>
      </c>
    </row>
    <row r="233" spans="1:18" s="17" customFormat="1">
      <c r="A233" s="1087">
        <v>44543</v>
      </c>
      <c r="B233" s="76" t="s">
        <v>177</v>
      </c>
      <c r="C233" s="76" t="s">
        <v>9125</v>
      </c>
      <c r="D233" s="92" t="s">
        <v>9126</v>
      </c>
      <c r="E233" s="739" t="s">
        <v>5631</v>
      </c>
      <c r="F233" s="739" t="s">
        <v>5632</v>
      </c>
      <c r="G233" s="16">
        <v>1</v>
      </c>
      <c r="H233" s="17">
        <v>55000</v>
      </c>
      <c r="I233" s="17">
        <f t="shared" si="13"/>
        <v>55000</v>
      </c>
      <c r="K233" s="171">
        <f t="shared" si="14"/>
        <v>55000</v>
      </c>
      <c r="L233" s="17">
        <v>6500</v>
      </c>
      <c r="N233" s="17">
        <f t="shared" si="15"/>
        <v>61500</v>
      </c>
      <c r="O233" s="76" t="s">
        <v>177</v>
      </c>
      <c r="P233" s="183"/>
      <c r="Q233" s="10" t="s">
        <v>54</v>
      </c>
      <c r="R233" s="76" t="s">
        <v>8711</v>
      </c>
    </row>
    <row r="234" spans="1:18" s="17" customFormat="1">
      <c r="A234" s="1087">
        <v>44543</v>
      </c>
      <c r="B234" s="76" t="s">
        <v>177</v>
      </c>
      <c r="C234" s="11" t="s">
        <v>9127</v>
      </c>
      <c r="D234" s="92" t="s">
        <v>9128</v>
      </c>
      <c r="E234" s="739" t="s">
        <v>2402</v>
      </c>
      <c r="F234" s="739" t="s">
        <v>2403</v>
      </c>
      <c r="G234" s="16">
        <v>1</v>
      </c>
      <c r="H234" s="17">
        <v>55000</v>
      </c>
      <c r="I234" s="17">
        <f t="shared" si="13"/>
        <v>55000</v>
      </c>
      <c r="K234" s="171">
        <f t="shared" si="14"/>
        <v>55000</v>
      </c>
      <c r="L234" s="17">
        <v>17000</v>
      </c>
      <c r="N234" s="17">
        <f t="shared" si="15"/>
        <v>72000</v>
      </c>
      <c r="O234" s="76" t="s">
        <v>177</v>
      </c>
      <c r="P234" s="183"/>
      <c r="Q234" s="10" t="s">
        <v>54</v>
      </c>
      <c r="R234" s="76" t="s">
        <v>8711</v>
      </c>
    </row>
    <row r="235" spans="1:18" s="17" customFormat="1">
      <c r="A235" s="1087">
        <v>44543</v>
      </c>
      <c r="B235" s="76" t="s">
        <v>177</v>
      </c>
      <c r="C235" s="76" t="s">
        <v>9129</v>
      </c>
      <c r="D235" s="92" t="s">
        <v>9130</v>
      </c>
      <c r="E235" s="76" t="s">
        <v>9131</v>
      </c>
      <c r="F235" s="76" t="s">
        <v>9132</v>
      </c>
      <c r="G235" s="16">
        <v>1</v>
      </c>
      <c r="H235" s="17">
        <v>109000</v>
      </c>
      <c r="I235" s="17">
        <f t="shared" si="13"/>
        <v>109000</v>
      </c>
      <c r="K235" s="171">
        <f t="shared" si="14"/>
        <v>109000</v>
      </c>
      <c r="L235" s="17">
        <v>32500</v>
      </c>
      <c r="N235" s="17">
        <f t="shared" si="15"/>
        <v>141500</v>
      </c>
      <c r="O235" s="76" t="s">
        <v>177</v>
      </c>
      <c r="P235" s="72"/>
      <c r="Q235" s="10" t="s">
        <v>54</v>
      </c>
      <c r="R235" s="76" t="s">
        <v>8711</v>
      </c>
    </row>
    <row r="236" spans="1:18" s="17" customFormat="1">
      <c r="A236" s="1087">
        <v>44543</v>
      </c>
      <c r="B236" s="76" t="s">
        <v>177</v>
      </c>
      <c r="C236" s="10" t="s">
        <v>9133</v>
      </c>
      <c r="D236" s="92" t="s">
        <v>9134</v>
      </c>
      <c r="E236" s="76" t="s">
        <v>1351</v>
      </c>
      <c r="F236" s="76" t="s">
        <v>1352</v>
      </c>
      <c r="G236" s="16">
        <v>1</v>
      </c>
      <c r="H236" s="17">
        <v>41000</v>
      </c>
      <c r="I236" s="17">
        <f t="shared" si="13"/>
        <v>41000</v>
      </c>
      <c r="K236" s="171">
        <f t="shared" si="14"/>
        <v>41000</v>
      </c>
      <c r="L236" s="17">
        <v>44500</v>
      </c>
      <c r="N236" s="17">
        <f t="shared" si="15"/>
        <v>85500</v>
      </c>
      <c r="O236" s="76" t="s">
        <v>177</v>
      </c>
      <c r="P236" s="183"/>
      <c r="Q236" s="10" t="s">
        <v>54</v>
      </c>
      <c r="R236" s="76" t="s">
        <v>8711</v>
      </c>
    </row>
    <row r="237" spans="1:18" s="17" customFormat="1">
      <c r="A237" s="1087">
        <v>44543</v>
      </c>
      <c r="B237" s="76" t="s">
        <v>313</v>
      </c>
      <c r="C237" s="10" t="s">
        <v>9135</v>
      </c>
      <c r="D237" s="92" t="s">
        <v>9136</v>
      </c>
      <c r="E237" s="748" t="s">
        <v>7440</v>
      </c>
      <c r="F237" s="748" t="s">
        <v>7441</v>
      </c>
      <c r="G237" s="16">
        <v>1</v>
      </c>
      <c r="H237" s="17">
        <v>68000</v>
      </c>
      <c r="I237" s="17">
        <f t="shared" si="13"/>
        <v>68000</v>
      </c>
      <c r="J237" s="17">
        <f>I237*30%</f>
        <v>20400</v>
      </c>
      <c r="K237" s="171">
        <f t="shared" si="14"/>
        <v>47600</v>
      </c>
      <c r="L237" s="17">
        <v>28002</v>
      </c>
      <c r="N237" s="17">
        <f t="shared" si="15"/>
        <v>75602</v>
      </c>
      <c r="O237" s="76" t="s">
        <v>313</v>
      </c>
      <c r="P237" s="72"/>
      <c r="Q237" s="10" t="s">
        <v>40</v>
      </c>
      <c r="R237" s="76" t="s">
        <v>8711</v>
      </c>
    </row>
    <row r="238" spans="1:18" s="17" customFormat="1">
      <c r="A238" s="1087">
        <v>44543</v>
      </c>
      <c r="B238" s="76" t="s">
        <v>313</v>
      </c>
      <c r="C238" s="10" t="s">
        <v>9135</v>
      </c>
      <c r="D238" s="92" t="s">
        <v>9136</v>
      </c>
      <c r="E238" s="748" t="s">
        <v>7998</v>
      </c>
      <c r="F238" s="748" t="s">
        <v>7999</v>
      </c>
      <c r="G238" s="16">
        <v>1</v>
      </c>
      <c r="H238" s="17">
        <v>92000</v>
      </c>
      <c r="I238" s="17">
        <f t="shared" si="13"/>
        <v>92000</v>
      </c>
      <c r="J238" s="17">
        <f t="shared" ref="J238:J240" si="16">I238*30%</f>
        <v>27600</v>
      </c>
      <c r="K238" s="171">
        <f t="shared" si="14"/>
        <v>64400</v>
      </c>
      <c r="N238" s="17">
        <f t="shared" si="15"/>
        <v>64400</v>
      </c>
      <c r="O238" s="76" t="s">
        <v>313</v>
      </c>
      <c r="P238" s="72"/>
      <c r="Q238" s="10" t="s">
        <v>40</v>
      </c>
      <c r="R238" s="76" t="s">
        <v>8711</v>
      </c>
    </row>
    <row r="239" spans="1:18" s="17" customFormat="1">
      <c r="A239" s="1087">
        <v>44543</v>
      </c>
      <c r="B239" s="76" t="s">
        <v>313</v>
      </c>
      <c r="C239" s="10" t="s">
        <v>9135</v>
      </c>
      <c r="D239" s="92" t="s">
        <v>9136</v>
      </c>
      <c r="E239" s="780" t="s">
        <v>8109</v>
      </c>
      <c r="F239" s="780" t="s">
        <v>8110</v>
      </c>
      <c r="G239" s="16">
        <v>1</v>
      </c>
      <c r="H239" s="17">
        <v>83000</v>
      </c>
      <c r="I239" s="17">
        <f t="shared" si="13"/>
        <v>83000</v>
      </c>
      <c r="J239" s="17">
        <f t="shared" si="16"/>
        <v>24900</v>
      </c>
      <c r="K239" s="171">
        <f t="shared" si="14"/>
        <v>58100</v>
      </c>
      <c r="N239" s="17">
        <f t="shared" si="15"/>
        <v>58100</v>
      </c>
      <c r="O239" s="76" t="s">
        <v>313</v>
      </c>
      <c r="P239" s="183"/>
      <c r="Q239" s="10" t="s">
        <v>40</v>
      </c>
      <c r="R239" s="76" t="s">
        <v>8711</v>
      </c>
    </row>
    <row r="240" spans="1:18" s="17" customFormat="1">
      <c r="A240" s="1087">
        <v>44543</v>
      </c>
      <c r="B240" s="76" t="s">
        <v>313</v>
      </c>
      <c r="C240" s="10" t="s">
        <v>9135</v>
      </c>
      <c r="D240" s="92" t="s">
        <v>9136</v>
      </c>
      <c r="E240" s="780" t="s">
        <v>4078</v>
      </c>
      <c r="F240" s="780" t="s">
        <v>4079</v>
      </c>
      <c r="G240" s="16">
        <v>1</v>
      </c>
      <c r="H240" s="17">
        <v>81000</v>
      </c>
      <c r="I240" s="17">
        <f t="shared" si="13"/>
        <v>81000</v>
      </c>
      <c r="J240" s="17">
        <f t="shared" si="16"/>
        <v>24300</v>
      </c>
      <c r="K240" s="171">
        <f t="shared" si="14"/>
        <v>56700</v>
      </c>
      <c r="N240" s="17">
        <f t="shared" si="15"/>
        <v>56700</v>
      </c>
      <c r="O240" s="76" t="s">
        <v>313</v>
      </c>
      <c r="P240" s="72"/>
      <c r="Q240" s="10" t="s">
        <v>40</v>
      </c>
      <c r="R240" s="76" t="s">
        <v>8711</v>
      </c>
    </row>
    <row r="241" spans="1:18" s="1038" customFormat="1">
      <c r="A241" s="1087">
        <v>44543</v>
      </c>
      <c r="B241" s="891" t="s">
        <v>313</v>
      </c>
      <c r="C241" s="87" t="s">
        <v>9135</v>
      </c>
      <c r="D241" s="1036" t="s">
        <v>9136</v>
      </c>
      <c r="E241" s="891" t="s">
        <v>9137</v>
      </c>
      <c r="F241" s="891" t="s">
        <v>9138</v>
      </c>
      <c r="G241" s="1037">
        <v>1</v>
      </c>
      <c r="H241" s="1038">
        <v>6500</v>
      </c>
      <c r="I241" s="17">
        <f t="shared" si="13"/>
        <v>6500</v>
      </c>
      <c r="K241" s="171">
        <f t="shared" si="14"/>
        <v>6500</v>
      </c>
      <c r="O241" s="891"/>
      <c r="P241" s="87"/>
      <c r="Q241" s="87"/>
      <c r="R241" s="891"/>
    </row>
    <row r="242" spans="1:18" s="17" customFormat="1">
      <c r="A242" s="1087">
        <v>44543</v>
      </c>
      <c r="B242" s="76" t="s">
        <v>23</v>
      </c>
      <c r="C242" s="10" t="s">
        <v>431</v>
      </c>
      <c r="D242" s="92" t="s">
        <v>31</v>
      </c>
      <c r="E242" s="739" t="s">
        <v>7845</v>
      </c>
      <c r="F242" s="739" t="s">
        <v>5313</v>
      </c>
      <c r="G242" s="16">
        <v>2</v>
      </c>
      <c r="H242" s="17">
        <v>175000</v>
      </c>
      <c r="I242" s="17">
        <f t="shared" si="13"/>
        <v>350000</v>
      </c>
      <c r="J242" s="17">
        <f>I242*25%+40000</f>
        <v>127500</v>
      </c>
      <c r="K242" s="171">
        <f t="shared" si="14"/>
        <v>222500</v>
      </c>
      <c r="N242" s="17">
        <f t="shared" si="15"/>
        <v>222500</v>
      </c>
      <c r="O242" s="76" t="s">
        <v>23</v>
      </c>
      <c r="P242" s="72"/>
      <c r="Q242" s="10" t="s">
        <v>35</v>
      </c>
      <c r="R242" s="1039" t="s">
        <v>8711</v>
      </c>
    </row>
    <row r="243" spans="1:18" s="17" customFormat="1">
      <c r="A243" s="1087">
        <v>44543</v>
      </c>
      <c r="B243" s="76" t="s">
        <v>43</v>
      </c>
      <c r="C243" s="11" t="s">
        <v>9139</v>
      </c>
      <c r="D243" s="92" t="s">
        <v>9140</v>
      </c>
      <c r="E243" s="76" t="s">
        <v>4989</v>
      </c>
      <c r="F243" s="76" t="s">
        <v>4990</v>
      </c>
      <c r="G243" s="16">
        <v>1</v>
      </c>
      <c r="H243" s="17">
        <v>73000</v>
      </c>
      <c r="I243" s="17">
        <f t="shared" si="13"/>
        <v>73000</v>
      </c>
      <c r="J243" s="17">
        <f>I243*20%</f>
        <v>14600</v>
      </c>
      <c r="K243" s="171">
        <f t="shared" si="14"/>
        <v>58400</v>
      </c>
      <c r="M243" s="17">
        <v>-3270</v>
      </c>
      <c r="N243" s="17">
        <f t="shared" si="15"/>
        <v>55130</v>
      </c>
      <c r="O243" s="76" t="s">
        <v>43</v>
      </c>
      <c r="P243" s="92"/>
      <c r="Q243" s="10" t="s">
        <v>54</v>
      </c>
      <c r="R243" s="76" t="s">
        <v>8716</v>
      </c>
    </row>
    <row r="244" spans="1:18" s="17" customFormat="1">
      <c r="A244" s="1087">
        <v>44543</v>
      </c>
      <c r="B244" s="76" t="s">
        <v>43</v>
      </c>
      <c r="C244" s="10" t="s">
        <v>9141</v>
      </c>
      <c r="D244" s="92" t="s">
        <v>9142</v>
      </c>
      <c r="E244" s="1033" t="s">
        <v>5319</v>
      </c>
      <c r="F244" s="1033" t="s">
        <v>5320</v>
      </c>
      <c r="G244" s="1034">
        <v>1</v>
      </c>
      <c r="H244" s="17">
        <v>117000</v>
      </c>
      <c r="I244" s="17">
        <f t="shared" si="13"/>
        <v>117000</v>
      </c>
      <c r="K244" s="171">
        <f t="shared" si="14"/>
        <v>117000</v>
      </c>
      <c r="M244" s="17">
        <v>-6552</v>
      </c>
      <c r="N244" s="17">
        <f t="shared" si="15"/>
        <v>110448</v>
      </c>
      <c r="O244" s="76" t="s">
        <v>43</v>
      </c>
      <c r="P244" s="183"/>
      <c r="Q244" s="10" t="s">
        <v>54</v>
      </c>
      <c r="R244" s="76" t="s">
        <v>8711</v>
      </c>
    </row>
    <row r="245" spans="1:18" s="17" customFormat="1">
      <c r="A245" s="1087">
        <v>44544</v>
      </c>
      <c r="B245" s="76" t="s">
        <v>43</v>
      </c>
      <c r="C245" s="11" t="s">
        <v>9143</v>
      </c>
      <c r="D245" s="92" t="s">
        <v>9144</v>
      </c>
      <c r="E245" s="739" t="s">
        <v>9145</v>
      </c>
      <c r="F245" s="739" t="s">
        <v>9146</v>
      </c>
      <c r="G245" s="16">
        <v>1</v>
      </c>
      <c r="H245" s="17">
        <v>97000</v>
      </c>
      <c r="I245" s="17">
        <f t="shared" si="13"/>
        <v>97000</v>
      </c>
      <c r="K245" s="171">
        <f t="shared" si="14"/>
        <v>97000</v>
      </c>
      <c r="M245" s="17">
        <v>-5432</v>
      </c>
      <c r="N245" s="17">
        <f t="shared" si="15"/>
        <v>91568</v>
      </c>
      <c r="O245" s="76" t="s">
        <v>43</v>
      </c>
      <c r="P245" s="183"/>
      <c r="Q245" s="10" t="s">
        <v>54</v>
      </c>
      <c r="R245" s="76" t="s">
        <v>8711</v>
      </c>
    </row>
    <row r="246" spans="1:18" s="17" customFormat="1">
      <c r="A246" s="1087">
        <v>44544</v>
      </c>
      <c r="B246" s="76" t="s">
        <v>43</v>
      </c>
      <c r="C246" s="11" t="s">
        <v>9147</v>
      </c>
      <c r="D246" s="92" t="s">
        <v>9148</v>
      </c>
      <c r="E246" s="76" t="s">
        <v>3822</v>
      </c>
      <c r="F246" s="76" t="s">
        <v>3823</v>
      </c>
      <c r="G246" s="16">
        <v>1</v>
      </c>
      <c r="H246" s="17">
        <v>85000</v>
      </c>
      <c r="I246" s="17">
        <f t="shared" si="13"/>
        <v>85000</v>
      </c>
      <c r="J246" s="17">
        <f>I246*20%</f>
        <v>17000</v>
      </c>
      <c r="K246" s="171">
        <f t="shared" si="14"/>
        <v>68000</v>
      </c>
      <c r="M246" s="17">
        <v>-3808</v>
      </c>
      <c r="N246" s="17">
        <f t="shared" si="15"/>
        <v>64192</v>
      </c>
      <c r="O246" s="76" t="s">
        <v>43</v>
      </c>
      <c r="P246" s="183"/>
      <c r="Q246" s="10" t="s">
        <v>54</v>
      </c>
      <c r="R246" s="76" t="s">
        <v>8711</v>
      </c>
    </row>
    <row r="247" spans="1:18" s="17" customFormat="1">
      <c r="A247" s="1087">
        <v>44544</v>
      </c>
      <c r="B247" s="76" t="s">
        <v>43</v>
      </c>
      <c r="C247" s="11" t="s">
        <v>9149</v>
      </c>
      <c r="D247" s="92" t="s">
        <v>9150</v>
      </c>
      <c r="E247" s="76" t="s">
        <v>9151</v>
      </c>
      <c r="F247" s="76" t="s">
        <v>9152</v>
      </c>
      <c r="G247" s="16">
        <v>1</v>
      </c>
      <c r="H247" s="17">
        <v>97000</v>
      </c>
      <c r="I247" s="17">
        <f t="shared" si="13"/>
        <v>97000</v>
      </c>
      <c r="J247" s="17">
        <f>I247*20%</f>
        <v>19400</v>
      </c>
      <c r="K247" s="171">
        <f t="shared" si="14"/>
        <v>77600</v>
      </c>
      <c r="M247" s="17">
        <v>-4346</v>
      </c>
      <c r="N247" s="17">
        <f t="shared" si="15"/>
        <v>73254</v>
      </c>
      <c r="O247" s="76" t="s">
        <v>43</v>
      </c>
      <c r="P247" s="183"/>
      <c r="Q247" s="10" t="s">
        <v>54</v>
      </c>
      <c r="R247" s="76" t="s">
        <v>8711</v>
      </c>
    </row>
    <row r="248" spans="1:18" s="17" customFormat="1">
      <c r="A248" s="1087">
        <v>44544</v>
      </c>
      <c r="B248" s="76" t="s">
        <v>43</v>
      </c>
      <c r="C248" s="11" t="s">
        <v>9153</v>
      </c>
      <c r="D248" s="92" t="s">
        <v>9154</v>
      </c>
      <c r="E248" s="76" t="s">
        <v>3796</v>
      </c>
      <c r="F248" s="76" t="s">
        <v>1025</v>
      </c>
      <c r="G248" s="16">
        <v>1</v>
      </c>
      <c r="H248" s="17">
        <v>58500</v>
      </c>
      <c r="I248" s="17">
        <f t="shared" si="13"/>
        <v>58500</v>
      </c>
      <c r="K248" s="171">
        <f t="shared" si="14"/>
        <v>58500</v>
      </c>
      <c r="M248" s="17">
        <v>-3276</v>
      </c>
      <c r="N248" s="17">
        <f t="shared" si="15"/>
        <v>55224</v>
      </c>
      <c r="O248" s="76" t="s">
        <v>43</v>
      </c>
      <c r="P248" s="183"/>
      <c r="Q248" s="10" t="s">
        <v>176</v>
      </c>
      <c r="R248" s="76" t="s">
        <v>8711</v>
      </c>
    </row>
    <row r="249" spans="1:18" s="17" customFormat="1">
      <c r="A249" s="1087">
        <v>44544</v>
      </c>
      <c r="B249" s="76" t="s">
        <v>177</v>
      </c>
      <c r="C249" s="10" t="s">
        <v>9155</v>
      </c>
      <c r="D249" s="92" t="s">
        <v>9156</v>
      </c>
      <c r="E249" s="739" t="s">
        <v>3067</v>
      </c>
      <c r="F249" s="739" t="s">
        <v>3068</v>
      </c>
      <c r="G249" s="16">
        <v>1</v>
      </c>
      <c r="H249" s="17">
        <v>28000</v>
      </c>
      <c r="I249" s="17">
        <f t="shared" si="13"/>
        <v>28000</v>
      </c>
      <c r="K249" s="171">
        <f t="shared" si="14"/>
        <v>28000</v>
      </c>
      <c r="L249" s="17">
        <v>22000</v>
      </c>
      <c r="N249" s="17">
        <f t="shared" si="15"/>
        <v>50000</v>
      </c>
      <c r="O249" s="76" t="s">
        <v>177</v>
      </c>
      <c r="P249" s="183"/>
      <c r="Q249" s="10" t="s">
        <v>54</v>
      </c>
      <c r="R249" s="76" t="s">
        <v>8711</v>
      </c>
    </row>
    <row r="250" spans="1:18" s="17" customFormat="1">
      <c r="A250" s="1087">
        <v>44544</v>
      </c>
      <c r="B250" s="76" t="s">
        <v>23</v>
      </c>
      <c r="C250" s="10" t="s">
        <v>431</v>
      </c>
      <c r="D250" s="92" t="s">
        <v>31</v>
      </c>
      <c r="E250" s="739" t="s">
        <v>7845</v>
      </c>
      <c r="F250" s="739" t="s">
        <v>5313</v>
      </c>
      <c r="G250" s="16">
        <v>1</v>
      </c>
      <c r="H250" s="17">
        <v>175000</v>
      </c>
      <c r="I250" s="17">
        <f t="shared" si="13"/>
        <v>175000</v>
      </c>
      <c r="J250" s="17">
        <f>I250*25%</f>
        <v>43750</v>
      </c>
      <c r="K250" s="171">
        <f t="shared" si="14"/>
        <v>131250</v>
      </c>
      <c r="N250" s="17">
        <f t="shared" si="15"/>
        <v>131250</v>
      </c>
      <c r="O250" s="76" t="s">
        <v>23</v>
      </c>
      <c r="P250" s="92"/>
      <c r="Q250" s="10" t="s">
        <v>35</v>
      </c>
      <c r="R250" s="76" t="s">
        <v>8711</v>
      </c>
    </row>
    <row r="251" spans="1:18" s="17" customFormat="1">
      <c r="A251" s="1087">
        <v>44545</v>
      </c>
      <c r="B251" s="76" t="s">
        <v>43</v>
      </c>
      <c r="C251" s="10" t="s">
        <v>9157</v>
      </c>
      <c r="D251" s="92" t="s">
        <v>9158</v>
      </c>
      <c r="E251" s="76" t="s">
        <v>9159</v>
      </c>
      <c r="F251" s="76" t="s">
        <v>9160</v>
      </c>
      <c r="G251" s="16">
        <v>1</v>
      </c>
      <c r="H251" s="17">
        <v>85000</v>
      </c>
      <c r="I251" s="17">
        <f t="shared" si="13"/>
        <v>85000</v>
      </c>
      <c r="J251" s="17">
        <f>I251*20%</f>
        <v>17000</v>
      </c>
      <c r="K251" s="171">
        <f t="shared" si="14"/>
        <v>68000</v>
      </c>
      <c r="M251" s="17">
        <v>-3808</v>
      </c>
      <c r="N251" s="17">
        <f t="shared" si="15"/>
        <v>64192</v>
      </c>
      <c r="O251" s="76" t="s">
        <v>43</v>
      </c>
      <c r="P251" s="183"/>
      <c r="Q251" s="10" t="s">
        <v>54</v>
      </c>
      <c r="R251" s="76" t="s">
        <v>8711</v>
      </c>
    </row>
    <row r="252" spans="1:18" s="17" customFormat="1">
      <c r="A252" s="1087">
        <v>44545</v>
      </c>
      <c r="B252" s="76" t="s">
        <v>43</v>
      </c>
      <c r="C252" s="10" t="s">
        <v>9161</v>
      </c>
      <c r="D252" s="92" t="s">
        <v>9162</v>
      </c>
      <c r="E252" s="76" t="s">
        <v>5149</v>
      </c>
      <c r="F252" s="76" t="s">
        <v>658</v>
      </c>
      <c r="G252" s="16">
        <v>2</v>
      </c>
      <c r="H252" s="17">
        <v>62000</v>
      </c>
      <c r="I252" s="17">
        <f t="shared" si="13"/>
        <v>124000</v>
      </c>
      <c r="J252" s="17">
        <f>I252*20%</f>
        <v>24800</v>
      </c>
      <c r="K252" s="171">
        <f t="shared" si="14"/>
        <v>99200</v>
      </c>
      <c r="M252" s="17">
        <v>-5555</v>
      </c>
      <c r="N252" s="17">
        <f t="shared" si="15"/>
        <v>93645</v>
      </c>
      <c r="O252" s="76" t="s">
        <v>43</v>
      </c>
      <c r="P252" s="183"/>
      <c r="Q252" s="10" t="s">
        <v>176</v>
      </c>
      <c r="R252" s="1039" t="s">
        <v>8711</v>
      </c>
    </row>
    <row r="253" spans="1:18" s="17" customFormat="1">
      <c r="A253" s="1087">
        <v>44545</v>
      </c>
      <c r="B253" s="76" t="s">
        <v>43</v>
      </c>
      <c r="C253" s="11" t="s">
        <v>9163</v>
      </c>
      <c r="D253" s="92" t="s">
        <v>9164</v>
      </c>
      <c r="E253" s="76" t="s">
        <v>773</v>
      </c>
      <c r="F253" s="76" t="s">
        <v>774</v>
      </c>
      <c r="G253" s="16">
        <v>1</v>
      </c>
      <c r="H253" s="17">
        <v>96000</v>
      </c>
      <c r="I253" s="17">
        <f t="shared" si="13"/>
        <v>96000</v>
      </c>
      <c r="J253" s="17">
        <f>I253*20%</f>
        <v>19200</v>
      </c>
      <c r="K253" s="171">
        <f t="shared" si="14"/>
        <v>76800</v>
      </c>
      <c r="M253" s="17">
        <v>-4301</v>
      </c>
      <c r="N253" s="17">
        <f t="shared" si="15"/>
        <v>72499</v>
      </c>
      <c r="O253" s="76" t="s">
        <v>43</v>
      </c>
      <c r="P253" s="191"/>
      <c r="Q253" s="10" t="s">
        <v>176</v>
      </c>
      <c r="R253" s="76" t="s">
        <v>8711</v>
      </c>
    </row>
    <row r="254" spans="1:18" s="17" customFormat="1">
      <c r="A254" s="1087">
        <v>44545</v>
      </c>
      <c r="B254" s="76" t="s">
        <v>43</v>
      </c>
      <c r="C254" s="11" t="s">
        <v>9165</v>
      </c>
      <c r="D254" s="92" t="s">
        <v>9166</v>
      </c>
      <c r="E254" s="76" t="s">
        <v>5316</v>
      </c>
      <c r="F254" s="76" t="s">
        <v>5317</v>
      </c>
      <c r="G254" s="16">
        <v>1</v>
      </c>
      <c r="H254" s="17">
        <v>61500</v>
      </c>
      <c r="I254" s="17">
        <f t="shared" si="13"/>
        <v>61500</v>
      </c>
      <c r="K254" s="171">
        <f t="shared" si="14"/>
        <v>61500</v>
      </c>
      <c r="M254" s="17">
        <v>-3444</v>
      </c>
      <c r="N254" s="17">
        <f t="shared" si="15"/>
        <v>58056</v>
      </c>
      <c r="O254" s="76" t="s">
        <v>43</v>
      </c>
      <c r="P254" s="191"/>
      <c r="Q254" s="10" t="s">
        <v>54</v>
      </c>
      <c r="R254" s="76" t="s">
        <v>8711</v>
      </c>
    </row>
    <row r="255" spans="1:18" s="17" customFormat="1">
      <c r="A255" s="1087">
        <v>44545</v>
      </c>
      <c r="B255" s="76" t="s">
        <v>43</v>
      </c>
      <c r="C255" s="11" t="s">
        <v>9167</v>
      </c>
      <c r="D255" s="92" t="s">
        <v>9168</v>
      </c>
      <c r="E255" s="739" t="s">
        <v>1648</v>
      </c>
      <c r="F255" s="739" t="s">
        <v>1649</v>
      </c>
      <c r="G255" s="16">
        <v>1</v>
      </c>
      <c r="H255" s="17">
        <v>145000</v>
      </c>
      <c r="I255" s="17">
        <f t="shared" si="13"/>
        <v>145000</v>
      </c>
      <c r="J255" s="17">
        <f>I255*20%</f>
        <v>29000</v>
      </c>
      <c r="K255" s="171">
        <f t="shared" si="14"/>
        <v>116000</v>
      </c>
      <c r="M255" s="17">
        <v>-6496</v>
      </c>
      <c r="N255" s="17">
        <f t="shared" si="15"/>
        <v>109504</v>
      </c>
      <c r="O255" s="76" t="s">
        <v>43</v>
      </c>
      <c r="P255" s="191"/>
      <c r="Q255" s="10" t="s">
        <v>176</v>
      </c>
      <c r="R255" s="76" t="s">
        <v>8711</v>
      </c>
    </row>
    <row r="256" spans="1:18" s="17" customFormat="1">
      <c r="A256" s="1087">
        <v>44545</v>
      </c>
      <c r="B256" s="76" t="s">
        <v>23</v>
      </c>
      <c r="C256" s="10" t="s">
        <v>431</v>
      </c>
      <c r="D256" s="92" t="s">
        <v>31</v>
      </c>
      <c r="E256" s="913" t="s">
        <v>6689</v>
      </c>
      <c r="F256" s="913" t="s">
        <v>6690</v>
      </c>
      <c r="G256" s="16">
        <v>1</v>
      </c>
      <c r="H256" s="17">
        <v>82000</v>
      </c>
      <c r="I256" s="17">
        <f t="shared" si="13"/>
        <v>82000</v>
      </c>
      <c r="J256" s="17">
        <f>I256*25%+40000</f>
        <v>60500</v>
      </c>
      <c r="K256" s="171">
        <f t="shared" si="14"/>
        <v>21500</v>
      </c>
      <c r="N256" s="17">
        <f t="shared" si="15"/>
        <v>21500</v>
      </c>
      <c r="O256" s="76" t="s">
        <v>23</v>
      </c>
      <c r="P256" s="191"/>
      <c r="Q256" s="10" t="s">
        <v>35</v>
      </c>
      <c r="R256" s="739" t="s">
        <v>8716</v>
      </c>
    </row>
    <row r="257" spans="1:19" s="17" customFormat="1">
      <c r="A257" s="1087">
        <v>44545</v>
      </c>
      <c r="B257" s="76" t="s">
        <v>23</v>
      </c>
      <c r="C257" s="10" t="s">
        <v>431</v>
      </c>
      <c r="D257" s="92" t="s">
        <v>31</v>
      </c>
      <c r="E257" s="913" t="s">
        <v>7845</v>
      </c>
      <c r="F257" s="913" t="s">
        <v>5313</v>
      </c>
      <c r="G257" s="16">
        <v>1</v>
      </c>
      <c r="H257" s="17">
        <v>175000</v>
      </c>
      <c r="I257" s="17">
        <f t="shared" si="13"/>
        <v>175000</v>
      </c>
      <c r="J257" s="17">
        <f t="shared" ref="J257:J258" si="17">I257*25%</f>
        <v>43750</v>
      </c>
      <c r="K257" s="171">
        <f t="shared" si="14"/>
        <v>131250</v>
      </c>
      <c r="N257" s="17">
        <f t="shared" si="15"/>
        <v>131250</v>
      </c>
      <c r="O257" s="76" t="s">
        <v>23</v>
      </c>
      <c r="P257" s="191"/>
      <c r="Q257" s="10" t="s">
        <v>35</v>
      </c>
      <c r="R257" s="739" t="s">
        <v>8716</v>
      </c>
    </row>
    <row r="258" spans="1:19" s="17" customFormat="1">
      <c r="A258" s="1087">
        <v>44545</v>
      </c>
      <c r="B258" s="76" t="s">
        <v>23</v>
      </c>
      <c r="C258" s="10" t="s">
        <v>431</v>
      </c>
      <c r="D258" s="92" t="s">
        <v>31</v>
      </c>
      <c r="E258" s="913" t="s">
        <v>9169</v>
      </c>
      <c r="F258" s="913" t="s">
        <v>4611</v>
      </c>
      <c r="G258" s="16">
        <v>1</v>
      </c>
      <c r="H258" s="17">
        <v>143000</v>
      </c>
      <c r="I258" s="17">
        <f t="shared" si="13"/>
        <v>143000</v>
      </c>
      <c r="J258" s="17">
        <f t="shared" si="17"/>
        <v>35750</v>
      </c>
      <c r="K258" s="171">
        <f t="shared" si="14"/>
        <v>107250</v>
      </c>
      <c r="N258" s="17">
        <f t="shared" si="15"/>
        <v>107250</v>
      </c>
      <c r="O258" s="76" t="s">
        <v>23</v>
      </c>
      <c r="P258" s="191"/>
      <c r="Q258" s="10" t="s">
        <v>35</v>
      </c>
      <c r="R258" s="739" t="s">
        <v>8716</v>
      </c>
    </row>
    <row r="259" spans="1:19" s="1038" customFormat="1">
      <c r="A259" s="1087">
        <v>44545</v>
      </c>
      <c r="B259" s="891" t="s">
        <v>23</v>
      </c>
      <c r="C259" s="87" t="s">
        <v>431</v>
      </c>
      <c r="D259" s="1036" t="s">
        <v>31</v>
      </c>
      <c r="E259" s="767" t="s">
        <v>9170</v>
      </c>
      <c r="F259" s="767" t="s">
        <v>9171</v>
      </c>
      <c r="G259" s="1037">
        <v>1</v>
      </c>
      <c r="H259" s="1038">
        <v>30650</v>
      </c>
      <c r="I259" s="1038">
        <f t="shared" ref="I259:I323" si="18">H259*G259</f>
        <v>30650</v>
      </c>
      <c r="K259" s="171">
        <f t="shared" si="14"/>
        <v>30650</v>
      </c>
      <c r="N259" s="1038">
        <f t="shared" si="15"/>
        <v>30650</v>
      </c>
      <c r="O259" s="891"/>
      <c r="P259" s="1040"/>
      <c r="Q259" s="87"/>
      <c r="R259" s="767"/>
    </row>
    <row r="260" spans="1:19" s="17" customFormat="1">
      <c r="A260" s="1087">
        <v>44545</v>
      </c>
      <c r="B260" s="76" t="s">
        <v>23</v>
      </c>
      <c r="C260" s="10" t="s">
        <v>9172</v>
      </c>
      <c r="D260" s="92" t="s">
        <v>31</v>
      </c>
      <c r="E260" s="739" t="s">
        <v>9173</v>
      </c>
      <c r="F260" s="739" t="s">
        <v>9174</v>
      </c>
      <c r="G260" s="16">
        <v>2</v>
      </c>
      <c r="H260" s="17">
        <v>148000</v>
      </c>
      <c r="I260" s="17">
        <f t="shared" si="18"/>
        <v>296000</v>
      </c>
      <c r="J260" s="17">
        <f>I260*20%</f>
        <v>59200</v>
      </c>
      <c r="K260" s="171">
        <f t="shared" si="14"/>
        <v>236800</v>
      </c>
      <c r="N260" s="17">
        <f t="shared" si="15"/>
        <v>236800</v>
      </c>
      <c r="O260" s="76" t="s">
        <v>23</v>
      </c>
      <c r="P260" s="191"/>
      <c r="Q260" s="10" t="s">
        <v>40</v>
      </c>
      <c r="R260" s="739" t="s">
        <v>8716</v>
      </c>
    </row>
    <row r="261" spans="1:19" s="17" customFormat="1">
      <c r="A261" s="1087">
        <v>44546</v>
      </c>
      <c r="B261" s="76" t="s">
        <v>23</v>
      </c>
      <c r="C261" s="10" t="s">
        <v>431</v>
      </c>
      <c r="D261" s="92" t="s">
        <v>31</v>
      </c>
      <c r="E261" s="748" t="s">
        <v>8237</v>
      </c>
      <c r="F261" s="748" t="s">
        <v>8238</v>
      </c>
      <c r="G261" s="16">
        <v>2</v>
      </c>
      <c r="H261" s="17">
        <v>58000</v>
      </c>
      <c r="I261" s="17">
        <f t="shared" si="18"/>
        <v>116000</v>
      </c>
      <c r="J261" s="17">
        <f>I261*25%+40000</f>
        <v>69000</v>
      </c>
      <c r="K261" s="171">
        <f t="shared" ref="K261:K324" si="19">I261-J261</f>
        <v>47000</v>
      </c>
      <c r="N261" s="17">
        <f t="shared" ref="N261:N324" si="20">K261+L261+M261</f>
        <v>47000</v>
      </c>
      <c r="O261" s="76" t="s">
        <v>23</v>
      </c>
      <c r="P261" s="191"/>
      <c r="Q261" s="10" t="s">
        <v>283</v>
      </c>
      <c r="R261" s="1039" t="s">
        <v>8711</v>
      </c>
    </row>
    <row r="262" spans="1:19" s="17" customFormat="1">
      <c r="A262" s="1087">
        <v>44546</v>
      </c>
      <c r="B262" s="76" t="s">
        <v>23</v>
      </c>
      <c r="C262" s="10" t="s">
        <v>431</v>
      </c>
      <c r="D262" s="92" t="s">
        <v>31</v>
      </c>
      <c r="E262" s="748" t="s">
        <v>9175</v>
      </c>
      <c r="F262" s="748" t="s">
        <v>8235</v>
      </c>
      <c r="G262" s="16">
        <v>1</v>
      </c>
      <c r="H262" s="17">
        <v>125000</v>
      </c>
      <c r="I262" s="17">
        <f t="shared" si="18"/>
        <v>125000</v>
      </c>
      <c r="J262" s="17">
        <f t="shared" ref="J262:J266" si="21">I262*25%</f>
        <v>31250</v>
      </c>
      <c r="K262" s="171">
        <f t="shared" si="19"/>
        <v>93750</v>
      </c>
      <c r="N262" s="17">
        <f t="shared" si="20"/>
        <v>93750</v>
      </c>
      <c r="O262" s="76" t="s">
        <v>23</v>
      </c>
      <c r="P262" s="191"/>
      <c r="Q262" s="10" t="s">
        <v>283</v>
      </c>
      <c r="R262" s="1039" t="s">
        <v>8711</v>
      </c>
    </row>
    <row r="263" spans="1:19" s="17" customFormat="1">
      <c r="A263" s="1087">
        <v>44546</v>
      </c>
      <c r="B263" s="76" t="s">
        <v>23</v>
      </c>
      <c r="C263" s="10" t="s">
        <v>431</v>
      </c>
      <c r="D263" s="92" t="s">
        <v>31</v>
      </c>
      <c r="E263" s="748" t="s">
        <v>7845</v>
      </c>
      <c r="F263" s="748" t="s">
        <v>5313</v>
      </c>
      <c r="G263" s="16">
        <v>1</v>
      </c>
      <c r="H263" s="17">
        <v>175000</v>
      </c>
      <c r="I263" s="17">
        <f t="shared" si="18"/>
        <v>175000</v>
      </c>
      <c r="J263" s="17">
        <f t="shared" si="21"/>
        <v>43750</v>
      </c>
      <c r="K263" s="171">
        <f t="shared" si="19"/>
        <v>131250</v>
      </c>
      <c r="N263" s="17">
        <f t="shared" si="20"/>
        <v>131250</v>
      </c>
      <c r="O263" s="76" t="s">
        <v>23</v>
      </c>
      <c r="P263" s="191"/>
      <c r="Q263" s="10" t="s">
        <v>283</v>
      </c>
      <c r="R263" s="1039" t="s">
        <v>8711</v>
      </c>
      <c r="S263" s="13"/>
    </row>
    <row r="264" spans="1:19" s="17" customFormat="1">
      <c r="A264" s="1087">
        <v>44546</v>
      </c>
      <c r="B264" s="76" t="s">
        <v>23</v>
      </c>
      <c r="C264" s="10" t="s">
        <v>431</v>
      </c>
      <c r="D264" s="92" t="s">
        <v>31</v>
      </c>
      <c r="E264" s="748" t="s">
        <v>8813</v>
      </c>
      <c r="F264" s="748" t="s">
        <v>8814</v>
      </c>
      <c r="G264" s="16">
        <v>1</v>
      </c>
      <c r="H264" s="17">
        <v>97000</v>
      </c>
      <c r="I264" s="17">
        <f t="shared" si="18"/>
        <v>97000</v>
      </c>
      <c r="J264" s="17">
        <f t="shared" si="21"/>
        <v>24250</v>
      </c>
      <c r="K264" s="171">
        <f t="shared" si="19"/>
        <v>72750</v>
      </c>
      <c r="N264" s="17">
        <f t="shared" si="20"/>
        <v>72750</v>
      </c>
      <c r="O264" s="76" t="s">
        <v>23</v>
      </c>
      <c r="P264" s="191"/>
      <c r="Q264" s="10" t="s">
        <v>283</v>
      </c>
      <c r="R264" s="1039" t="s">
        <v>8711</v>
      </c>
      <c r="S264" s="13"/>
    </row>
    <row r="265" spans="1:19" s="17" customFormat="1">
      <c r="A265" s="1087">
        <v>44546</v>
      </c>
      <c r="B265" s="76" t="s">
        <v>23</v>
      </c>
      <c r="C265" s="10" t="s">
        <v>431</v>
      </c>
      <c r="D265" s="92" t="s">
        <v>31</v>
      </c>
      <c r="E265" s="748" t="s">
        <v>9176</v>
      </c>
      <c r="F265" s="748" t="s">
        <v>9177</v>
      </c>
      <c r="G265" s="16">
        <v>1</v>
      </c>
      <c r="H265" s="17">
        <v>74000</v>
      </c>
      <c r="I265" s="17">
        <f t="shared" si="18"/>
        <v>74000</v>
      </c>
      <c r="J265" s="17">
        <f t="shared" si="21"/>
        <v>18500</v>
      </c>
      <c r="K265" s="171">
        <f t="shared" si="19"/>
        <v>55500</v>
      </c>
      <c r="N265" s="17">
        <f t="shared" si="20"/>
        <v>55500</v>
      </c>
      <c r="O265" s="76" t="s">
        <v>23</v>
      </c>
      <c r="P265" s="191"/>
      <c r="Q265" s="10" t="s">
        <v>283</v>
      </c>
      <c r="R265" s="1039" t="s">
        <v>8711</v>
      </c>
      <c r="S265" s="13"/>
    </row>
    <row r="266" spans="1:19" s="17" customFormat="1">
      <c r="A266" s="1087">
        <v>44546</v>
      </c>
      <c r="B266" s="76" t="s">
        <v>23</v>
      </c>
      <c r="C266" s="10" t="s">
        <v>431</v>
      </c>
      <c r="D266" s="92" t="s">
        <v>31</v>
      </c>
      <c r="E266" s="780" t="s">
        <v>781</v>
      </c>
      <c r="F266" s="780" t="s">
        <v>782</v>
      </c>
      <c r="G266" s="16">
        <v>1</v>
      </c>
      <c r="H266" s="17">
        <v>57500</v>
      </c>
      <c r="I266" s="17">
        <f t="shared" si="18"/>
        <v>57500</v>
      </c>
      <c r="J266" s="17">
        <f t="shared" si="21"/>
        <v>14375</v>
      </c>
      <c r="K266" s="171">
        <f t="shared" si="19"/>
        <v>43125</v>
      </c>
      <c r="N266" s="17">
        <f t="shared" si="20"/>
        <v>43125</v>
      </c>
      <c r="O266" s="76" t="s">
        <v>23</v>
      </c>
      <c r="P266" s="191"/>
      <c r="Q266" s="10" t="s">
        <v>283</v>
      </c>
      <c r="R266" s="1039" t="s">
        <v>8711</v>
      </c>
      <c r="S266" s="13"/>
    </row>
    <row r="267" spans="1:19" s="17" customFormat="1">
      <c r="A267" s="1087">
        <v>44546</v>
      </c>
      <c r="B267" s="76" t="s">
        <v>23</v>
      </c>
      <c r="C267" s="10" t="s">
        <v>7015</v>
      </c>
      <c r="D267" s="92" t="s">
        <v>9178</v>
      </c>
      <c r="E267" s="1041" t="s">
        <v>9179</v>
      </c>
      <c r="F267" s="1041" t="s">
        <v>9180</v>
      </c>
      <c r="G267" s="16">
        <v>1</v>
      </c>
      <c r="H267" s="17">
        <v>84000</v>
      </c>
      <c r="I267" s="17">
        <f t="shared" si="18"/>
        <v>84000</v>
      </c>
      <c r="J267" s="17">
        <f>I267*40%</f>
        <v>33600</v>
      </c>
      <c r="K267" s="171">
        <f t="shared" si="19"/>
        <v>50400</v>
      </c>
      <c r="N267" s="17">
        <f t="shared" si="20"/>
        <v>50400</v>
      </c>
      <c r="O267" s="76" t="s">
        <v>23</v>
      </c>
      <c r="P267" s="191"/>
      <c r="Q267" s="10" t="s">
        <v>54</v>
      </c>
      <c r="R267" s="76" t="s">
        <v>8716</v>
      </c>
      <c r="S267" s="13"/>
    </row>
    <row r="268" spans="1:19" s="17" customFormat="1">
      <c r="A268" s="1087">
        <v>44546</v>
      </c>
      <c r="B268" s="76" t="s">
        <v>23</v>
      </c>
      <c r="C268" s="10" t="s">
        <v>7015</v>
      </c>
      <c r="D268" s="92" t="s">
        <v>9178</v>
      </c>
      <c r="E268" s="1042" t="s">
        <v>1302</v>
      </c>
      <c r="F268" s="1042" t="s">
        <v>1303</v>
      </c>
      <c r="G268" s="16">
        <v>1</v>
      </c>
      <c r="H268" s="17">
        <v>220000</v>
      </c>
      <c r="I268" s="17">
        <f t="shared" si="18"/>
        <v>220000</v>
      </c>
      <c r="J268" s="17">
        <f t="shared" ref="J268" si="22">I268*40%</f>
        <v>88000</v>
      </c>
      <c r="K268" s="171">
        <f t="shared" si="19"/>
        <v>132000</v>
      </c>
      <c r="N268" s="17">
        <f t="shared" si="20"/>
        <v>132000</v>
      </c>
      <c r="O268" s="76" t="s">
        <v>23</v>
      </c>
      <c r="P268" s="191"/>
      <c r="Q268" s="10" t="s">
        <v>54</v>
      </c>
      <c r="R268" s="1029" t="s">
        <v>8716</v>
      </c>
      <c r="S268" s="13"/>
    </row>
    <row r="269" spans="1:19" s="17" customFormat="1">
      <c r="A269" s="1087">
        <v>44546</v>
      </c>
      <c r="B269" s="76" t="s">
        <v>23</v>
      </c>
      <c r="C269" s="11" t="s">
        <v>9181</v>
      </c>
      <c r="D269" s="92" t="s">
        <v>9182</v>
      </c>
      <c r="E269" s="76" t="s">
        <v>5426</v>
      </c>
      <c r="F269" s="76" t="s">
        <v>5427</v>
      </c>
      <c r="G269" s="16">
        <v>2</v>
      </c>
      <c r="H269" s="17">
        <v>105000</v>
      </c>
      <c r="I269" s="17">
        <f t="shared" si="18"/>
        <v>210000</v>
      </c>
      <c r="J269" s="13"/>
      <c r="K269" s="171">
        <f t="shared" si="19"/>
        <v>210000</v>
      </c>
      <c r="L269" s="17">
        <v>16000</v>
      </c>
      <c r="N269" s="17">
        <f t="shared" si="20"/>
        <v>226000</v>
      </c>
      <c r="O269" s="76" t="s">
        <v>23</v>
      </c>
      <c r="P269" s="72"/>
      <c r="Q269" s="10" t="s">
        <v>40</v>
      </c>
      <c r="R269" s="1039" t="s">
        <v>8711</v>
      </c>
    </row>
    <row r="270" spans="1:19" s="17" customFormat="1">
      <c r="A270" s="1087">
        <v>44546</v>
      </c>
      <c r="B270" s="76" t="s">
        <v>43</v>
      </c>
      <c r="C270" s="10" t="s">
        <v>9183</v>
      </c>
      <c r="D270" s="92" t="s">
        <v>9184</v>
      </c>
      <c r="E270" s="76" t="s">
        <v>9185</v>
      </c>
      <c r="F270" s="76" t="s">
        <v>1686</v>
      </c>
      <c r="G270" s="16">
        <v>1</v>
      </c>
      <c r="H270" s="17">
        <v>105000</v>
      </c>
      <c r="I270" s="17">
        <f t="shared" si="18"/>
        <v>105000</v>
      </c>
      <c r="J270" s="17">
        <f>I270*20%</f>
        <v>21000</v>
      </c>
      <c r="K270" s="171">
        <f t="shared" si="19"/>
        <v>84000</v>
      </c>
      <c r="M270" s="17">
        <v>-4704</v>
      </c>
      <c r="N270" s="17">
        <f t="shared" si="20"/>
        <v>79296</v>
      </c>
      <c r="O270" s="76" t="s">
        <v>43</v>
      </c>
      <c r="P270" s="72"/>
      <c r="Q270" s="10" t="s">
        <v>176</v>
      </c>
      <c r="R270" s="76" t="s">
        <v>8711</v>
      </c>
    </row>
    <row r="271" spans="1:19" s="17" customFormat="1">
      <c r="A271" s="1087">
        <v>44546</v>
      </c>
      <c r="B271" s="76" t="s">
        <v>43</v>
      </c>
      <c r="C271" s="11" t="s">
        <v>9186</v>
      </c>
      <c r="D271" s="92" t="s">
        <v>9187</v>
      </c>
      <c r="E271" s="891" t="s">
        <v>7614</v>
      </c>
      <c r="F271" s="891" t="s">
        <v>7615</v>
      </c>
      <c r="G271" s="16">
        <v>1</v>
      </c>
      <c r="H271" s="17">
        <v>105000</v>
      </c>
      <c r="I271" s="17">
        <f t="shared" si="18"/>
        <v>105000</v>
      </c>
      <c r="J271" s="17">
        <f>I271*20%</f>
        <v>21000</v>
      </c>
      <c r="K271" s="171">
        <f t="shared" si="19"/>
        <v>84000</v>
      </c>
      <c r="M271" s="17">
        <v>-9475</v>
      </c>
      <c r="N271" s="17">
        <f t="shared" si="20"/>
        <v>74525</v>
      </c>
      <c r="O271" s="76" t="s">
        <v>43</v>
      </c>
      <c r="P271" s="183"/>
      <c r="Q271" s="10" t="s">
        <v>176</v>
      </c>
      <c r="R271" s="76" t="s">
        <v>8711</v>
      </c>
    </row>
    <row r="272" spans="1:19" s="17" customFormat="1">
      <c r="A272" s="1087">
        <v>44546</v>
      </c>
      <c r="B272" s="76" t="s">
        <v>43</v>
      </c>
      <c r="C272" s="11" t="s">
        <v>9186</v>
      </c>
      <c r="D272" s="92" t="s">
        <v>9188</v>
      </c>
      <c r="E272" s="1036" t="s">
        <v>5993</v>
      </c>
      <c r="F272" s="1036" t="s">
        <v>9189</v>
      </c>
      <c r="G272" s="16">
        <v>1</v>
      </c>
      <c r="H272" s="17">
        <v>106500</v>
      </c>
      <c r="I272" s="17">
        <f t="shared" si="18"/>
        <v>106500</v>
      </c>
      <c r="J272" s="17">
        <f>I272*20%</f>
        <v>21300</v>
      </c>
      <c r="K272" s="171">
        <f t="shared" si="19"/>
        <v>85200</v>
      </c>
      <c r="N272" s="17">
        <f t="shared" si="20"/>
        <v>85200</v>
      </c>
      <c r="O272" s="76"/>
      <c r="P272" s="183"/>
      <c r="Q272" s="10"/>
      <c r="R272" s="76"/>
    </row>
    <row r="273" spans="1:19" s="17" customFormat="1">
      <c r="A273" s="1087">
        <v>44546</v>
      </c>
      <c r="B273" s="76" t="s">
        <v>43</v>
      </c>
      <c r="C273" s="11" t="s">
        <v>9190</v>
      </c>
      <c r="D273" s="92" t="s">
        <v>9191</v>
      </c>
      <c r="E273" s="76" t="s">
        <v>937</v>
      </c>
      <c r="F273" s="76" t="s">
        <v>9192</v>
      </c>
      <c r="G273" s="16">
        <v>2</v>
      </c>
      <c r="H273" s="17">
        <v>69000</v>
      </c>
      <c r="I273" s="17">
        <f t="shared" si="18"/>
        <v>138000</v>
      </c>
      <c r="J273" s="17">
        <f>I273*20%</f>
        <v>27600</v>
      </c>
      <c r="K273" s="171">
        <f t="shared" si="19"/>
        <v>110400</v>
      </c>
      <c r="M273" s="17">
        <v>-6182</v>
      </c>
      <c r="N273" s="17">
        <f t="shared" si="20"/>
        <v>104218</v>
      </c>
      <c r="O273" s="76" t="s">
        <v>43</v>
      </c>
      <c r="P273" s="72"/>
      <c r="Q273" s="10" t="s">
        <v>176</v>
      </c>
      <c r="R273" s="1039" t="s">
        <v>8711</v>
      </c>
    </row>
    <row r="274" spans="1:19" s="17" customFormat="1">
      <c r="A274" s="1087">
        <v>44546</v>
      </c>
      <c r="B274" s="76" t="s">
        <v>177</v>
      </c>
      <c r="C274" s="10" t="s">
        <v>9193</v>
      </c>
      <c r="D274" s="92" t="s">
        <v>9194</v>
      </c>
      <c r="E274" s="739" t="s">
        <v>9195</v>
      </c>
      <c r="F274" s="739" t="s">
        <v>9196</v>
      </c>
      <c r="G274" s="16">
        <v>1</v>
      </c>
      <c r="H274" s="17">
        <v>108500</v>
      </c>
      <c r="I274" s="17">
        <f t="shared" si="18"/>
        <v>108500</v>
      </c>
      <c r="J274" s="17">
        <f>I274*20%</f>
        <v>21700</v>
      </c>
      <c r="K274" s="171">
        <f t="shared" si="19"/>
        <v>86800</v>
      </c>
      <c r="L274" s="17">
        <v>3000</v>
      </c>
      <c r="N274" s="17">
        <f t="shared" si="20"/>
        <v>89800</v>
      </c>
      <c r="O274" s="76" t="s">
        <v>177</v>
      </c>
      <c r="P274" s="183"/>
      <c r="Q274" s="10" t="s">
        <v>54</v>
      </c>
      <c r="R274" s="76" t="s">
        <v>8711</v>
      </c>
    </row>
    <row r="275" spans="1:19" s="17" customFormat="1">
      <c r="A275" s="1087">
        <v>44546</v>
      </c>
      <c r="B275" s="76" t="s">
        <v>23</v>
      </c>
      <c r="C275" s="10" t="s">
        <v>9197</v>
      </c>
      <c r="D275" s="92" t="s">
        <v>9198</v>
      </c>
      <c r="E275" s="739" t="s">
        <v>9199</v>
      </c>
      <c r="F275" s="739" t="s">
        <v>9200</v>
      </c>
      <c r="G275" s="16">
        <v>1</v>
      </c>
      <c r="H275" s="17">
        <v>210000</v>
      </c>
      <c r="I275" s="17">
        <f t="shared" si="18"/>
        <v>210000</v>
      </c>
      <c r="K275" s="171">
        <f t="shared" si="19"/>
        <v>210000</v>
      </c>
      <c r="L275" s="17">
        <v>19000</v>
      </c>
      <c r="N275" s="17">
        <f t="shared" si="20"/>
        <v>229000</v>
      </c>
      <c r="O275" s="76" t="s">
        <v>23</v>
      </c>
      <c r="P275" s="183"/>
      <c r="Q275" s="10" t="s">
        <v>54</v>
      </c>
      <c r="R275" s="76" t="s">
        <v>8711</v>
      </c>
      <c r="S275" s="13"/>
    </row>
    <row r="276" spans="1:19" s="17" customFormat="1">
      <c r="A276" s="1087">
        <v>44546</v>
      </c>
      <c r="B276" s="76" t="s">
        <v>23</v>
      </c>
      <c r="C276" s="10" t="s">
        <v>9201</v>
      </c>
      <c r="D276" s="23" t="s">
        <v>9202</v>
      </c>
      <c r="E276" s="739" t="s">
        <v>9203</v>
      </c>
      <c r="F276" s="739" t="s">
        <v>499</v>
      </c>
      <c r="G276" s="16">
        <v>1</v>
      </c>
      <c r="H276" s="17">
        <v>93000</v>
      </c>
      <c r="I276" s="17">
        <f t="shared" si="18"/>
        <v>93000</v>
      </c>
      <c r="K276" s="171">
        <f t="shared" si="19"/>
        <v>93000</v>
      </c>
      <c r="L276" s="17">
        <v>24000</v>
      </c>
      <c r="N276" s="17">
        <f t="shared" si="20"/>
        <v>117000</v>
      </c>
      <c r="O276" s="76" t="s">
        <v>23</v>
      </c>
      <c r="P276" s="183"/>
      <c r="Q276" s="10" t="s">
        <v>28</v>
      </c>
      <c r="R276" s="76" t="s">
        <v>8711</v>
      </c>
    </row>
    <row r="277" spans="1:19" s="17" customFormat="1">
      <c r="A277" s="1087">
        <v>44547</v>
      </c>
      <c r="B277" s="76" t="s">
        <v>43</v>
      </c>
      <c r="C277" s="11" t="s">
        <v>9204</v>
      </c>
      <c r="D277" s="92" t="s">
        <v>9205</v>
      </c>
      <c r="E277" s="739" t="s">
        <v>9206</v>
      </c>
      <c r="F277" s="739" t="s">
        <v>9207</v>
      </c>
      <c r="G277" s="16">
        <v>1</v>
      </c>
      <c r="H277" s="17">
        <v>158000</v>
      </c>
      <c r="I277" s="17">
        <v>158000</v>
      </c>
      <c r="J277" s="17">
        <v>31600</v>
      </c>
      <c r="K277" s="171">
        <f t="shared" si="19"/>
        <v>126400</v>
      </c>
      <c r="M277" s="17">
        <v>-7078</v>
      </c>
      <c r="N277" s="17">
        <v>119322</v>
      </c>
      <c r="O277" s="76" t="s">
        <v>43</v>
      </c>
      <c r="P277" s="183"/>
      <c r="Q277" s="10" t="s">
        <v>176</v>
      </c>
      <c r="R277" s="76" t="s">
        <v>8711</v>
      </c>
    </row>
    <row r="278" spans="1:19" s="17" customFormat="1">
      <c r="A278" s="1087">
        <v>44547</v>
      </c>
      <c r="B278" s="76" t="s">
        <v>43</v>
      </c>
      <c r="C278" s="11" t="s">
        <v>9208</v>
      </c>
      <c r="D278" s="92" t="s">
        <v>9209</v>
      </c>
      <c r="E278" s="739" t="s">
        <v>9210</v>
      </c>
      <c r="F278" s="739" t="s">
        <v>1526</v>
      </c>
      <c r="G278" s="1043">
        <v>1</v>
      </c>
      <c r="H278" s="17">
        <v>150000</v>
      </c>
      <c r="I278" s="17">
        <v>150000</v>
      </c>
      <c r="J278" s="17">
        <v>45000</v>
      </c>
      <c r="K278" s="171">
        <f t="shared" si="19"/>
        <v>105000</v>
      </c>
      <c r="M278" s="17">
        <v>-6720</v>
      </c>
      <c r="N278" s="17">
        <v>98280</v>
      </c>
      <c r="O278" s="76" t="s">
        <v>43</v>
      </c>
      <c r="P278" s="72"/>
      <c r="Q278" s="10" t="s">
        <v>54</v>
      </c>
      <c r="R278" s="76" t="s">
        <v>8711</v>
      </c>
    </row>
    <row r="279" spans="1:19" s="17" customFormat="1">
      <c r="A279" s="1087">
        <v>44547</v>
      </c>
      <c r="B279" s="76" t="s">
        <v>43</v>
      </c>
      <c r="C279" s="10" t="s">
        <v>9211</v>
      </c>
      <c r="D279" s="92" t="s">
        <v>9212</v>
      </c>
      <c r="E279" s="76" t="s">
        <v>1212</v>
      </c>
      <c r="F279" s="76" t="s">
        <v>1213</v>
      </c>
      <c r="G279" s="16">
        <v>1</v>
      </c>
      <c r="H279" s="17">
        <v>74000</v>
      </c>
      <c r="I279" s="17">
        <v>74000</v>
      </c>
      <c r="J279" s="17">
        <v>14800</v>
      </c>
      <c r="K279" s="171">
        <f t="shared" si="19"/>
        <v>59200</v>
      </c>
      <c r="M279" s="17">
        <v>-3315</v>
      </c>
      <c r="N279" s="17">
        <v>55885</v>
      </c>
      <c r="O279" s="76" t="s">
        <v>43</v>
      </c>
      <c r="P279" s="72"/>
      <c r="Q279" s="10" t="s">
        <v>176</v>
      </c>
      <c r="R279" s="76" t="s">
        <v>8711</v>
      </c>
    </row>
    <row r="280" spans="1:19" s="17" customFormat="1">
      <c r="A280" s="1087">
        <v>44547</v>
      </c>
      <c r="B280" s="76" t="s">
        <v>43</v>
      </c>
      <c r="C280" s="11" t="s">
        <v>9213</v>
      </c>
      <c r="D280" s="92" t="s">
        <v>9214</v>
      </c>
      <c r="E280" s="76" t="s">
        <v>3410</v>
      </c>
      <c r="F280" s="76" t="s">
        <v>3411</v>
      </c>
      <c r="G280" s="16">
        <v>1</v>
      </c>
      <c r="H280" s="17">
        <v>99000</v>
      </c>
      <c r="I280" s="17">
        <v>99000</v>
      </c>
      <c r="K280" s="171">
        <f t="shared" si="19"/>
        <v>99000</v>
      </c>
      <c r="M280" s="17">
        <v>-5544</v>
      </c>
      <c r="N280" s="17">
        <v>93456</v>
      </c>
      <c r="O280" s="76" t="s">
        <v>43</v>
      </c>
      <c r="P280" s="183"/>
      <c r="Q280" s="10" t="s">
        <v>176</v>
      </c>
      <c r="R280" s="76" t="s">
        <v>8711</v>
      </c>
    </row>
    <row r="281" spans="1:19" s="17" customFormat="1">
      <c r="A281" s="1087">
        <v>44547</v>
      </c>
      <c r="B281" s="76" t="s">
        <v>206</v>
      </c>
      <c r="C281" s="11" t="s">
        <v>9215</v>
      </c>
      <c r="D281" s="29" t="s">
        <v>9216</v>
      </c>
      <c r="E281" s="739" t="s">
        <v>9210</v>
      </c>
      <c r="F281" s="739" t="s">
        <v>1526</v>
      </c>
      <c r="G281" s="1043">
        <v>1</v>
      </c>
      <c r="H281" s="17">
        <v>150000</v>
      </c>
      <c r="I281" s="17">
        <f t="shared" si="18"/>
        <v>150000</v>
      </c>
      <c r="K281" s="171">
        <f t="shared" si="19"/>
        <v>150000</v>
      </c>
      <c r="L281" s="17">
        <f>11000-11000</f>
        <v>0</v>
      </c>
      <c r="N281" s="17">
        <f t="shared" si="20"/>
        <v>150000</v>
      </c>
      <c r="O281" s="76" t="s">
        <v>206</v>
      </c>
      <c r="P281" s="183"/>
      <c r="Q281" s="10" t="s">
        <v>176</v>
      </c>
      <c r="R281" s="76" t="s">
        <v>8711</v>
      </c>
    </row>
    <row r="282" spans="1:19" s="17" customFormat="1">
      <c r="A282" s="1087">
        <v>44547</v>
      </c>
      <c r="B282" s="76" t="s">
        <v>23</v>
      </c>
      <c r="C282" s="11" t="s">
        <v>9217</v>
      </c>
      <c r="D282" s="29" t="s">
        <v>9218</v>
      </c>
      <c r="E282" s="913" t="s">
        <v>7189</v>
      </c>
      <c r="F282" s="913" t="s">
        <v>7190</v>
      </c>
      <c r="G282" s="16">
        <v>2</v>
      </c>
      <c r="H282" s="1044">
        <v>160000</v>
      </c>
      <c r="I282" s="17">
        <f t="shared" si="18"/>
        <v>320000</v>
      </c>
      <c r="J282" s="17">
        <f>I282*35%</f>
        <v>112000</v>
      </c>
      <c r="K282" s="171">
        <f t="shared" si="19"/>
        <v>208000</v>
      </c>
      <c r="L282" s="17">
        <v>70000</v>
      </c>
      <c r="N282" s="17">
        <f t="shared" si="20"/>
        <v>278000</v>
      </c>
      <c r="O282" s="76" t="s">
        <v>23</v>
      </c>
      <c r="P282" s="183"/>
      <c r="Q282" s="10" t="s">
        <v>5552</v>
      </c>
      <c r="R282" s="1039" t="s">
        <v>8716</v>
      </c>
    </row>
    <row r="283" spans="1:19" s="17" customFormat="1">
      <c r="A283" s="1087">
        <v>44547</v>
      </c>
      <c r="B283" s="76" t="s">
        <v>23</v>
      </c>
      <c r="C283" s="11" t="s">
        <v>9217</v>
      </c>
      <c r="D283" s="29" t="s">
        <v>9219</v>
      </c>
      <c r="E283" s="913" t="s">
        <v>735</v>
      </c>
      <c r="F283" s="913" t="s">
        <v>2302</v>
      </c>
      <c r="G283" s="16">
        <v>1</v>
      </c>
      <c r="H283" s="1044">
        <v>150000</v>
      </c>
      <c r="I283" s="17">
        <f t="shared" si="18"/>
        <v>150000</v>
      </c>
      <c r="J283" s="17">
        <f t="shared" ref="J283:J337" si="23">I283*35%</f>
        <v>52500</v>
      </c>
      <c r="K283" s="171">
        <f t="shared" si="19"/>
        <v>97500</v>
      </c>
      <c r="N283" s="17">
        <f t="shared" si="20"/>
        <v>97500</v>
      </c>
      <c r="O283" s="76" t="s">
        <v>23</v>
      </c>
      <c r="P283" s="183"/>
      <c r="Q283" s="10" t="s">
        <v>5552</v>
      </c>
      <c r="R283" s="1029" t="s">
        <v>8716</v>
      </c>
    </row>
    <row r="284" spans="1:19" s="17" customFormat="1">
      <c r="A284" s="1087">
        <v>44547</v>
      </c>
      <c r="B284" s="76" t="s">
        <v>23</v>
      </c>
      <c r="C284" s="11" t="s">
        <v>9217</v>
      </c>
      <c r="D284" s="29" t="s">
        <v>9220</v>
      </c>
      <c r="E284" s="934" t="s">
        <v>5477</v>
      </c>
      <c r="F284" s="934" t="s">
        <v>5478</v>
      </c>
      <c r="G284" s="16">
        <v>1</v>
      </c>
      <c r="H284" s="1044">
        <v>150000</v>
      </c>
      <c r="I284" s="17">
        <f t="shared" si="18"/>
        <v>150000</v>
      </c>
      <c r="J284" s="17">
        <f t="shared" si="23"/>
        <v>52500</v>
      </c>
      <c r="K284" s="171">
        <f t="shared" si="19"/>
        <v>97500</v>
      </c>
      <c r="N284" s="17">
        <f t="shared" si="20"/>
        <v>97500</v>
      </c>
      <c r="O284" s="76" t="s">
        <v>23</v>
      </c>
      <c r="P284" s="183"/>
      <c r="Q284" s="10" t="s">
        <v>5552</v>
      </c>
      <c r="R284" s="1029" t="s">
        <v>8716</v>
      </c>
    </row>
    <row r="285" spans="1:19" s="17" customFormat="1">
      <c r="A285" s="1087">
        <v>44547</v>
      </c>
      <c r="B285" s="76" t="s">
        <v>23</v>
      </c>
      <c r="C285" s="11" t="s">
        <v>9217</v>
      </c>
      <c r="D285" s="29" t="s">
        <v>9221</v>
      </c>
      <c r="E285" s="934" t="s">
        <v>5776</v>
      </c>
      <c r="F285" s="934" t="s">
        <v>5777</v>
      </c>
      <c r="G285" s="16">
        <v>1</v>
      </c>
      <c r="H285" s="1044">
        <v>101000</v>
      </c>
      <c r="I285" s="17">
        <f t="shared" si="18"/>
        <v>101000</v>
      </c>
      <c r="J285" s="17">
        <f t="shared" si="23"/>
        <v>35350</v>
      </c>
      <c r="K285" s="171">
        <f t="shared" si="19"/>
        <v>65650</v>
      </c>
      <c r="N285" s="17">
        <f t="shared" si="20"/>
        <v>65650</v>
      </c>
      <c r="O285" s="76" t="s">
        <v>23</v>
      </c>
      <c r="P285" s="72"/>
      <c r="Q285" s="10" t="s">
        <v>5552</v>
      </c>
      <c r="R285" s="1029" t="s">
        <v>8716</v>
      </c>
    </row>
    <row r="286" spans="1:19" s="17" customFormat="1">
      <c r="A286" s="1087">
        <v>44547</v>
      </c>
      <c r="B286" s="76" t="s">
        <v>23</v>
      </c>
      <c r="C286" s="11" t="s">
        <v>9217</v>
      </c>
      <c r="D286" s="29" t="s">
        <v>9222</v>
      </c>
      <c r="E286" s="913" t="s">
        <v>9223</v>
      </c>
      <c r="F286" s="913" t="s">
        <v>9224</v>
      </c>
      <c r="G286" s="16">
        <v>1</v>
      </c>
      <c r="H286" s="1044">
        <v>607000</v>
      </c>
      <c r="I286" s="17">
        <f t="shared" si="18"/>
        <v>607000</v>
      </c>
      <c r="J286" s="17">
        <f t="shared" si="23"/>
        <v>212450</v>
      </c>
      <c r="K286" s="171">
        <f t="shared" si="19"/>
        <v>394550</v>
      </c>
      <c r="N286" s="17">
        <f t="shared" si="20"/>
        <v>394550</v>
      </c>
      <c r="O286" s="76" t="s">
        <v>23</v>
      </c>
      <c r="P286" s="72"/>
      <c r="Q286" s="10" t="s">
        <v>5552</v>
      </c>
      <c r="R286" s="1029" t="s">
        <v>8716</v>
      </c>
    </row>
    <row r="287" spans="1:19" s="17" customFormat="1">
      <c r="A287" s="1087">
        <v>44547</v>
      </c>
      <c r="B287" s="76" t="s">
        <v>23</v>
      </c>
      <c r="C287" s="11" t="s">
        <v>9217</v>
      </c>
      <c r="D287" s="29" t="s">
        <v>9225</v>
      </c>
      <c r="E287" s="934" t="s">
        <v>9226</v>
      </c>
      <c r="F287" s="934" t="s">
        <v>9227</v>
      </c>
      <c r="G287" s="16">
        <v>1</v>
      </c>
      <c r="H287" s="1044">
        <v>110000</v>
      </c>
      <c r="I287" s="17">
        <f t="shared" si="18"/>
        <v>110000</v>
      </c>
      <c r="J287" s="17">
        <f t="shared" si="23"/>
        <v>38500</v>
      </c>
      <c r="K287" s="171">
        <f t="shared" si="19"/>
        <v>71500</v>
      </c>
      <c r="N287" s="17">
        <f t="shared" si="20"/>
        <v>71500</v>
      </c>
      <c r="O287" s="76" t="s">
        <v>23</v>
      </c>
      <c r="P287" s="72"/>
      <c r="Q287" s="10" t="s">
        <v>5552</v>
      </c>
      <c r="R287" s="1029" t="s">
        <v>8716</v>
      </c>
    </row>
    <row r="288" spans="1:19" s="17" customFormat="1">
      <c r="A288" s="1087">
        <v>44547</v>
      </c>
      <c r="B288" s="76" t="s">
        <v>23</v>
      </c>
      <c r="C288" s="11" t="s">
        <v>9217</v>
      </c>
      <c r="D288" s="29" t="s">
        <v>9228</v>
      </c>
      <c r="E288" s="913" t="s">
        <v>9229</v>
      </c>
      <c r="F288" s="913" t="s">
        <v>9230</v>
      </c>
      <c r="G288" s="16">
        <v>1</v>
      </c>
      <c r="H288" s="1044">
        <v>94000</v>
      </c>
      <c r="I288" s="17">
        <f t="shared" si="18"/>
        <v>94000</v>
      </c>
      <c r="J288" s="17">
        <f t="shared" si="23"/>
        <v>32900</v>
      </c>
      <c r="K288" s="171">
        <f t="shared" si="19"/>
        <v>61100</v>
      </c>
      <c r="N288" s="17">
        <f t="shared" si="20"/>
        <v>61100</v>
      </c>
      <c r="O288" s="76" t="s">
        <v>23</v>
      </c>
      <c r="P288" s="183"/>
      <c r="Q288" s="10" t="s">
        <v>5552</v>
      </c>
      <c r="R288" s="1029" t="s">
        <v>8716</v>
      </c>
    </row>
    <row r="289" spans="1:23" s="17" customFormat="1">
      <c r="A289" s="1087">
        <v>44547</v>
      </c>
      <c r="B289" s="76" t="s">
        <v>23</v>
      </c>
      <c r="C289" s="11" t="s">
        <v>9217</v>
      </c>
      <c r="D289" s="29" t="s">
        <v>9231</v>
      </c>
      <c r="E289" s="934" t="s">
        <v>5130</v>
      </c>
      <c r="F289" s="934" t="s">
        <v>1858</v>
      </c>
      <c r="G289" s="16">
        <v>1</v>
      </c>
      <c r="H289" s="1044">
        <v>66000</v>
      </c>
      <c r="I289" s="17">
        <f t="shared" si="18"/>
        <v>66000</v>
      </c>
      <c r="J289" s="17">
        <f t="shared" si="23"/>
        <v>23100</v>
      </c>
      <c r="K289" s="171">
        <f t="shared" si="19"/>
        <v>42900</v>
      </c>
      <c r="N289" s="17">
        <f t="shared" si="20"/>
        <v>42900</v>
      </c>
      <c r="O289" s="76" t="s">
        <v>23</v>
      </c>
      <c r="P289" s="72"/>
      <c r="Q289" s="10" t="s">
        <v>5552</v>
      </c>
      <c r="R289" s="1029" t="s">
        <v>8716</v>
      </c>
    </row>
    <row r="290" spans="1:23" s="17" customFormat="1">
      <c r="A290" s="1087">
        <v>44547</v>
      </c>
      <c r="B290" s="76" t="s">
        <v>23</v>
      </c>
      <c r="C290" s="11" t="s">
        <v>9217</v>
      </c>
      <c r="D290" s="29" t="s">
        <v>9232</v>
      </c>
      <c r="E290" s="934" t="s">
        <v>9233</v>
      </c>
      <c r="F290" s="934" t="s">
        <v>9234</v>
      </c>
      <c r="G290" s="16">
        <v>1</v>
      </c>
      <c r="H290" s="1044">
        <v>65500</v>
      </c>
      <c r="I290" s="17">
        <f t="shared" si="18"/>
        <v>65500</v>
      </c>
      <c r="J290" s="17">
        <f t="shared" si="23"/>
        <v>22925</v>
      </c>
      <c r="K290" s="171">
        <f t="shared" si="19"/>
        <v>42575</v>
      </c>
      <c r="N290" s="17">
        <f t="shared" si="20"/>
        <v>42575</v>
      </c>
      <c r="O290" s="76" t="s">
        <v>23</v>
      </c>
      <c r="P290" s="72"/>
      <c r="Q290" s="10" t="s">
        <v>5552</v>
      </c>
      <c r="R290" s="1029" t="s">
        <v>8716</v>
      </c>
    </row>
    <row r="291" spans="1:23" s="17" customFormat="1">
      <c r="A291" s="1087">
        <v>44547</v>
      </c>
      <c r="B291" s="76" t="s">
        <v>23</v>
      </c>
      <c r="C291" s="11" t="s">
        <v>9217</v>
      </c>
      <c r="D291" s="29" t="s">
        <v>9235</v>
      </c>
      <c r="E291" s="934" t="s">
        <v>1060</v>
      </c>
      <c r="F291" s="934" t="s">
        <v>1061</v>
      </c>
      <c r="G291" s="16">
        <v>1</v>
      </c>
      <c r="H291" s="1044">
        <v>121500</v>
      </c>
      <c r="I291" s="17">
        <f t="shared" si="18"/>
        <v>121500</v>
      </c>
      <c r="J291" s="17">
        <f t="shared" si="23"/>
        <v>42525</v>
      </c>
      <c r="K291" s="171">
        <f t="shared" si="19"/>
        <v>78975</v>
      </c>
      <c r="N291" s="17">
        <f t="shared" si="20"/>
        <v>78975</v>
      </c>
      <c r="O291" s="76" t="s">
        <v>23</v>
      </c>
      <c r="P291" s="72"/>
      <c r="Q291" s="10" t="s">
        <v>5552</v>
      </c>
      <c r="R291" s="1029" t="s">
        <v>8716</v>
      </c>
    </row>
    <row r="292" spans="1:23" s="17" customFormat="1">
      <c r="A292" s="1087">
        <v>44547</v>
      </c>
      <c r="B292" s="76" t="s">
        <v>23</v>
      </c>
      <c r="C292" s="11" t="s">
        <v>9217</v>
      </c>
      <c r="D292" s="29" t="s">
        <v>9236</v>
      </c>
      <c r="E292" s="934" t="s">
        <v>4659</v>
      </c>
      <c r="F292" s="934" t="s">
        <v>4660</v>
      </c>
      <c r="G292" s="16">
        <v>1</v>
      </c>
      <c r="H292" s="1044">
        <v>168500</v>
      </c>
      <c r="I292" s="17">
        <f t="shared" si="18"/>
        <v>168500</v>
      </c>
      <c r="J292" s="17">
        <f t="shared" si="23"/>
        <v>58974.999999999993</v>
      </c>
      <c r="K292" s="171">
        <f t="shared" si="19"/>
        <v>109525</v>
      </c>
      <c r="N292" s="17">
        <f t="shared" si="20"/>
        <v>109525</v>
      </c>
      <c r="O292" s="76" t="s">
        <v>23</v>
      </c>
      <c r="P292" s="183"/>
      <c r="Q292" s="10" t="s">
        <v>5552</v>
      </c>
      <c r="R292" s="1029" t="s">
        <v>8716</v>
      </c>
    </row>
    <row r="293" spans="1:23" s="17" customFormat="1">
      <c r="A293" s="1087">
        <v>44547</v>
      </c>
      <c r="B293" s="76" t="s">
        <v>23</v>
      </c>
      <c r="C293" s="11" t="s">
        <v>9217</v>
      </c>
      <c r="D293" s="29" t="s">
        <v>9237</v>
      </c>
      <c r="E293" s="934" t="s">
        <v>9238</v>
      </c>
      <c r="F293" s="934" t="s">
        <v>2144</v>
      </c>
      <c r="G293" s="16">
        <v>1</v>
      </c>
      <c r="H293" s="1044">
        <v>122500</v>
      </c>
      <c r="I293" s="17">
        <f t="shared" si="18"/>
        <v>122500</v>
      </c>
      <c r="J293" s="17">
        <f t="shared" si="23"/>
        <v>42875</v>
      </c>
      <c r="K293" s="171">
        <f t="shared" si="19"/>
        <v>79625</v>
      </c>
      <c r="N293" s="17">
        <f t="shared" si="20"/>
        <v>79625</v>
      </c>
      <c r="O293" s="76" t="s">
        <v>23</v>
      </c>
      <c r="P293" s="92"/>
      <c r="Q293" s="10" t="s">
        <v>5552</v>
      </c>
      <c r="R293" s="1029" t="s">
        <v>8716</v>
      </c>
    </row>
    <row r="294" spans="1:23" s="17" customFormat="1">
      <c r="A294" s="1087">
        <v>44547</v>
      </c>
      <c r="B294" s="76" t="s">
        <v>23</v>
      </c>
      <c r="C294" s="11" t="s">
        <v>9217</v>
      </c>
      <c r="D294" s="29" t="s">
        <v>9239</v>
      </c>
      <c r="E294" s="934" t="s">
        <v>3177</v>
      </c>
      <c r="F294" s="934" t="s">
        <v>3178</v>
      </c>
      <c r="G294" s="16">
        <v>1</v>
      </c>
      <c r="H294" s="1044">
        <v>74000</v>
      </c>
      <c r="I294" s="17">
        <f t="shared" si="18"/>
        <v>74000</v>
      </c>
      <c r="J294" s="17">
        <f t="shared" si="23"/>
        <v>25900</v>
      </c>
      <c r="K294" s="171">
        <f t="shared" si="19"/>
        <v>48100</v>
      </c>
      <c r="N294" s="17">
        <f t="shared" si="20"/>
        <v>48100</v>
      </c>
      <c r="O294" s="76" t="s">
        <v>23</v>
      </c>
      <c r="P294" s="72"/>
      <c r="Q294" s="10" t="s">
        <v>5552</v>
      </c>
      <c r="R294" s="1029" t="s">
        <v>8716</v>
      </c>
    </row>
    <row r="295" spans="1:23" s="20" customFormat="1">
      <c r="A295" s="1087">
        <v>44547</v>
      </c>
      <c r="B295" s="76" t="s">
        <v>23</v>
      </c>
      <c r="C295" s="11" t="s">
        <v>9217</v>
      </c>
      <c r="D295" s="29" t="s">
        <v>9240</v>
      </c>
      <c r="E295" s="934" t="s">
        <v>2146</v>
      </c>
      <c r="F295" s="934" t="s">
        <v>2147</v>
      </c>
      <c r="G295" s="16">
        <v>1</v>
      </c>
      <c r="H295" s="1044">
        <v>97500</v>
      </c>
      <c r="I295" s="17">
        <f t="shared" si="18"/>
        <v>97500</v>
      </c>
      <c r="J295" s="17">
        <f t="shared" si="23"/>
        <v>34125</v>
      </c>
      <c r="K295" s="171">
        <f t="shared" si="19"/>
        <v>63375</v>
      </c>
      <c r="M295" s="17"/>
      <c r="N295" s="17">
        <f t="shared" si="20"/>
        <v>63375</v>
      </c>
      <c r="O295" s="76" t="s">
        <v>23</v>
      </c>
      <c r="P295" s="183"/>
      <c r="Q295" s="10" t="s">
        <v>5552</v>
      </c>
      <c r="R295" s="1029" t="s">
        <v>8716</v>
      </c>
      <c r="S295" s="17"/>
      <c r="T295" s="17"/>
      <c r="U295" s="17"/>
      <c r="V295" s="17"/>
      <c r="W295" s="17"/>
    </row>
    <row r="296" spans="1:23" s="20" customFormat="1">
      <c r="A296" s="1087">
        <v>44547</v>
      </c>
      <c r="B296" s="76" t="s">
        <v>23</v>
      </c>
      <c r="C296" s="11" t="s">
        <v>9217</v>
      </c>
      <c r="D296" s="29" t="s">
        <v>9241</v>
      </c>
      <c r="E296" s="934" t="s">
        <v>9242</v>
      </c>
      <c r="F296" s="934" t="s">
        <v>9243</v>
      </c>
      <c r="G296" s="16">
        <v>1</v>
      </c>
      <c r="H296" s="1044">
        <v>90000</v>
      </c>
      <c r="I296" s="17">
        <f t="shared" si="18"/>
        <v>90000</v>
      </c>
      <c r="J296" s="17">
        <f t="shared" si="23"/>
        <v>31499.999999999996</v>
      </c>
      <c r="K296" s="171">
        <f t="shared" si="19"/>
        <v>58500</v>
      </c>
      <c r="M296" s="17"/>
      <c r="N296" s="17">
        <f t="shared" si="20"/>
        <v>58500</v>
      </c>
      <c r="O296" s="76" t="s">
        <v>23</v>
      </c>
      <c r="P296" s="72"/>
      <c r="Q296" s="10" t="s">
        <v>5552</v>
      </c>
      <c r="R296" s="1029" t="s">
        <v>8716</v>
      </c>
      <c r="S296" s="17"/>
      <c r="T296" s="17"/>
      <c r="U296" s="17"/>
      <c r="V296" s="17"/>
      <c r="W296" s="17"/>
    </row>
    <row r="297" spans="1:23" s="20" customFormat="1">
      <c r="A297" s="1087">
        <v>44547</v>
      </c>
      <c r="B297" s="76" t="s">
        <v>23</v>
      </c>
      <c r="C297" s="11" t="s">
        <v>9217</v>
      </c>
      <c r="D297" s="29" t="s">
        <v>9244</v>
      </c>
      <c r="E297" s="934" t="s">
        <v>9245</v>
      </c>
      <c r="F297" s="934" t="s">
        <v>9246</v>
      </c>
      <c r="G297" s="16">
        <v>1</v>
      </c>
      <c r="H297" s="1044">
        <v>139000</v>
      </c>
      <c r="I297" s="17">
        <f t="shared" si="18"/>
        <v>139000</v>
      </c>
      <c r="J297" s="17">
        <f t="shared" si="23"/>
        <v>48650</v>
      </c>
      <c r="K297" s="171">
        <f t="shared" si="19"/>
        <v>90350</v>
      </c>
      <c r="N297" s="17">
        <f t="shared" si="20"/>
        <v>90350</v>
      </c>
      <c r="O297" s="76" t="s">
        <v>23</v>
      </c>
      <c r="P297" s="183"/>
      <c r="Q297" s="10" t="s">
        <v>5552</v>
      </c>
      <c r="R297" s="1029" t="s">
        <v>8716</v>
      </c>
      <c r="S297" s="17"/>
      <c r="T297" s="17"/>
      <c r="U297" s="17"/>
      <c r="V297" s="17"/>
      <c r="W297" s="17"/>
    </row>
    <row r="298" spans="1:23" s="20" customFormat="1">
      <c r="A298" s="1087">
        <v>44547</v>
      </c>
      <c r="B298" s="76" t="s">
        <v>23</v>
      </c>
      <c r="C298" s="11" t="s">
        <v>9217</v>
      </c>
      <c r="D298" s="29" t="s">
        <v>9247</v>
      </c>
      <c r="E298" s="913" t="s">
        <v>9248</v>
      </c>
      <c r="F298" s="913" t="s">
        <v>9249</v>
      </c>
      <c r="G298" s="16">
        <v>1</v>
      </c>
      <c r="H298" s="1044">
        <v>105000</v>
      </c>
      <c r="I298" s="17">
        <f t="shared" si="18"/>
        <v>105000</v>
      </c>
      <c r="J298" s="17">
        <f t="shared" si="23"/>
        <v>36750</v>
      </c>
      <c r="K298" s="171">
        <f t="shared" si="19"/>
        <v>68250</v>
      </c>
      <c r="M298" s="17"/>
      <c r="N298" s="17">
        <f t="shared" si="20"/>
        <v>68250</v>
      </c>
      <c r="O298" s="76" t="s">
        <v>23</v>
      </c>
      <c r="P298" s="72"/>
      <c r="Q298" s="10" t="s">
        <v>5552</v>
      </c>
      <c r="R298" s="1029" t="s">
        <v>8716</v>
      </c>
      <c r="S298" s="17"/>
      <c r="T298" s="17"/>
      <c r="U298" s="17"/>
      <c r="V298" s="17"/>
      <c r="W298" s="17"/>
    </row>
    <row r="299" spans="1:23" s="20" customFormat="1">
      <c r="A299" s="1087">
        <v>44547</v>
      </c>
      <c r="B299" s="76" t="s">
        <v>23</v>
      </c>
      <c r="C299" s="11" t="s">
        <v>9217</v>
      </c>
      <c r="D299" s="29" t="s">
        <v>9250</v>
      </c>
      <c r="E299" s="934" t="s">
        <v>5131</v>
      </c>
      <c r="F299" s="934" t="s">
        <v>5132</v>
      </c>
      <c r="G299" s="16">
        <v>1</v>
      </c>
      <c r="H299" s="1044">
        <v>95000</v>
      </c>
      <c r="I299" s="17">
        <f t="shared" si="18"/>
        <v>95000</v>
      </c>
      <c r="J299" s="17">
        <f t="shared" si="23"/>
        <v>33250</v>
      </c>
      <c r="K299" s="171">
        <f t="shared" si="19"/>
        <v>61750</v>
      </c>
      <c r="M299" s="17"/>
      <c r="N299" s="17">
        <f t="shared" si="20"/>
        <v>61750</v>
      </c>
      <c r="O299" s="76" t="s">
        <v>23</v>
      </c>
      <c r="P299" s="183"/>
      <c r="Q299" s="10" t="s">
        <v>5552</v>
      </c>
      <c r="R299" s="1029" t="s">
        <v>8716</v>
      </c>
      <c r="S299" s="17"/>
      <c r="T299" s="17"/>
      <c r="U299" s="17"/>
      <c r="V299" s="17"/>
      <c r="W299" s="17"/>
    </row>
    <row r="300" spans="1:23" s="20" customFormat="1">
      <c r="A300" s="1087">
        <v>44547</v>
      </c>
      <c r="B300" s="76" t="s">
        <v>23</v>
      </c>
      <c r="C300" s="11" t="s">
        <v>9217</v>
      </c>
      <c r="D300" s="29" t="s">
        <v>9251</v>
      </c>
      <c r="E300" s="934" t="s">
        <v>2124</v>
      </c>
      <c r="F300" s="934" t="s">
        <v>2125</v>
      </c>
      <c r="G300" s="16">
        <v>1</v>
      </c>
      <c r="H300" s="1044">
        <v>90000</v>
      </c>
      <c r="I300" s="17">
        <f t="shared" si="18"/>
        <v>90000</v>
      </c>
      <c r="J300" s="17">
        <f t="shared" si="23"/>
        <v>31499.999999999996</v>
      </c>
      <c r="K300" s="171">
        <f t="shared" si="19"/>
        <v>58500</v>
      </c>
      <c r="M300" s="17"/>
      <c r="N300" s="17">
        <f t="shared" si="20"/>
        <v>58500</v>
      </c>
      <c r="O300" s="76" t="s">
        <v>23</v>
      </c>
      <c r="P300" s="72"/>
      <c r="Q300" s="10" t="s">
        <v>5552</v>
      </c>
      <c r="R300" s="1029" t="s">
        <v>8716</v>
      </c>
      <c r="S300" s="17"/>
      <c r="T300" s="17"/>
      <c r="U300" s="17"/>
      <c r="V300" s="17"/>
      <c r="W300" s="17"/>
    </row>
    <row r="301" spans="1:23" s="20" customFormat="1">
      <c r="A301" s="1087">
        <v>44547</v>
      </c>
      <c r="B301" s="76" t="s">
        <v>23</v>
      </c>
      <c r="C301" s="11" t="s">
        <v>9217</v>
      </c>
      <c r="D301" s="29" t="s">
        <v>9252</v>
      </c>
      <c r="E301" s="934" t="s">
        <v>9253</v>
      </c>
      <c r="F301" s="934" t="s">
        <v>813</v>
      </c>
      <c r="G301" s="16">
        <v>1</v>
      </c>
      <c r="H301" s="1044">
        <v>140000</v>
      </c>
      <c r="I301" s="17">
        <f t="shared" si="18"/>
        <v>140000</v>
      </c>
      <c r="J301" s="17">
        <f t="shared" si="23"/>
        <v>49000</v>
      </c>
      <c r="K301" s="171">
        <f t="shared" si="19"/>
        <v>91000</v>
      </c>
      <c r="M301" s="17"/>
      <c r="N301" s="17">
        <f t="shared" si="20"/>
        <v>91000</v>
      </c>
      <c r="O301" s="76" t="s">
        <v>23</v>
      </c>
      <c r="P301" s="183"/>
      <c r="Q301" s="10" t="s">
        <v>5552</v>
      </c>
      <c r="R301" s="1029" t="s">
        <v>8716</v>
      </c>
      <c r="S301" s="17"/>
      <c r="T301" s="17"/>
      <c r="U301" s="17"/>
      <c r="V301" s="17"/>
      <c r="W301" s="17"/>
    </row>
    <row r="302" spans="1:23" s="20" customFormat="1">
      <c r="A302" s="1087">
        <v>44547</v>
      </c>
      <c r="B302" s="76" t="s">
        <v>23</v>
      </c>
      <c r="C302" s="11" t="s">
        <v>9217</v>
      </c>
      <c r="D302" s="29" t="s">
        <v>9254</v>
      </c>
      <c r="E302" s="934" t="s">
        <v>5615</v>
      </c>
      <c r="F302" s="934" t="s">
        <v>5616</v>
      </c>
      <c r="G302" s="16">
        <v>1</v>
      </c>
      <c r="H302" s="1044">
        <v>75500</v>
      </c>
      <c r="I302" s="17">
        <f t="shared" si="18"/>
        <v>75500</v>
      </c>
      <c r="J302" s="17">
        <f t="shared" si="23"/>
        <v>26425</v>
      </c>
      <c r="K302" s="171">
        <f t="shared" si="19"/>
        <v>49075</v>
      </c>
      <c r="M302" s="17"/>
      <c r="N302" s="17">
        <f t="shared" si="20"/>
        <v>49075</v>
      </c>
      <c r="O302" s="76" t="s">
        <v>23</v>
      </c>
      <c r="P302" s="183"/>
      <c r="Q302" s="10" t="s">
        <v>5552</v>
      </c>
      <c r="R302" s="1029" t="s">
        <v>8716</v>
      </c>
      <c r="S302" s="17"/>
      <c r="T302" s="17"/>
      <c r="U302" s="17"/>
      <c r="V302" s="17"/>
      <c r="W302" s="17"/>
    </row>
    <row r="303" spans="1:23" s="20" customFormat="1">
      <c r="A303" s="1087">
        <v>44547</v>
      </c>
      <c r="B303" s="76" t="s">
        <v>23</v>
      </c>
      <c r="C303" s="11" t="s">
        <v>9217</v>
      </c>
      <c r="D303" s="29" t="s">
        <v>9255</v>
      </c>
      <c r="E303" s="934" t="s">
        <v>4991</v>
      </c>
      <c r="F303" s="934" t="s">
        <v>4992</v>
      </c>
      <c r="G303" s="16">
        <v>1</v>
      </c>
      <c r="H303" s="1044">
        <v>90000</v>
      </c>
      <c r="I303" s="17">
        <f t="shared" si="18"/>
        <v>90000</v>
      </c>
      <c r="J303" s="17">
        <f t="shared" si="23"/>
        <v>31499.999999999996</v>
      </c>
      <c r="K303" s="171">
        <f t="shared" si="19"/>
        <v>58500</v>
      </c>
      <c r="M303" s="17"/>
      <c r="N303" s="17">
        <f t="shared" si="20"/>
        <v>58500</v>
      </c>
      <c r="O303" s="76" t="s">
        <v>23</v>
      </c>
      <c r="P303" s="183"/>
      <c r="Q303" s="10" t="s">
        <v>5552</v>
      </c>
      <c r="R303" s="1029" t="s">
        <v>8716</v>
      </c>
      <c r="S303" s="17"/>
      <c r="T303" s="17"/>
      <c r="U303" s="17"/>
      <c r="V303" s="17"/>
      <c r="W303" s="17"/>
    </row>
    <row r="304" spans="1:23" s="20" customFormat="1">
      <c r="A304" s="1087">
        <v>44547</v>
      </c>
      <c r="B304" s="76" t="s">
        <v>23</v>
      </c>
      <c r="C304" s="11" t="s">
        <v>9217</v>
      </c>
      <c r="D304" s="29" t="s">
        <v>9256</v>
      </c>
      <c r="E304" s="913" t="s">
        <v>9257</v>
      </c>
      <c r="F304" s="913" t="s">
        <v>3372</v>
      </c>
      <c r="G304" s="16">
        <v>1</v>
      </c>
      <c r="H304" s="1044">
        <v>53000</v>
      </c>
      <c r="I304" s="17">
        <f t="shared" si="18"/>
        <v>53000</v>
      </c>
      <c r="J304" s="17">
        <f t="shared" si="23"/>
        <v>18550</v>
      </c>
      <c r="K304" s="171">
        <f t="shared" si="19"/>
        <v>34450</v>
      </c>
      <c r="M304" s="17"/>
      <c r="N304" s="17">
        <f t="shared" si="20"/>
        <v>34450</v>
      </c>
      <c r="O304" s="76" t="s">
        <v>23</v>
      </c>
      <c r="P304" s="183"/>
      <c r="Q304" s="10" t="s">
        <v>5552</v>
      </c>
      <c r="R304" s="1029" t="s">
        <v>8716</v>
      </c>
      <c r="S304" s="17"/>
      <c r="T304" s="17"/>
      <c r="U304" s="17"/>
      <c r="V304" s="17"/>
      <c r="W304" s="17"/>
    </row>
    <row r="305" spans="1:23" s="20" customFormat="1">
      <c r="A305" s="1087">
        <v>44547</v>
      </c>
      <c r="B305" s="76" t="s">
        <v>23</v>
      </c>
      <c r="C305" s="11" t="s">
        <v>9217</v>
      </c>
      <c r="D305" s="29" t="s">
        <v>9258</v>
      </c>
      <c r="E305" s="934" t="s">
        <v>9259</v>
      </c>
      <c r="F305" s="934" t="s">
        <v>9260</v>
      </c>
      <c r="G305" s="16">
        <v>1</v>
      </c>
      <c r="H305" s="1044">
        <v>107000</v>
      </c>
      <c r="I305" s="17">
        <f t="shared" si="18"/>
        <v>107000</v>
      </c>
      <c r="J305" s="17">
        <f t="shared" si="23"/>
        <v>37450</v>
      </c>
      <c r="K305" s="171">
        <f t="shared" si="19"/>
        <v>69550</v>
      </c>
      <c r="M305" s="17"/>
      <c r="N305" s="17">
        <f t="shared" si="20"/>
        <v>69550</v>
      </c>
      <c r="O305" s="76" t="s">
        <v>23</v>
      </c>
      <c r="P305" s="183"/>
      <c r="Q305" s="10" t="s">
        <v>5552</v>
      </c>
      <c r="R305" s="1029" t="s">
        <v>8716</v>
      </c>
      <c r="S305" s="13"/>
      <c r="T305" s="17"/>
      <c r="U305" s="17"/>
      <c r="V305" s="17"/>
      <c r="W305" s="17"/>
    </row>
    <row r="306" spans="1:23" s="20" customFormat="1">
      <c r="A306" s="1087">
        <v>44547</v>
      </c>
      <c r="B306" s="76" t="s">
        <v>23</v>
      </c>
      <c r="C306" s="11" t="s">
        <v>9217</v>
      </c>
      <c r="D306" s="29" t="s">
        <v>9261</v>
      </c>
      <c r="E306" s="934" t="s">
        <v>9262</v>
      </c>
      <c r="F306" s="934" t="s">
        <v>2107</v>
      </c>
      <c r="G306" s="16">
        <v>1</v>
      </c>
      <c r="H306" s="1044">
        <v>90500</v>
      </c>
      <c r="I306" s="17">
        <f t="shared" si="18"/>
        <v>90500</v>
      </c>
      <c r="J306" s="17">
        <f t="shared" si="23"/>
        <v>31674.999999999996</v>
      </c>
      <c r="K306" s="171">
        <f t="shared" si="19"/>
        <v>58825</v>
      </c>
      <c r="M306" s="17"/>
      <c r="N306" s="17">
        <f t="shared" si="20"/>
        <v>58825</v>
      </c>
      <c r="O306" s="76" t="s">
        <v>23</v>
      </c>
      <c r="P306" s="183"/>
      <c r="Q306" s="10" t="s">
        <v>5552</v>
      </c>
      <c r="R306" s="1029" t="s">
        <v>8716</v>
      </c>
      <c r="S306" s="17"/>
      <c r="T306" s="17"/>
      <c r="U306" s="17"/>
      <c r="V306" s="17"/>
      <c r="W306" s="17"/>
    </row>
    <row r="307" spans="1:23" s="20" customFormat="1">
      <c r="A307" s="1087">
        <v>44547</v>
      </c>
      <c r="B307" s="76" t="s">
        <v>23</v>
      </c>
      <c r="C307" s="11" t="s">
        <v>9217</v>
      </c>
      <c r="D307" s="29" t="s">
        <v>9263</v>
      </c>
      <c r="E307" s="934" t="s">
        <v>998</v>
      </c>
      <c r="F307" s="934" t="s">
        <v>999</v>
      </c>
      <c r="G307" s="16">
        <v>1</v>
      </c>
      <c r="H307" s="1044">
        <v>69000</v>
      </c>
      <c r="I307" s="17">
        <f t="shared" si="18"/>
        <v>69000</v>
      </c>
      <c r="J307" s="17">
        <f t="shared" si="23"/>
        <v>24150</v>
      </c>
      <c r="K307" s="171">
        <f t="shared" si="19"/>
        <v>44850</v>
      </c>
      <c r="M307" s="17"/>
      <c r="N307" s="17">
        <f t="shared" si="20"/>
        <v>44850</v>
      </c>
      <c r="O307" s="76" t="s">
        <v>23</v>
      </c>
      <c r="P307" s="183"/>
      <c r="Q307" s="10" t="s">
        <v>5552</v>
      </c>
      <c r="R307" s="1029" t="s">
        <v>8716</v>
      </c>
      <c r="S307" s="17"/>
      <c r="T307" s="17"/>
      <c r="U307" s="17"/>
      <c r="V307" s="17"/>
      <c r="W307" s="17"/>
    </row>
    <row r="308" spans="1:23" s="20" customFormat="1">
      <c r="A308" s="1087">
        <v>44547</v>
      </c>
      <c r="B308" s="76" t="s">
        <v>23</v>
      </c>
      <c r="C308" s="11" t="s">
        <v>9217</v>
      </c>
      <c r="D308" s="29" t="s">
        <v>9264</v>
      </c>
      <c r="E308" s="913" t="s">
        <v>435</v>
      </c>
      <c r="F308" s="913" t="s">
        <v>436</v>
      </c>
      <c r="G308" s="16">
        <v>1</v>
      </c>
      <c r="H308" s="1044">
        <v>64400</v>
      </c>
      <c r="I308" s="17">
        <f t="shared" si="18"/>
        <v>64400</v>
      </c>
      <c r="J308" s="17">
        <f t="shared" si="23"/>
        <v>22540</v>
      </c>
      <c r="K308" s="171">
        <f t="shared" si="19"/>
        <v>41860</v>
      </c>
      <c r="M308" s="17"/>
      <c r="N308" s="17">
        <f t="shared" si="20"/>
        <v>41860</v>
      </c>
      <c r="O308" s="76" t="s">
        <v>23</v>
      </c>
      <c r="P308" s="72"/>
      <c r="Q308" s="10" t="s">
        <v>5552</v>
      </c>
      <c r="R308" s="1029" t="s">
        <v>8716</v>
      </c>
      <c r="S308" s="17"/>
      <c r="T308" s="17"/>
      <c r="U308" s="17"/>
      <c r="V308" s="17"/>
      <c r="W308" s="17"/>
    </row>
    <row r="309" spans="1:23" s="20" customFormat="1">
      <c r="A309" s="1087">
        <v>44547</v>
      </c>
      <c r="B309" s="76" t="s">
        <v>23</v>
      </c>
      <c r="C309" s="11" t="s">
        <v>9217</v>
      </c>
      <c r="D309" s="29" t="s">
        <v>9265</v>
      </c>
      <c r="E309" s="934" t="s">
        <v>2127</v>
      </c>
      <c r="F309" s="934" t="s">
        <v>2107</v>
      </c>
      <c r="G309" s="16">
        <v>1</v>
      </c>
      <c r="H309" s="1044">
        <v>81000</v>
      </c>
      <c r="I309" s="17">
        <f t="shared" si="18"/>
        <v>81000</v>
      </c>
      <c r="J309" s="17">
        <f t="shared" si="23"/>
        <v>28350</v>
      </c>
      <c r="K309" s="171">
        <f t="shared" si="19"/>
        <v>52650</v>
      </c>
      <c r="M309" s="17"/>
      <c r="N309" s="17">
        <f t="shared" si="20"/>
        <v>52650</v>
      </c>
      <c r="O309" s="76" t="s">
        <v>23</v>
      </c>
      <c r="P309" s="72"/>
      <c r="Q309" s="10" t="s">
        <v>5552</v>
      </c>
      <c r="R309" s="1029" t="s">
        <v>8716</v>
      </c>
      <c r="S309" s="17"/>
      <c r="T309" s="17"/>
      <c r="U309" s="17"/>
      <c r="V309" s="17"/>
      <c r="W309" s="17"/>
    </row>
    <row r="310" spans="1:23" s="20" customFormat="1">
      <c r="A310" s="1087">
        <v>44547</v>
      </c>
      <c r="B310" s="76" t="s">
        <v>23</v>
      </c>
      <c r="C310" s="11" t="s">
        <v>9217</v>
      </c>
      <c r="D310" s="29" t="s">
        <v>9266</v>
      </c>
      <c r="E310" s="913" t="s">
        <v>9267</v>
      </c>
      <c r="F310" s="913" t="s">
        <v>9268</v>
      </c>
      <c r="G310" s="16">
        <v>1</v>
      </c>
      <c r="H310" s="1044">
        <v>180000</v>
      </c>
      <c r="I310" s="17">
        <f t="shared" si="18"/>
        <v>180000</v>
      </c>
      <c r="J310" s="17">
        <f t="shared" si="23"/>
        <v>62999.999999999993</v>
      </c>
      <c r="K310" s="171">
        <f t="shared" si="19"/>
        <v>117000</v>
      </c>
      <c r="M310" s="17"/>
      <c r="N310" s="17">
        <f t="shared" si="20"/>
        <v>117000</v>
      </c>
      <c r="O310" s="76" t="s">
        <v>23</v>
      </c>
      <c r="P310" s="72"/>
      <c r="Q310" s="10" t="s">
        <v>5552</v>
      </c>
      <c r="R310" s="1029" t="s">
        <v>8716</v>
      </c>
      <c r="S310" s="17"/>
      <c r="T310" s="17"/>
      <c r="U310" s="17"/>
      <c r="V310" s="17"/>
      <c r="W310" s="17"/>
    </row>
    <row r="311" spans="1:23" s="20" customFormat="1">
      <c r="A311" s="1087">
        <v>44547</v>
      </c>
      <c r="B311" s="76" t="s">
        <v>23</v>
      </c>
      <c r="C311" s="11" t="s">
        <v>9217</v>
      </c>
      <c r="D311" s="29" t="s">
        <v>9269</v>
      </c>
      <c r="E311" s="913" t="s">
        <v>4657</v>
      </c>
      <c r="F311" s="913" t="s">
        <v>9270</v>
      </c>
      <c r="G311" s="16">
        <v>1</v>
      </c>
      <c r="H311" s="1044">
        <v>144000</v>
      </c>
      <c r="I311" s="17">
        <f t="shared" si="18"/>
        <v>144000</v>
      </c>
      <c r="J311" s="17">
        <f t="shared" si="23"/>
        <v>50400</v>
      </c>
      <c r="K311" s="171">
        <f t="shared" si="19"/>
        <v>93600</v>
      </c>
      <c r="M311" s="17"/>
      <c r="N311" s="17">
        <f t="shared" si="20"/>
        <v>93600</v>
      </c>
      <c r="O311" s="76" t="s">
        <v>23</v>
      </c>
      <c r="P311" s="72"/>
      <c r="Q311" s="10" t="s">
        <v>5552</v>
      </c>
      <c r="R311" s="1029" t="s">
        <v>8716</v>
      </c>
      <c r="S311" s="17"/>
      <c r="T311" s="17"/>
      <c r="U311" s="17"/>
      <c r="V311" s="17"/>
      <c r="W311" s="17"/>
    </row>
    <row r="312" spans="1:23" s="20" customFormat="1">
      <c r="A312" s="1087">
        <v>44547</v>
      </c>
      <c r="B312" s="76" t="s">
        <v>23</v>
      </c>
      <c r="C312" s="11" t="s">
        <v>9217</v>
      </c>
      <c r="D312" s="29" t="s">
        <v>9271</v>
      </c>
      <c r="E312" s="934" t="s">
        <v>4657</v>
      </c>
      <c r="F312" s="934" t="s">
        <v>4658</v>
      </c>
      <c r="G312" s="16">
        <v>1</v>
      </c>
      <c r="H312" s="1044">
        <v>85000</v>
      </c>
      <c r="I312" s="17">
        <f t="shared" si="18"/>
        <v>85000</v>
      </c>
      <c r="J312" s="17">
        <f t="shared" si="23"/>
        <v>29749.999999999996</v>
      </c>
      <c r="K312" s="171">
        <f t="shared" si="19"/>
        <v>55250</v>
      </c>
      <c r="M312" s="17"/>
      <c r="N312" s="17">
        <f t="shared" si="20"/>
        <v>55250</v>
      </c>
      <c r="O312" s="76" t="s">
        <v>23</v>
      </c>
      <c r="P312" s="72"/>
      <c r="Q312" s="10" t="s">
        <v>176</v>
      </c>
      <c r="R312" s="76" t="s">
        <v>8711</v>
      </c>
      <c r="S312" s="17"/>
      <c r="T312" s="17"/>
      <c r="U312" s="17"/>
      <c r="V312" s="17"/>
      <c r="W312" s="17"/>
    </row>
    <row r="313" spans="1:23" s="20" customFormat="1">
      <c r="A313" s="1087">
        <v>44547</v>
      </c>
      <c r="B313" s="76" t="s">
        <v>23</v>
      </c>
      <c r="C313" s="11" t="s">
        <v>9217</v>
      </c>
      <c r="D313" s="29" t="s">
        <v>9272</v>
      </c>
      <c r="E313" s="934" t="s">
        <v>2422</v>
      </c>
      <c r="F313" s="934" t="s">
        <v>2423</v>
      </c>
      <c r="G313" s="16">
        <v>1</v>
      </c>
      <c r="H313" s="1044">
        <v>83000</v>
      </c>
      <c r="I313" s="17">
        <f t="shared" si="18"/>
        <v>83000</v>
      </c>
      <c r="J313" s="17">
        <f t="shared" si="23"/>
        <v>29049.999999999996</v>
      </c>
      <c r="K313" s="171">
        <f t="shared" si="19"/>
        <v>53950</v>
      </c>
      <c r="M313" s="17"/>
      <c r="N313" s="17">
        <f t="shared" si="20"/>
        <v>53950</v>
      </c>
      <c r="O313" s="76" t="s">
        <v>23</v>
      </c>
      <c r="P313" s="183"/>
      <c r="Q313" s="10" t="s">
        <v>54</v>
      </c>
      <c r="R313" s="76" t="s">
        <v>8711</v>
      </c>
      <c r="S313" s="17"/>
      <c r="T313" s="17"/>
      <c r="U313" s="17"/>
      <c r="V313" s="17"/>
      <c r="W313" s="17"/>
    </row>
    <row r="314" spans="1:23" s="20" customFormat="1">
      <c r="A314" s="1087">
        <v>44547</v>
      </c>
      <c r="B314" s="76" t="s">
        <v>23</v>
      </c>
      <c r="C314" s="11" t="s">
        <v>9217</v>
      </c>
      <c r="D314" s="29" t="s">
        <v>9273</v>
      </c>
      <c r="E314" s="934" t="s">
        <v>975</v>
      </c>
      <c r="F314" s="934" t="s">
        <v>976</v>
      </c>
      <c r="G314" s="16">
        <v>1</v>
      </c>
      <c r="H314" s="1044">
        <v>67500</v>
      </c>
      <c r="I314" s="17">
        <f t="shared" si="18"/>
        <v>67500</v>
      </c>
      <c r="J314" s="17">
        <f t="shared" si="23"/>
        <v>23625</v>
      </c>
      <c r="K314" s="171">
        <f t="shared" si="19"/>
        <v>43875</v>
      </c>
      <c r="M314" s="17"/>
      <c r="N314" s="17">
        <f t="shared" si="20"/>
        <v>43875</v>
      </c>
      <c r="O314" s="76" t="s">
        <v>23</v>
      </c>
      <c r="P314" s="183"/>
      <c r="Q314" s="10" t="s">
        <v>176</v>
      </c>
      <c r="R314" s="76" t="s">
        <v>8711</v>
      </c>
      <c r="S314" s="13"/>
      <c r="T314" s="17"/>
      <c r="U314" s="17"/>
      <c r="V314" s="17"/>
      <c r="W314" s="17"/>
    </row>
    <row r="315" spans="1:23" s="20" customFormat="1">
      <c r="A315" s="1087">
        <v>44547</v>
      </c>
      <c r="B315" s="76" t="s">
        <v>23</v>
      </c>
      <c r="C315" s="11" t="s">
        <v>9217</v>
      </c>
      <c r="D315" s="29" t="s">
        <v>9274</v>
      </c>
      <c r="E315" s="934" t="s">
        <v>6118</v>
      </c>
      <c r="F315" s="934" t="s">
        <v>1981</v>
      </c>
      <c r="G315" s="16">
        <v>1</v>
      </c>
      <c r="H315" s="1044">
        <v>135500</v>
      </c>
      <c r="I315" s="17">
        <f t="shared" si="18"/>
        <v>135500</v>
      </c>
      <c r="J315" s="17">
        <f t="shared" si="23"/>
        <v>47425</v>
      </c>
      <c r="K315" s="171">
        <f t="shared" si="19"/>
        <v>88075</v>
      </c>
      <c r="M315" s="17"/>
      <c r="N315" s="17">
        <f t="shared" si="20"/>
        <v>88075</v>
      </c>
      <c r="O315" s="76" t="s">
        <v>23</v>
      </c>
      <c r="P315" s="183"/>
      <c r="Q315" s="10" t="s">
        <v>176</v>
      </c>
      <c r="R315" s="76" t="s">
        <v>8711</v>
      </c>
      <c r="S315" s="17"/>
      <c r="T315" s="17"/>
      <c r="U315" s="17"/>
      <c r="V315" s="17"/>
      <c r="W315" s="17"/>
    </row>
    <row r="316" spans="1:23" s="20" customFormat="1">
      <c r="A316" s="1087">
        <v>44547</v>
      </c>
      <c r="B316" s="76" t="s">
        <v>23</v>
      </c>
      <c r="C316" s="11" t="s">
        <v>9217</v>
      </c>
      <c r="D316" s="29" t="s">
        <v>9275</v>
      </c>
      <c r="E316" s="913" t="s">
        <v>1648</v>
      </c>
      <c r="F316" s="913" t="s">
        <v>1649</v>
      </c>
      <c r="G316" s="16">
        <v>1</v>
      </c>
      <c r="H316" s="1044">
        <v>145000</v>
      </c>
      <c r="I316" s="17">
        <f t="shared" si="18"/>
        <v>145000</v>
      </c>
      <c r="J316" s="17">
        <f t="shared" si="23"/>
        <v>50750</v>
      </c>
      <c r="K316" s="171">
        <f t="shared" si="19"/>
        <v>94250</v>
      </c>
      <c r="M316" s="17"/>
      <c r="N316" s="17">
        <f t="shared" si="20"/>
        <v>94250</v>
      </c>
      <c r="O316" s="76" t="s">
        <v>23</v>
      </c>
      <c r="P316" s="183"/>
      <c r="Q316" s="10" t="s">
        <v>176</v>
      </c>
      <c r="R316" s="76" t="s">
        <v>8711</v>
      </c>
      <c r="S316" s="17"/>
      <c r="T316" s="17"/>
      <c r="U316" s="17"/>
      <c r="V316" s="17"/>
      <c r="W316" s="17"/>
    </row>
    <row r="317" spans="1:23" s="20" customFormat="1">
      <c r="A317" s="1087">
        <v>44547</v>
      </c>
      <c r="B317" s="76" t="s">
        <v>23</v>
      </c>
      <c r="C317" s="11" t="s">
        <v>9217</v>
      </c>
      <c r="D317" s="29" t="s">
        <v>9276</v>
      </c>
      <c r="E317" s="913" t="s">
        <v>9277</v>
      </c>
      <c r="F317" s="913" t="s">
        <v>9278</v>
      </c>
      <c r="G317" s="16">
        <v>1</v>
      </c>
      <c r="H317" s="1044">
        <v>223000</v>
      </c>
      <c r="I317" s="17">
        <f t="shared" si="18"/>
        <v>223000</v>
      </c>
      <c r="J317" s="17">
        <f t="shared" si="23"/>
        <v>78050</v>
      </c>
      <c r="K317" s="171">
        <f t="shared" si="19"/>
        <v>144950</v>
      </c>
      <c r="M317" s="17"/>
      <c r="N317" s="17">
        <f t="shared" si="20"/>
        <v>144950</v>
      </c>
      <c r="O317" s="76" t="s">
        <v>23</v>
      </c>
      <c r="P317" s="183"/>
      <c r="Q317" s="10" t="s">
        <v>5552</v>
      </c>
      <c r="R317" s="1039" t="s">
        <v>8716</v>
      </c>
      <c r="S317" s="17"/>
      <c r="T317" s="17"/>
      <c r="U317" s="17"/>
      <c r="V317" s="17"/>
      <c r="W317" s="17"/>
    </row>
    <row r="318" spans="1:23" s="20" customFormat="1">
      <c r="A318" s="1087">
        <v>44547</v>
      </c>
      <c r="B318" s="76" t="s">
        <v>23</v>
      </c>
      <c r="C318" s="11" t="s">
        <v>9217</v>
      </c>
      <c r="D318" s="29" t="s">
        <v>9279</v>
      </c>
      <c r="E318" s="934" t="s">
        <v>9280</v>
      </c>
      <c r="F318" s="934" t="s">
        <v>9281</v>
      </c>
      <c r="G318" s="16">
        <v>1</v>
      </c>
      <c r="H318" s="1044">
        <v>110000</v>
      </c>
      <c r="I318" s="17">
        <f t="shared" si="18"/>
        <v>110000</v>
      </c>
      <c r="J318" s="17">
        <f t="shared" si="23"/>
        <v>38500</v>
      </c>
      <c r="K318" s="171">
        <f t="shared" si="19"/>
        <v>71500</v>
      </c>
      <c r="M318" s="17"/>
      <c r="N318" s="17">
        <f t="shared" si="20"/>
        <v>71500</v>
      </c>
      <c r="O318" s="76" t="s">
        <v>23</v>
      </c>
      <c r="P318" s="72"/>
      <c r="Q318" s="10" t="s">
        <v>5552</v>
      </c>
      <c r="R318" s="1029" t="s">
        <v>8716</v>
      </c>
      <c r="S318" s="17"/>
      <c r="T318" s="17"/>
      <c r="U318" s="17"/>
      <c r="V318" s="17"/>
      <c r="W318" s="17"/>
    </row>
    <row r="319" spans="1:23" s="20" customFormat="1">
      <c r="A319" s="1087">
        <v>44547</v>
      </c>
      <c r="B319" s="76" t="s">
        <v>23</v>
      </c>
      <c r="C319" s="11" t="s">
        <v>9217</v>
      </c>
      <c r="D319" s="29" t="s">
        <v>9282</v>
      </c>
      <c r="E319" s="934" t="s">
        <v>3909</v>
      </c>
      <c r="F319" s="934" t="s">
        <v>3910</v>
      </c>
      <c r="G319" s="16">
        <v>1</v>
      </c>
      <c r="H319" s="1044">
        <v>97500</v>
      </c>
      <c r="I319" s="17">
        <f t="shared" si="18"/>
        <v>97500</v>
      </c>
      <c r="J319" s="17">
        <f t="shared" si="23"/>
        <v>34125</v>
      </c>
      <c r="K319" s="171">
        <f t="shared" si="19"/>
        <v>63375</v>
      </c>
      <c r="M319" s="17"/>
      <c r="N319" s="17">
        <f t="shared" si="20"/>
        <v>63375</v>
      </c>
      <c r="O319" s="76" t="s">
        <v>23</v>
      </c>
      <c r="P319" s="72"/>
      <c r="Q319" s="10" t="s">
        <v>5552</v>
      </c>
      <c r="R319" s="1029" t="s">
        <v>8716</v>
      </c>
      <c r="S319" s="17"/>
      <c r="T319" s="17"/>
      <c r="U319" s="17"/>
      <c r="V319" s="17"/>
      <c r="W319" s="17"/>
    </row>
    <row r="320" spans="1:23" s="20" customFormat="1">
      <c r="A320" s="1087">
        <v>44547</v>
      </c>
      <c r="B320" s="76" t="s">
        <v>23</v>
      </c>
      <c r="C320" s="11" t="s">
        <v>9217</v>
      </c>
      <c r="D320" s="29" t="s">
        <v>9283</v>
      </c>
      <c r="E320" s="913" t="s">
        <v>9284</v>
      </c>
      <c r="F320" s="913" t="s">
        <v>9285</v>
      </c>
      <c r="G320" s="16">
        <v>1</v>
      </c>
      <c r="H320" s="1044">
        <v>75000</v>
      </c>
      <c r="I320" s="17">
        <f t="shared" si="18"/>
        <v>75000</v>
      </c>
      <c r="J320" s="17">
        <f t="shared" si="23"/>
        <v>26250</v>
      </c>
      <c r="K320" s="171">
        <f t="shared" si="19"/>
        <v>48750</v>
      </c>
      <c r="M320" s="17"/>
      <c r="N320" s="17">
        <f t="shared" si="20"/>
        <v>48750</v>
      </c>
      <c r="O320" s="76" t="s">
        <v>23</v>
      </c>
      <c r="P320" s="72"/>
      <c r="Q320" s="10" t="s">
        <v>5552</v>
      </c>
      <c r="R320" s="1029" t="s">
        <v>8716</v>
      </c>
      <c r="S320" s="17"/>
      <c r="T320" s="17"/>
      <c r="U320" s="17"/>
      <c r="V320" s="17"/>
      <c r="W320" s="17"/>
    </row>
    <row r="321" spans="1:23" s="20" customFormat="1">
      <c r="A321" s="1087">
        <v>44547</v>
      </c>
      <c r="B321" s="76" t="s">
        <v>23</v>
      </c>
      <c r="C321" s="11" t="s">
        <v>9217</v>
      </c>
      <c r="D321" s="29" t="s">
        <v>9286</v>
      </c>
      <c r="E321" s="934" t="s">
        <v>1050</v>
      </c>
      <c r="F321" s="934" t="s">
        <v>1051</v>
      </c>
      <c r="G321" s="16">
        <v>1</v>
      </c>
      <c r="H321" s="1044">
        <v>78000</v>
      </c>
      <c r="I321" s="17">
        <f t="shared" si="18"/>
        <v>78000</v>
      </c>
      <c r="J321" s="17">
        <f t="shared" si="23"/>
        <v>27300</v>
      </c>
      <c r="K321" s="171">
        <f t="shared" si="19"/>
        <v>50700</v>
      </c>
      <c r="M321" s="17"/>
      <c r="N321" s="17">
        <f t="shared" si="20"/>
        <v>50700</v>
      </c>
      <c r="O321" s="76" t="s">
        <v>23</v>
      </c>
      <c r="P321" s="72"/>
      <c r="Q321" s="10" t="s">
        <v>5552</v>
      </c>
      <c r="R321" s="1029" t="s">
        <v>8716</v>
      </c>
      <c r="S321" s="17"/>
      <c r="T321" s="17"/>
      <c r="U321" s="17"/>
      <c r="V321" s="17"/>
      <c r="W321" s="17"/>
    </row>
    <row r="322" spans="1:23" s="20" customFormat="1">
      <c r="A322" s="1087">
        <v>44547</v>
      </c>
      <c r="B322" s="76" t="s">
        <v>23</v>
      </c>
      <c r="C322" s="11" t="s">
        <v>9217</v>
      </c>
      <c r="D322" s="29" t="s">
        <v>9287</v>
      </c>
      <c r="E322" s="934" t="s">
        <v>812</v>
      </c>
      <c r="F322" s="934" t="s">
        <v>813</v>
      </c>
      <c r="G322" s="16">
        <v>1</v>
      </c>
      <c r="H322" s="1044">
        <v>93500</v>
      </c>
      <c r="I322" s="17">
        <f t="shared" si="18"/>
        <v>93500</v>
      </c>
      <c r="J322" s="17">
        <f t="shared" si="23"/>
        <v>32724.999999999996</v>
      </c>
      <c r="K322" s="171">
        <f t="shared" si="19"/>
        <v>60775</v>
      </c>
      <c r="M322" s="17"/>
      <c r="N322" s="17">
        <f t="shared" si="20"/>
        <v>60775</v>
      </c>
      <c r="O322" s="76" t="s">
        <v>23</v>
      </c>
      <c r="P322" s="72"/>
      <c r="Q322" s="10" t="s">
        <v>5552</v>
      </c>
      <c r="R322" s="1029" t="s">
        <v>8716</v>
      </c>
      <c r="S322" s="17"/>
      <c r="T322" s="17"/>
      <c r="U322" s="17"/>
      <c r="V322" s="17"/>
      <c r="W322" s="17"/>
    </row>
    <row r="323" spans="1:23" s="20" customFormat="1">
      <c r="A323" s="1087">
        <v>44547</v>
      </c>
      <c r="B323" s="76" t="s">
        <v>23</v>
      </c>
      <c r="C323" s="11" t="s">
        <v>9217</v>
      </c>
      <c r="D323" s="29" t="s">
        <v>9288</v>
      </c>
      <c r="E323" s="934" t="s">
        <v>9289</v>
      </c>
      <c r="F323" s="934" t="s">
        <v>3372</v>
      </c>
      <c r="G323" s="16">
        <v>1</v>
      </c>
      <c r="H323" s="1044">
        <v>66500</v>
      </c>
      <c r="I323" s="17">
        <f t="shared" si="18"/>
        <v>66500</v>
      </c>
      <c r="J323" s="17">
        <f t="shared" si="23"/>
        <v>23275</v>
      </c>
      <c r="K323" s="171">
        <f t="shared" si="19"/>
        <v>43225</v>
      </c>
      <c r="M323" s="17"/>
      <c r="N323" s="17">
        <f t="shared" si="20"/>
        <v>43225</v>
      </c>
      <c r="O323" s="76" t="s">
        <v>23</v>
      </c>
      <c r="P323" s="72"/>
      <c r="Q323" s="10" t="s">
        <v>5552</v>
      </c>
      <c r="R323" s="1029" t="s">
        <v>8716</v>
      </c>
      <c r="S323" s="17"/>
      <c r="T323" s="17"/>
      <c r="U323" s="17"/>
      <c r="V323" s="17"/>
      <c r="W323" s="17"/>
    </row>
    <row r="324" spans="1:23" s="20" customFormat="1">
      <c r="A324" s="1087">
        <v>44547</v>
      </c>
      <c r="B324" s="76" t="s">
        <v>23</v>
      </c>
      <c r="C324" s="11" t="s">
        <v>9217</v>
      </c>
      <c r="D324" s="29" t="s">
        <v>9290</v>
      </c>
      <c r="E324" s="934" t="s">
        <v>3960</v>
      </c>
      <c r="F324" s="934" t="s">
        <v>1649</v>
      </c>
      <c r="G324" s="16">
        <v>1</v>
      </c>
      <c r="H324" s="1044">
        <v>105000</v>
      </c>
      <c r="I324" s="17">
        <f t="shared" ref="I324:I387" si="24">H324*G324</f>
        <v>105000</v>
      </c>
      <c r="J324" s="17">
        <f t="shared" si="23"/>
        <v>36750</v>
      </c>
      <c r="K324" s="171">
        <f t="shared" si="19"/>
        <v>68250</v>
      </c>
      <c r="M324" s="17"/>
      <c r="N324" s="17">
        <f t="shared" si="20"/>
        <v>68250</v>
      </c>
      <c r="O324" s="76" t="s">
        <v>23</v>
      </c>
      <c r="P324" s="183"/>
      <c r="Q324" s="10" t="s">
        <v>5552</v>
      </c>
      <c r="R324" s="1029" t="s">
        <v>8716</v>
      </c>
      <c r="S324" s="17"/>
      <c r="T324" s="17"/>
      <c r="U324" s="17"/>
      <c r="V324" s="17"/>
      <c r="W324" s="17"/>
    </row>
    <row r="325" spans="1:23" s="20" customFormat="1">
      <c r="A325" s="1087">
        <v>44547</v>
      </c>
      <c r="B325" s="76" t="s">
        <v>23</v>
      </c>
      <c r="C325" s="11" t="s">
        <v>9217</v>
      </c>
      <c r="D325" s="29" t="s">
        <v>9291</v>
      </c>
      <c r="E325" s="934" t="s">
        <v>9292</v>
      </c>
      <c r="F325" s="934" t="s">
        <v>9293</v>
      </c>
      <c r="G325" s="16">
        <v>1</v>
      </c>
      <c r="H325" s="1044">
        <v>63000</v>
      </c>
      <c r="I325" s="17">
        <f t="shared" si="24"/>
        <v>63000</v>
      </c>
      <c r="J325" s="17">
        <f t="shared" si="23"/>
        <v>22050</v>
      </c>
      <c r="K325" s="171">
        <f t="shared" ref="K325:K388" si="25">I325-J325</f>
        <v>40950</v>
      </c>
      <c r="M325" s="17"/>
      <c r="N325" s="17">
        <f t="shared" ref="N325:N389" si="26">K325+L325+M325</f>
        <v>40950</v>
      </c>
      <c r="O325" s="76" t="s">
        <v>23</v>
      </c>
      <c r="P325" s="183"/>
      <c r="Q325" s="10" t="s">
        <v>5552</v>
      </c>
      <c r="R325" s="1029" t="s">
        <v>8716</v>
      </c>
      <c r="S325" s="17"/>
      <c r="T325" s="17"/>
      <c r="U325" s="17"/>
      <c r="V325" s="17"/>
      <c r="W325" s="17"/>
    </row>
    <row r="326" spans="1:23" s="20" customFormat="1">
      <c r="A326" s="1087">
        <v>44547</v>
      </c>
      <c r="B326" s="76" t="s">
        <v>23</v>
      </c>
      <c r="C326" s="11" t="s">
        <v>9217</v>
      </c>
      <c r="D326" s="29" t="s">
        <v>9294</v>
      </c>
      <c r="E326" s="934" t="s">
        <v>9295</v>
      </c>
      <c r="F326" s="934" t="s">
        <v>9296</v>
      </c>
      <c r="G326" s="16">
        <v>1</v>
      </c>
      <c r="H326" s="1044">
        <v>141500</v>
      </c>
      <c r="I326" s="17">
        <f t="shared" si="24"/>
        <v>141500</v>
      </c>
      <c r="J326" s="17">
        <f t="shared" si="23"/>
        <v>49525</v>
      </c>
      <c r="K326" s="171">
        <f t="shared" si="25"/>
        <v>91975</v>
      </c>
      <c r="M326" s="17"/>
      <c r="N326" s="17">
        <f t="shared" si="26"/>
        <v>91975</v>
      </c>
      <c r="O326" s="76" t="s">
        <v>23</v>
      </c>
      <c r="P326" s="72"/>
      <c r="Q326" s="10" t="s">
        <v>5552</v>
      </c>
      <c r="R326" s="1029" t="s">
        <v>8716</v>
      </c>
      <c r="S326" s="17"/>
      <c r="T326" s="17"/>
      <c r="U326" s="17"/>
      <c r="V326" s="17"/>
      <c r="W326" s="17"/>
    </row>
    <row r="327" spans="1:23" s="20" customFormat="1">
      <c r="A327" s="1087">
        <v>44547</v>
      </c>
      <c r="B327" s="76" t="s">
        <v>23</v>
      </c>
      <c r="C327" s="11" t="s">
        <v>9217</v>
      </c>
      <c r="D327" s="29" t="s">
        <v>9297</v>
      </c>
      <c r="E327" s="934" t="s">
        <v>9298</v>
      </c>
      <c r="F327" s="934" t="s">
        <v>9299</v>
      </c>
      <c r="G327" s="16">
        <v>1</v>
      </c>
      <c r="H327" s="1044">
        <v>86000</v>
      </c>
      <c r="I327" s="17">
        <f t="shared" si="24"/>
        <v>86000</v>
      </c>
      <c r="J327" s="17">
        <f t="shared" si="23"/>
        <v>30099.999999999996</v>
      </c>
      <c r="K327" s="171">
        <f t="shared" si="25"/>
        <v>55900</v>
      </c>
      <c r="M327" s="17"/>
      <c r="N327" s="17">
        <f t="shared" si="26"/>
        <v>55900</v>
      </c>
      <c r="O327" s="76" t="s">
        <v>23</v>
      </c>
      <c r="P327" s="72"/>
      <c r="Q327" s="10" t="s">
        <v>5552</v>
      </c>
      <c r="R327" s="1029" t="s">
        <v>8716</v>
      </c>
      <c r="S327" s="17"/>
      <c r="T327" s="17"/>
      <c r="U327" s="17"/>
      <c r="V327" s="17"/>
      <c r="W327" s="17"/>
    </row>
    <row r="328" spans="1:23" s="20" customFormat="1">
      <c r="A328" s="1087">
        <v>44547</v>
      </c>
      <c r="B328" s="76" t="s">
        <v>23</v>
      </c>
      <c r="C328" s="11" t="s">
        <v>9217</v>
      </c>
      <c r="D328" s="29" t="s">
        <v>9300</v>
      </c>
      <c r="E328" s="934" t="s">
        <v>9301</v>
      </c>
      <c r="F328" s="934" t="s">
        <v>1053</v>
      </c>
      <c r="G328" s="16">
        <v>1</v>
      </c>
      <c r="H328" s="1044">
        <v>96500</v>
      </c>
      <c r="I328" s="17">
        <f t="shared" si="24"/>
        <v>96500</v>
      </c>
      <c r="J328" s="17">
        <f t="shared" si="23"/>
        <v>33775</v>
      </c>
      <c r="K328" s="171">
        <f t="shared" si="25"/>
        <v>62725</v>
      </c>
      <c r="M328" s="17"/>
      <c r="N328" s="17">
        <f t="shared" si="26"/>
        <v>62725</v>
      </c>
      <c r="O328" s="76" t="s">
        <v>23</v>
      </c>
      <c r="P328" s="72"/>
      <c r="Q328" s="10" t="s">
        <v>5552</v>
      </c>
      <c r="R328" s="1029" t="s">
        <v>8716</v>
      </c>
      <c r="S328" s="17"/>
      <c r="T328" s="17"/>
      <c r="U328" s="17"/>
      <c r="V328" s="17"/>
      <c r="W328" s="17"/>
    </row>
    <row r="329" spans="1:23" s="17" customFormat="1">
      <c r="A329" s="1087">
        <v>44547</v>
      </c>
      <c r="B329" s="76" t="s">
        <v>23</v>
      </c>
      <c r="C329" s="11" t="s">
        <v>9217</v>
      </c>
      <c r="D329" s="29" t="s">
        <v>9302</v>
      </c>
      <c r="E329" s="934" t="s">
        <v>9303</v>
      </c>
      <c r="F329" s="934" t="s">
        <v>734</v>
      </c>
      <c r="G329" s="16">
        <v>1</v>
      </c>
      <c r="H329" s="1044">
        <v>61200</v>
      </c>
      <c r="I329" s="17">
        <f t="shared" si="24"/>
        <v>61200</v>
      </c>
      <c r="J329" s="17">
        <f t="shared" si="23"/>
        <v>21420</v>
      </c>
      <c r="K329" s="171">
        <f t="shared" si="25"/>
        <v>39780</v>
      </c>
      <c r="N329" s="17">
        <f t="shared" si="26"/>
        <v>39780</v>
      </c>
      <c r="O329" s="76" t="s">
        <v>23</v>
      </c>
      <c r="P329" s="183"/>
      <c r="Q329" s="10" t="s">
        <v>5552</v>
      </c>
      <c r="R329" s="1029" t="s">
        <v>8716</v>
      </c>
    </row>
    <row r="330" spans="1:23" s="17" customFormat="1">
      <c r="A330" s="1087">
        <v>44547</v>
      </c>
      <c r="B330" s="76" t="s">
        <v>23</v>
      </c>
      <c r="C330" s="11" t="s">
        <v>9217</v>
      </c>
      <c r="D330" s="29" t="s">
        <v>9304</v>
      </c>
      <c r="E330" s="913" t="s">
        <v>8978</v>
      </c>
      <c r="F330" s="913" t="s">
        <v>8979</v>
      </c>
      <c r="G330" s="16">
        <v>1</v>
      </c>
      <c r="H330" s="1044">
        <v>81000</v>
      </c>
      <c r="I330" s="17">
        <f t="shared" si="24"/>
        <v>81000</v>
      </c>
      <c r="J330" s="17">
        <f t="shared" si="23"/>
        <v>28350</v>
      </c>
      <c r="K330" s="171">
        <f t="shared" si="25"/>
        <v>52650</v>
      </c>
      <c r="N330" s="17">
        <f t="shared" si="26"/>
        <v>52650</v>
      </c>
      <c r="O330" s="76" t="s">
        <v>23</v>
      </c>
      <c r="P330" s="860"/>
      <c r="Q330" s="10" t="s">
        <v>5552</v>
      </c>
      <c r="R330" s="1029" t="s">
        <v>8716</v>
      </c>
      <c r="S330" s="26"/>
    </row>
    <row r="331" spans="1:23" s="17" customFormat="1">
      <c r="A331" s="1087">
        <v>44547</v>
      </c>
      <c r="B331" s="76" t="s">
        <v>23</v>
      </c>
      <c r="C331" s="11" t="s">
        <v>9217</v>
      </c>
      <c r="D331" s="29" t="s">
        <v>9305</v>
      </c>
      <c r="E331" s="913" t="s">
        <v>9306</v>
      </c>
      <c r="F331" s="913" t="s">
        <v>9307</v>
      </c>
      <c r="G331" s="16">
        <v>1</v>
      </c>
      <c r="H331" s="1044">
        <v>158000</v>
      </c>
      <c r="I331" s="17">
        <f t="shared" si="24"/>
        <v>158000</v>
      </c>
      <c r="J331" s="17">
        <f t="shared" si="23"/>
        <v>55300</v>
      </c>
      <c r="K331" s="171">
        <f t="shared" si="25"/>
        <v>102700</v>
      </c>
      <c r="N331" s="17">
        <f t="shared" si="26"/>
        <v>102700</v>
      </c>
      <c r="O331" s="76" t="s">
        <v>23</v>
      </c>
      <c r="P331" s="862"/>
      <c r="Q331" s="10" t="s">
        <v>5552</v>
      </c>
      <c r="R331" s="1029" t="s">
        <v>8716</v>
      </c>
    </row>
    <row r="332" spans="1:23" s="17" customFormat="1">
      <c r="A332" s="1087">
        <v>44547</v>
      </c>
      <c r="B332" s="76" t="s">
        <v>23</v>
      </c>
      <c r="C332" s="11" t="s">
        <v>9217</v>
      </c>
      <c r="D332" s="29" t="s">
        <v>9308</v>
      </c>
      <c r="E332" s="934" t="s">
        <v>9309</v>
      </c>
      <c r="F332" s="934" t="s">
        <v>9310</v>
      </c>
      <c r="G332" s="16">
        <v>1</v>
      </c>
      <c r="H332" s="1044">
        <v>80000</v>
      </c>
      <c r="I332" s="17">
        <f t="shared" si="24"/>
        <v>80000</v>
      </c>
      <c r="J332" s="17">
        <f t="shared" si="23"/>
        <v>28000</v>
      </c>
      <c r="K332" s="171">
        <f t="shared" si="25"/>
        <v>52000</v>
      </c>
      <c r="N332" s="17">
        <f t="shared" si="26"/>
        <v>52000</v>
      </c>
      <c r="O332" s="76" t="s">
        <v>23</v>
      </c>
      <c r="P332" s="189"/>
      <c r="Q332" s="10" t="s">
        <v>5552</v>
      </c>
      <c r="R332" s="1029" t="s">
        <v>8716</v>
      </c>
      <c r="S332" s="189"/>
    </row>
    <row r="333" spans="1:23" s="17" customFormat="1">
      <c r="A333" s="1087">
        <v>44547</v>
      </c>
      <c r="B333" s="76" t="s">
        <v>23</v>
      </c>
      <c r="C333" s="11" t="s">
        <v>9217</v>
      </c>
      <c r="D333" s="29" t="s">
        <v>9311</v>
      </c>
      <c r="E333" s="913" t="s">
        <v>2100</v>
      </c>
      <c r="F333" s="913" t="s">
        <v>2101</v>
      </c>
      <c r="G333" s="16">
        <v>1</v>
      </c>
      <c r="H333" s="1044">
        <v>65500</v>
      </c>
      <c r="I333" s="17">
        <f t="shared" si="24"/>
        <v>65500</v>
      </c>
      <c r="J333" s="17">
        <f t="shared" si="23"/>
        <v>22925</v>
      </c>
      <c r="K333" s="171">
        <f t="shared" si="25"/>
        <v>42575</v>
      </c>
      <c r="N333" s="17">
        <f t="shared" si="26"/>
        <v>42575</v>
      </c>
      <c r="O333" s="76" t="s">
        <v>23</v>
      </c>
      <c r="P333" s="189"/>
      <c r="Q333" s="10" t="s">
        <v>5552</v>
      </c>
      <c r="R333" s="1029" t="s">
        <v>8716</v>
      </c>
      <c r="S333" s="189"/>
    </row>
    <row r="334" spans="1:23" s="17" customFormat="1">
      <c r="A334" s="1087">
        <v>44547</v>
      </c>
      <c r="B334" s="76" t="s">
        <v>23</v>
      </c>
      <c r="C334" s="11" t="s">
        <v>9217</v>
      </c>
      <c r="D334" s="29" t="s">
        <v>9312</v>
      </c>
      <c r="E334" s="934" t="s">
        <v>9313</v>
      </c>
      <c r="F334" s="934" t="s">
        <v>9314</v>
      </c>
      <c r="G334" s="16">
        <v>1</v>
      </c>
      <c r="H334" s="1044">
        <v>86500</v>
      </c>
      <c r="I334" s="17">
        <f t="shared" si="24"/>
        <v>86500</v>
      </c>
      <c r="J334" s="17">
        <f t="shared" si="23"/>
        <v>30274.999999999996</v>
      </c>
      <c r="K334" s="171">
        <f t="shared" si="25"/>
        <v>56225</v>
      </c>
      <c r="N334" s="17">
        <f t="shared" si="26"/>
        <v>56225</v>
      </c>
      <c r="O334" s="76" t="s">
        <v>23</v>
      </c>
      <c r="P334" s="183"/>
      <c r="Q334" s="10" t="s">
        <v>5552</v>
      </c>
      <c r="R334" s="1029" t="s">
        <v>8716</v>
      </c>
    </row>
    <row r="335" spans="1:23" s="17" customFormat="1">
      <c r="A335" s="1087">
        <v>44547</v>
      </c>
      <c r="B335" s="76" t="s">
        <v>23</v>
      </c>
      <c r="C335" s="11" t="s">
        <v>9217</v>
      </c>
      <c r="D335" s="29" t="s">
        <v>9315</v>
      </c>
      <c r="E335" s="934" t="s">
        <v>2641</v>
      </c>
      <c r="F335" s="934" t="s">
        <v>2642</v>
      </c>
      <c r="G335" s="16">
        <v>1</v>
      </c>
      <c r="H335" s="1044">
        <v>91000</v>
      </c>
      <c r="I335" s="17">
        <f t="shared" si="24"/>
        <v>91000</v>
      </c>
      <c r="J335" s="17">
        <f t="shared" si="23"/>
        <v>31849.999999999996</v>
      </c>
      <c r="K335" s="171">
        <f t="shared" si="25"/>
        <v>59150</v>
      </c>
      <c r="N335" s="17">
        <f t="shared" si="26"/>
        <v>59150</v>
      </c>
      <c r="O335" s="76" t="s">
        <v>23</v>
      </c>
      <c r="P335" s="183"/>
      <c r="Q335" s="10" t="s">
        <v>5552</v>
      </c>
      <c r="R335" s="1029" t="s">
        <v>8716</v>
      </c>
    </row>
    <row r="336" spans="1:23" s="17" customFormat="1">
      <c r="A336" s="1087">
        <v>44547</v>
      </c>
      <c r="B336" s="76" t="s">
        <v>23</v>
      </c>
      <c r="C336" s="11" t="s">
        <v>9217</v>
      </c>
      <c r="D336" s="29" t="s">
        <v>9316</v>
      </c>
      <c r="E336" s="934" t="s">
        <v>9317</v>
      </c>
      <c r="F336" s="934" t="s">
        <v>9318</v>
      </c>
      <c r="G336" s="16">
        <v>1</v>
      </c>
      <c r="H336" s="1044">
        <v>80000</v>
      </c>
      <c r="I336" s="17">
        <f t="shared" si="24"/>
        <v>80000</v>
      </c>
      <c r="J336" s="17">
        <f t="shared" si="23"/>
        <v>28000</v>
      </c>
      <c r="K336" s="171">
        <f t="shared" si="25"/>
        <v>52000</v>
      </c>
      <c r="N336" s="17">
        <f t="shared" si="26"/>
        <v>52000</v>
      </c>
      <c r="O336" s="76" t="s">
        <v>23</v>
      </c>
      <c r="P336" s="183"/>
      <c r="Q336" s="10" t="s">
        <v>5552</v>
      </c>
      <c r="R336" s="1029" t="s">
        <v>8716</v>
      </c>
    </row>
    <row r="337" spans="1:19" s="17" customFormat="1">
      <c r="A337" s="1087">
        <v>44547</v>
      </c>
      <c r="B337" s="76" t="s">
        <v>23</v>
      </c>
      <c r="C337" s="11" t="s">
        <v>9217</v>
      </c>
      <c r="D337" s="29" t="s">
        <v>9319</v>
      </c>
      <c r="E337" s="934" t="s">
        <v>975</v>
      </c>
      <c r="F337" s="934" t="s">
        <v>976</v>
      </c>
      <c r="G337" s="16">
        <v>1</v>
      </c>
      <c r="H337" s="1045">
        <v>67500</v>
      </c>
      <c r="I337" s="17">
        <f t="shared" si="24"/>
        <v>67500</v>
      </c>
      <c r="J337" s="17">
        <f t="shared" si="23"/>
        <v>23625</v>
      </c>
      <c r="K337" s="171">
        <f t="shared" si="25"/>
        <v>43875</v>
      </c>
      <c r="N337" s="17">
        <f t="shared" si="26"/>
        <v>43875</v>
      </c>
      <c r="O337" s="76" t="s">
        <v>23</v>
      </c>
      <c r="P337" s="864"/>
      <c r="Q337" s="10" t="s">
        <v>5552</v>
      </c>
      <c r="R337" s="1029" t="s">
        <v>8716</v>
      </c>
      <c r="S337" s="26"/>
    </row>
    <row r="338" spans="1:19" s="17" customFormat="1">
      <c r="A338" s="1087">
        <v>44547</v>
      </c>
      <c r="B338" s="76" t="s">
        <v>43</v>
      </c>
      <c r="C338" s="11" t="s">
        <v>9320</v>
      </c>
      <c r="D338" s="29" t="s">
        <v>9321</v>
      </c>
      <c r="E338" s="908" t="s">
        <v>7689</v>
      </c>
      <c r="F338" s="908" t="s">
        <v>7678</v>
      </c>
      <c r="G338" s="16">
        <v>1</v>
      </c>
      <c r="H338" s="1046">
        <v>113500</v>
      </c>
      <c r="I338" s="17">
        <f t="shared" si="24"/>
        <v>113500</v>
      </c>
      <c r="J338" s="17">
        <f>I338*20%</f>
        <v>22700</v>
      </c>
      <c r="K338" s="171">
        <f t="shared" si="25"/>
        <v>90800</v>
      </c>
      <c r="N338" s="17">
        <f t="shared" si="26"/>
        <v>90800</v>
      </c>
      <c r="O338" s="76" t="s">
        <v>43</v>
      </c>
      <c r="P338" s="72"/>
      <c r="Q338" s="10" t="s">
        <v>54</v>
      </c>
      <c r="R338" s="76" t="s">
        <v>8711</v>
      </c>
    </row>
    <row r="339" spans="1:19" s="17" customFormat="1">
      <c r="A339" s="1087">
        <v>44547</v>
      </c>
      <c r="B339" s="76" t="s">
        <v>43</v>
      </c>
      <c r="C339" s="11" t="s">
        <v>9320</v>
      </c>
      <c r="D339" s="29" t="s">
        <v>9321</v>
      </c>
      <c r="E339" s="908" t="s">
        <v>7677</v>
      </c>
      <c r="F339" s="908" t="s">
        <v>7678</v>
      </c>
      <c r="G339" s="16">
        <v>1</v>
      </c>
      <c r="H339" s="1046">
        <v>104000</v>
      </c>
      <c r="I339" s="17">
        <f t="shared" si="24"/>
        <v>104000</v>
      </c>
      <c r="K339" s="171">
        <f t="shared" si="25"/>
        <v>104000</v>
      </c>
      <c r="N339" s="17">
        <f t="shared" si="26"/>
        <v>104000</v>
      </c>
      <c r="O339" s="76" t="s">
        <v>43</v>
      </c>
      <c r="P339" s="72"/>
      <c r="Q339" s="10" t="s">
        <v>54</v>
      </c>
      <c r="R339" s="76" t="s">
        <v>8711</v>
      </c>
    </row>
    <row r="340" spans="1:19" s="17" customFormat="1">
      <c r="A340" s="1087">
        <v>44547</v>
      </c>
      <c r="B340" s="76" t="s">
        <v>23</v>
      </c>
      <c r="C340" s="10" t="s">
        <v>431</v>
      </c>
      <c r="D340" s="17" t="s">
        <v>31</v>
      </c>
      <c r="E340" s="928" t="s">
        <v>8237</v>
      </c>
      <c r="F340" s="928" t="s">
        <v>8238</v>
      </c>
      <c r="G340" s="16">
        <v>1</v>
      </c>
      <c r="H340" s="17">
        <v>58000</v>
      </c>
      <c r="I340" s="17">
        <f t="shared" si="24"/>
        <v>58000</v>
      </c>
      <c r="J340" s="17">
        <f>I340*25%+40000</f>
        <v>54500</v>
      </c>
      <c r="K340" s="171">
        <f t="shared" si="25"/>
        <v>3500</v>
      </c>
      <c r="N340" s="17">
        <f t="shared" si="26"/>
        <v>3500</v>
      </c>
      <c r="O340" s="76" t="s">
        <v>23</v>
      </c>
      <c r="P340" s="189"/>
      <c r="Q340" s="10" t="s">
        <v>283</v>
      </c>
      <c r="R340" s="76" t="s">
        <v>8711</v>
      </c>
      <c r="S340" s="189"/>
    </row>
    <row r="341" spans="1:19" s="17" customFormat="1">
      <c r="A341" s="1087">
        <v>44547</v>
      </c>
      <c r="B341" s="76" t="s">
        <v>23</v>
      </c>
      <c r="C341" s="10" t="s">
        <v>431</v>
      </c>
      <c r="D341" s="17" t="s">
        <v>31</v>
      </c>
      <c r="E341" s="928" t="s">
        <v>9176</v>
      </c>
      <c r="F341" s="928" t="s">
        <v>9177</v>
      </c>
      <c r="G341" s="16">
        <v>1</v>
      </c>
      <c r="H341" s="17">
        <v>74000</v>
      </c>
      <c r="I341" s="17">
        <f t="shared" si="24"/>
        <v>74000</v>
      </c>
      <c r="J341" s="17">
        <f t="shared" ref="J341:J343" si="27">I341*25%</f>
        <v>18500</v>
      </c>
      <c r="K341" s="171">
        <f t="shared" si="25"/>
        <v>55500</v>
      </c>
      <c r="N341" s="17">
        <f t="shared" si="26"/>
        <v>55500</v>
      </c>
      <c r="O341" s="76" t="s">
        <v>23</v>
      </c>
      <c r="P341" s="72"/>
      <c r="Q341" s="10" t="s">
        <v>283</v>
      </c>
      <c r="R341" s="76" t="s">
        <v>8711</v>
      </c>
    </row>
    <row r="342" spans="1:19" s="17" customFormat="1">
      <c r="A342" s="1087">
        <v>44547</v>
      </c>
      <c r="B342" s="76" t="s">
        <v>23</v>
      </c>
      <c r="C342" s="10" t="s">
        <v>431</v>
      </c>
      <c r="D342" s="17" t="s">
        <v>31</v>
      </c>
      <c r="E342" s="928" t="s">
        <v>7845</v>
      </c>
      <c r="F342" s="928" t="s">
        <v>5313</v>
      </c>
      <c r="G342" s="16">
        <v>1</v>
      </c>
      <c r="H342" s="17">
        <v>175000</v>
      </c>
      <c r="I342" s="17">
        <f t="shared" si="24"/>
        <v>175000</v>
      </c>
      <c r="J342" s="17">
        <f t="shared" si="27"/>
        <v>43750</v>
      </c>
      <c r="K342" s="171">
        <f t="shared" si="25"/>
        <v>131250</v>
      </c>
      <c r="N342" s="17">
        <f t="shared" si="26"/>
        <v>131250</v>
      </c>
      <c r="O342" s="76" t="s">
        <v>23</v>
      </c>
      <c r="P342" s="26"/>
      <c r="Q342" s="10" t="s">
        <v>283</v>
      </c>
      <c r="R342" s="76" t="s">
        <v>8711</v>
      </c>
      <c r="S342" s="26"/>
    </row>
    <row r="343" spans="1:19" s="17" customFormat="1">
      <c r="A343" s="1087">
        <v>44547</v>
      </c>
      <c r="B343" s="76" t="s">
        <v>23</v>
      </c>
      <c r="C343" s="10" t="s">
        <v>431</v>
      </c>
      <c r="D343" s="17" t="s">
        <v>31</v>
      </c>
      <c r="E343" s="928" t="s">
        <v>5745</v>
      </c>
      <c r="F343" s="928" t="s">
        <v>2101</v>
      </c>
      <c r="G343" s="16">
        <v>1</v>
      </c>
      <c r="H343" s="17">
        <v>180000</v>
      </c>
      <c r="I343" s="17">
        <f t="shared" si="24"/>
        <v>180000</v>
      </c>
      <c r="J343" s="17">
        <f t="shared" si="27"/>
        <v>45000</v>
      </c>
      <c r="K343" s="171">
        <f t="shared" si="25"/>
        <v>135000</v>
      </c>
      <c r="N343" s="17">
        <f t="shared" si="26"/>
        <v>135000</v>
      </c>
      <c r="O343" s="76" t="s">
        <v>23</v>
      </c>
      <c r="P343" s="183"/>
      <c r="Q343" s="10" t="s">
        <v>283</v>
      </c>
      <c r="R343" s="76" t="s">
        <v>8711</v>
      </c>
    </row>
    <row r="344" spans="1:19" s="20" customFormat="1">
      <c r="A344" s="1087">
        <v>44550</v>
      </c>
      <c r="B344" s="76" t="s">
        <v>43</v>
      </c>
      <c r="C344" s="10" t="s">
        <v>9322</v>
      </c>
      <c r="D344" s="17" t="s">
        <v>9323</v>
      </c>
      <c r="E344" s="76" t="s">
        <v>2719</v>
      </c>
      <c r="F344" s="76" t="s">
        <v>2720</v>
      </c>
      <c r="G344" s="16">
        <v>1</v>
      </c>
      <c r="H344" s="17">
        <v>65500</v>
      </c>
      <c r="I344" s="17">
        <f t="shared" si="24"/>
        <v>65500</v>
      </c>
      <c r="K344" s="171">
        <f t="shared" si="25"/>
        <v>65500</v>
      </c>
      <c r="M344" s="20">
        <v>-3668</v>
      </c>
      <c r="N344" s="17">
        <f t="shared" si="26"/>
        <v>61832</v>
      </c>
      <c r="O344" s="76" t="s">
        <v>43</v>
      </c>
      <c r="Q344" s="10" t="s">
        <v>54</v>
      </c>
      <c r="R344" s="76" t="s">
        <v>8711</v>
      </c>
    </row>
    <row r="345" spans="1:19" s="20" customFormat="1">
      <c r="A345" s="1087">
        <v>44550</v>
      </c>
      <c r="B345" s="76" t="s">
        <v>43</v>
      </c>
      <c r="C345" s="10" t="s">
        <v>9324</v>
      </c>
      <c r="D345" s="17" t="s">
        <v>9325</v>
      </c>
      <c r="E345" s="76" t="s">
        <v>9185</v>
      </c>
      <c r="F345" s="76" t="s">
        <v>1686</v>
      </c>
      <c r="G345" s="16">
        <v>1</v>
      </c>
      <c r="H345" s="17">
        <v>98500</v>
      </c>
      <c r="I345" s="17">
        <f t="shared" si="24"/>
        <v>98500</v>
      </c>
      <c r="J345" s="20">
        <f>I345*20%</f>
        <v>19700</v>
      </c>
      <c r="K345" s="171">
        <f t="shared" si="25"/>
        <v>78800</v>
      </c>
      <c r="M345" s="20">
        <v>-4413</v>
      </c>
      <c r="N345" s="17">
        <f t="shared" si="26"/>
        <v>74387</v>
      </c>
      <c r="O345" s="76" t="s">
        <v>43</v>
      </c>
      <c r="Q345" s="10" t="s">
        <v>176</v>
      </c>
      <c r="R345" s="76" t="s">
        <v>8711</v>
      </c>
    </row>
    <row r="346" spans="1:19" s="20" customFormat="1">
      <c r="A346" s="1087">
        <v>44550</v>
      </c>
      <c r="B346" s="76" t="s">
        <v>43</v>
      </c>
      <c r="C346" s="10" t="s">
        <v>9326</v>
      </c>
      <c r="D346" s="20" t="s">
        <v>9327</v>
      </c>
      <c r="E346" s="739" t="s">
        <v>8655</v>
      </c>
      <c r="F346" s="739" t="s">
        <v>8656</v>
      </c>
      <c r="G346" s="16">
        <v>1</v>
      </c>
      <c r="H346" s="17">
        <v>97000</v>
      </c>
      <c r="I346" s="17">
        <f t="shared" si="24"/>
        <v>97000</v>
      </c>
      <c r="J346" s="20">
        <f>I346*20%</f>
        <v>19400</v>
      </c>
      <c r="K346" s="171">
        <f t="shared" si="25"/>
        <v>77600</v>
      </c>
      <c r="M346" s="20">
        <v>-4346</v>
      </c>
      <c r="N346" s="17">
        <f t="shared" si="26"/>
        <v>73254</v>
      </c>
      <c r="O346" s="76" t="s">
        <v>43</v>
      </c>
      <c r="Q346" s="10" t="s">
        <v>176</v>
      </c>
      <c r="R346" s="76" t="s">
        <v>8711</v>
      </c>
    </row>
    <row r="347" spans="1:19" s="20" customFormat="1">
      <c r="A347" s="1087">
        <v>44550</v>
      </c>
      <c r="B347" s="76" t="s">
        <v>43</v>
      </c>
      <c r="C347" s="10" t="s">
        <v>9328</v>
      </c>
      <c r="D347" s="20" t="s">
        <v>9329</v>
      </c>
      <c r="E347" s="739" t="s">
        <v>9330</v>
      </c>
      <c r="F347" s="739" t="s">
        <v>9331</v>
      </c>
      <c r="G347" s="16">
        <v>1</v>
      </c>
      <c r="H347" s="17">
        <v>36000</v>
      </c>
      <c r="I347" s="17">
        <f t="shared" si="24"/>
        <v>36000</v>
      </c>
      <c r="K347" s="171">
        <f t="shared" si="25"/>
        <v>36000</v>
      </c>
      <c r="M347" s="20">
        <v>-2016</v>
      </c>
      <c r="N347" s="17">
        <f t="shared" si="26"/>
        <v>33984</v>
      </c>
      <c r="O347" s="76" t="s">
        <v>43</v>
      </c>
      <c r="Q347" s="10" t="s">
        <v>176</v>
      </c>
      <c r="R347" s="76" t="s">
        <v>8711</v>
      </c>
    </row>
    <row r="348" spans="1:19" s="20" customFormat="1">
      <c r="A348" s="1087">
        <v>44550</v>
      </c>
      <c r="B348" s="76" t="s">
        <v>43</v>
      </c>
      <c r="C348" s="10" t="s">
        <v>9332</v>
      </c>
      <c r="D348" s="29" t="s">
        <v>9333</v>
      </c>
      <c r="E348" s="780" t="s">
        <v>83</v>
      </c>
      <c r="F348" s="780" t="s">
        <v>1618</v>
      </c>
      <c r="G348" s="16">
        <v>2</v>
      </c>
      <c r="H348" s="17">
        <v>64500</v>
      </c>
      <c r="I348" s="17">
        <f t="shared" si="24"/>
        <v>129000</v>
      </c>
      <c r="J348" s="20">
        <f>I348*20%</f>
        <v>25800</v>
      </c>
      <c r="K348" s="171">
        <f t="shared" si="25"/>
        <v>103200</v>
      </c>
      <c r="M348" s="20">
        <v>-14739</v>
      </c>
      <c r="N348" s="17">
        <f t="shared" si="26"/>
        <v>88461</v>
      </c>
      <c r="O348" s="76" t="s">
        <v>43</v>
      </c>
      <c r="Q348" s="10" t="s">
        <v>176</v>
      </c>
      <c r="R348" s="1039" t="s">
        <v>8711</v>
      </c>
    </row>
    <row r="349" spans="1:19" s="20" customFormat="1" ht="15.75" customHeight="1">
      <c r="A349" s="1087">
        <v>44550</v>
      </c>
      <c r="B349" s="76" t="s">
        <v>43</v>
      </c>
      <c r="C349" s="10" t="s">
        <v>9332</v>
      </c>
      <c r="D349" s="29" t="s">
        <v>9333</v>
      </c>
      <c r="E349" s="780" t="s">
        <v>71</v>
      </c>
      <c r="F349" s="780" t="s">
        <v>835</v>
      </c>
      <c r="G349" s="16">
        <v>1</v>
      </c>
      <c r="H349" s="20">
        <v>96000</v>
      </c>
      <c r="I349" s="17">
        <f t="shared" si="24"/>
        <v>96000</v>
      </c>
      <c r="J349" s="20">
        <f t="shared" ref="J349:J350" si="28">I349*20%</f>
        <v>19200</v>
      </c>
      <c r="K349" s="171">
        <f t="shared" si="25"/>
        <v>76800</v>
      </c>
      <c r="N349" s="17">
        <f t="shared" si="26"/>
        <v>76800</v>
      </c>
      <c r="O349" s="76" t="s">
        <v>43</v>
      </c>
      <c r="Q349" s="10" t="s">
        <v>176</v>
      </c>
      <c r="R349" s="76" t="s">
        <v>8711</v>
      </c>
    </row>
    <row r="350" spans="1:19" s="20" customFormat="1">
      <c r="A350" s="1087">
        <v>44550</v>
      </c>
      <c r="B350" s="76" t="s">
        <v>43</v>
      </c>
      <c r="C350" s="10" t="s">
        <v>9332</v>
      </c>
      <c r="D350" s="29" t="s">
        <v>9333</v>
      </c>
      <c r="E350" s="780" t="s">
        <v>9334</v>
      </c>
      <c r="F350" s="780" t="s">
        <v>9335</v>
      </c>
      <c r="G350" s="1047">
        <v>1</v>
      </c>
      <c r="H350" s="20">
        <v>104000</v>
      </c>
      <c r="I350" s="17">
        <f t="shared" si="24"/>
        <v>104000</v>
      </c>
      <c r="J350" s="20">
        <f t="shared" si="28"/>
        <v>20800</v>
      </c>
      <c r="K350" s="171">
        <f t="shared" si="25"/>
        <v>83200</v>
      </c>
      <c r="N350" s="17">
        <f t="shared" si="26"/>
        <v>83200</v>
      </c>
      <c r="O350" s="76" t="s">
        <v>43</v>
      </c>
      <c r="Q350" s="10" t="s">
        <v>176</v>
      </c>
      <c r="R350" s="76" t="s">
        <v>8711</v>
      </c>
    </row>
    <row r="351" spans="1:19" s="20" customFormat="1">
      <c r="A351" s="1087">
        <v>44550</v>
      </c>
      <c r="B351" s="76" t="s">
        <v>206</v>
      </c>
      <c r="C351" s="10" t="s">
        <v>9336</v>
      </c>
      <c r="D351" s="20" t="s">
        <v>9337</v>
      </c>
      <c r="E351" s="76" t="s">
        <v>1644</v>
      </c>
      <c r="F351" s="76" t="s">
        <v>3865</v>
      </c>
      <c r="G351" s="16">
        <v>1</v>
      </c>
      <c r="H351" s="20">
        <v>102000</v>
      </c>
      <c r="I351" s="17">
        <f t="shared" si="24"/>
        <v>102000</v>
      </c>
      <c r="K351" s="171">
        <f t="shared" si="25"/>
        <v>102000</v>
      </c>
      <c r="L351" s="20">
        <f>16000-16000</f>
        <v>0</v>
      </c>
      <c r="N351" s="17">
        <f t="shared" si="26"/>
        <v>102000</v>
      </c>
      <c r="O351" s="76" t="s">
        <v>206</v>
      </c>
      <c r="Q351" s="10" t="s">
        <v>176</v>
      </c>
      <c r="R351" s="76" t="s">
        <v>8711</v>
      </c>
    </row>
    <row r="352" spans="1:19" s="20" customFormat="1">
      <c r="A352" s="1087">
        <v>44550</v>
      </c>
      <c r="B352" s="76" t="s">
        <v>206</v>
      </c>
      <c r="C352" s="10" t="s">
        <v>9338</v>
      </c>
      <c r="D352" s="20" t="s">
        <v>9339</v>
      </c>
      <c r="E352" s="76" t="s">
        <v>3270</v>
      </c>
      <c r="F352" s="76" t="s">
        <v>3271</v>
      </c>
      <c r="G352" s="16">
        <v>1</v>
      </c>
      <c r="H352" s="20">
        <v>117000</v>
      </c>
      <c r="I352" s="17">
        <f t="shared" si="24"/>
        <v>117000</v>
      </c>
      <c r="K352" s="171">
        <f t="shared" si="25"/>
        <v>117000</v>
      </c>
      <c r="N352" s="17">
        <f t="shared" si="26"/>
        <v>117000</v>
      </c>
      <c r="O352" s="76" t="s">
        <v>206</v>
      </c>
      <c r="Q352" s="10" t="s">
        <v>28</v>
      </c>
      <c r="R352" s="76" t="s">
        <v>8711</v>
      </c>
    </row>
    <row r="353" spans="1:18" s="20" customFormat="1">
      <c r="A353" s="1087">
        <v>44550</v>
      </c>
      <c r="B353" s="782" t="s">
        <v>206</v>
      </c>
      <c r="C353" s="982" t="s">
        <v>9340</v>
      </c>
      <c r="D353" s="29" t="s">
        <v>9341</v>
      </c>
      <c r="E353" s="754" t="s">
        <v>9342</v>
      </c>
      <c r="F353" s="754" t="s">
        <v>9343</v>
      </c>
      <c r="G353" s="1028">
        <v>2</v>
      </c>
      <c r="H353" s="20">
        <v>71000</v>
      </c>
      <c r="I353" s="17">
        <f t="shared" si="24"/>
        <v>142000</v>
      </c>
      <c r="K353" s="171">
        <f t="shared" si="25"/>
        <v>142000</v>
      </c>
      <c r="L353" s="20">
        <f>45000-40000</f>
        <v>5000</v>
      </c>
      <c r="N353" s="17">
        <f t="shared" si="26"/>
        <v>147000</v>
      </c>
      <c r="O353" s="782" t="s">
        <v>206</v>
      </c>
      <c r="Q353" s="982" t="s">
        <v>176</v>
      </c>
      <c r="R353" s="1039" t="s">
        <v>8711</v>
      </c>
    </row>
    <row r="354" spans="1:18" s="20" customFormat="1">
      <c r="A354" s="1087">
        <v>44550</v>
      </c>
      <c r="B354" s="76" t="s">
        <v>177</v>
      </c>
      <c r="C354" s="10" t="s">
        <v>9344</v>
      </c>
      <c r="D354" s="29" t="s">
        <v>9345</v>
      </c>
      <c r="E354" s="739" t="s">
        <v>3439</v>
      </c>
      <c r="F354" s="739" t="s">
        <v>3440</v>
      </c>
      <c r="G354" s="16">
        <v>1</v>
      </c>
      <c r="H354" s="20">
        <v>108000</v>
      </c>
      <c r="I354" s="17">
        <f t="shared" si="24"/>
        <v>108000</v>
      </c>
      <c r="J354" s="20">
        <f>I354*20%</f>
        <v>21600</v>
      </c>
      <c r="K354" s="171">
        <f t="shared" si="25"/>
        <v>86400</v>
      </c>
      <c r="L354" s="20">
        <v>445000</v>
      </c>
      <c r="N354" s="17">
        <f t="shared" si="26"/>
        <v>531400</v>
      </c>
      <c r="O354" s="76" t="s">
        <v>177</v>
      </c>
      <c r="Q354" s="10" t="s">
        <v>54</v>
      </c>
      <c r="R354" s="76" t="s">
        <v>8711</v>
      </c>
    </row>
    <row r="355" spans="1:18" s="20" customFormat="1">
      <c r="A355" s="1087">
        <v>44550</v>
      </c>
      <c r="B355" s="76" t="s">
        <v>177</v>
      </c>
      <c r="C355" s="10" t="s">
        <v>9346</v>
      </c>
      <c r="D355" s="29" t="s">
        <v>9347</v>
      </c>
      <c r="E355" s="76" t="s">
        <v>9348</v>
      </c>
      <c r="F355" s="76" t="s">
        <v>9349</v>
      </c>
      <c r="G355" s="16">
        <v>1</v>
      </c>
      <c r="H355" s="20">
        <v>180000</v>
      </c>
      <c r="I355" s="17">
        <f t="shared" si="24"/>
        <v>180000</v>
      </c>
      <c r="J355" s="20">
        <f>I355*20%</f>
        <v>36000</v>
      </c>
      <c r="K355" s="171">
        <f t="shared" si="25"/>
        <v>144000</v>
      </c>
      <c r="L355" s="20">
        <v>9000</v>
      </c>
      <c r="N355" s="17">
        <f t="shared" si="26"/>
        <v>153000</v>
      </c>
      <c r="O355" s="76" t="s">
        <v>177</v>
      </c>
      <c r="Q355" s="10" t="s">
        <v>54</v>
      </c>
      <c r="R355" s="76" t="s">
        <v>8711</v>
      </c>
    </row>
    <row r="356" spans="1:18" s="20" customFormat="1">
      <c r="A356" s="1087">
        <v>44550</v>
      </c>
      <c r="B356" s="76" t="s">
        <v>313</v>
      </c>
      <c r="C356" s="10" t="s">
        <v>9350</v>
      </c>
      <c r="D356" s="29" t="s">
        <v>9351</v>
      </c>
      <c r="E356" s="76" t="s">
        <v>8109</v>
      </c>
      <c r="F356" s="76" t="s">
        <v>8110</v>
      </c>
      <c r="G356" s="16">
        <v>1</v>
      </c>
      <c r="H356" s="20">
        <v>65000</v>
      </c>
      <c r="I356" s="17">
        <f t="shared" si="24"/>
        <v>65000</v>
      </c>
      <c r="K356" s="171">
        <f t="shared" si="25"/>
        <v>65000</v>
      </c>
      <c r="N356" s="17">
        <f t="shared" si="26"/>
        <v>65000</v>
      </c>
      <c r="O356" s="76" t="s">
        <v>313</v>
      </c>
      <c r="Q356" s="10" t="s">
        <v>40</v>
      </c>
      <c r="R356" s="76" t="s">
        <v>8711</v>
      </c>
    </row>
    <row r="357" spans="1:18" s="20" customFormat="1">
      <c r="A357" s="1087">
        <v>44550</v>
      </c>
      <c r="B357" s="76" t="s">
        <v>313</v>
      </c>
      <c r="C357" s="10" t="s">
        <v>9350</v>
      </c>
      <c r="D357" s="29" t="s">
        <v>9352</v>
      </c>
      <c r="E357" s="29" t="s">
        <v>9137</v>
      </c>
      <c r="F357" s="76" t="s">
        <v>9353</v>
      </c>
      <c r="G357" s="16">
        <v>1</v>
      </c>
      <c r="H357" s="20">
        <v>26000</v>
      </c>
      <c r="I357" s="17">
        <f t="shared" si="24"/>
        <v>26000</v>
      </c>
      <c r="K357" s="171">
        <f t="shared" si="25"/>
        <v>26000</v>
      </c>
      <c r="N357" s="17"/>
      <c r="O357" s="76"/>
      <c r="Q357" s="10"/>
      <c r="R357" s="76"/>
    </row>
    <row r="358" spans="1:18" s="20" customFormat="1">
      <c r="A358" s="1087">
        <v>44550</v>
      </c>
      <c r="B358" s="76" t="s">
        <v>43</v>
      </c>
      <c r="C358" s="10" t="s">
        <v>9354</v>
      </c>
      <c r="D358" s="29" t="s">
        <v>9355</v>
      </c>
      <c r="E358" s="76" t="s">
        <v>6724</v>
      </c>
      <c r="F358" s="76" t="s">
        <v>6725</v>
      </c>
      <c r="G358" s="16">
        <v>1</v>
      </c>
      <c r="H358" s="20">
        <v>62000</v>
      </c>
      <c r="I358" s="17">
        <f t="shared" si="24"/>
        <v>62000</v>
      </c>
      <c r="K358" s="171">
        <f t="shared" si="25"/>
        <v>62000</v>
      </c>
      <c r="M358" s="20">
        <v>-3472</v>
      </c>
      <c r="N358" s="17">
        <f t="shared" si="26"/>
        <v>58528</v>
      </c>
      <c r="O358" s="76" t="s">
        <v>43</v>
      </c>
      <c r="Q358" s="10" t="s">
        <v>54</v>
      </c>
      <c r="R358" s="76" t="s">
        <v>8711</v>
      </c>
    </row>
    <row r="359" spans="1:18" s="20" customFormat="1">
      <c r="A359" s="1087">
        <v>44550</v>
      </c>
      <c r="B359" s="76" t="s">
        <v>43</v>
      </c>
      <c r="C359" s="10" t="s">
        <v>9356</v>
      </c>
      <c r="D359" s="29" t="s">
        <v>9357</v>
      </c>
      <c r="E359" s="739" t="s">
        <v>8986</v>
      </c>
      <c r="F359" s="739" t="s">
        <v>8987</v>
      </c>
      <c r="G359" s="16">
        <v>2</v>
      </c>
      <c r="H359" s="20">
        <v>161000</v>
      </c>
      <c r="I359" s="17">
        <f t="shared" si="24"/>
        <v>322000</v>
      </c>
      <c r="J359" s="20">
        <f>I359*20%</f>
        <v>64400</v>
      </c>
      <c r="K359" s="171">
        <f t="shared" si="25"/>
        <v>257600</v>
      </c>
      <c r="M359" s="20">
        <v>-14426</v>
      </c>
      <c r="N359" s="17">
        <f t="shared" si="26"/>
        <v>243174</v>
      </c>
      <c r="O359" s="76" t="s">
        <v>43</v>
      </c>
      <c r="Q359" s="10" t="s">
        <v>54</v>
      </c>
      <c r="R359" s="1039" t="s">
        <v>8711</v>
      </c>
    </row>
    <row r="360" spans="1:18" s="20" customFormat="1">
      <c r="A360" s="1087">
        <v>44550</v>
      </c>
      <c r="B360" s="76" t="s">
        <v>43</v>
      </c>
      <c r="C360" s="10" t="s">
        <v>9332</v>
      </c>
      <c r="D360" s="29" t="s">
        <v>9333</v>
      </c>
      <c r="E360" s="780" t="s">
        <v>9358</v>
      </c>
      <c r="F360" s="780" t="s">
        <v>9359</v>
      </c>
      <c r="G360" s="16">
        <v>1</v>
      </c>
      <c r="H360" s="20">
        <v>103500</v>
      </c>
      <c r="I360" s="17">
        <f t="shared" si="24"/>
        <v>103500</v>
      </c>
      <c r="K360" s="171">
        <f t="shared" si="25"/>
        <v>103500</v>
      </c>
      <c r="M360" s="20">
        <v>-11788</v>
      </c>
      <c r="N360" s="17">
        <f t="shared" si="26"/>
        <v>91712</v>
      </c>
      <c r="O360" s="76" t="s">
        <v>43</v>
      </c>
      <c r="Q360" s="10" t="s">
        <v>176</v>
      </c>
      <c r="R360" s="76" t="s">
        <v>8711</v>
      </c>
    </row>
    <row r="361" spans="1:18" s="20" customFormat="1">
      <c r="A361" s="1087">
        <v>44550</v>
      </c>
      <c r="B361" s="76" t="s">
        <v>43</v>
      </c>
      <c r="C361" s="10" t="s">
        <v>9332</v>
      </c>
      <c r="D361" s="29" t="s">
        <v>9333</v>
      </c>
      <c r="E361" s="780" t="s">
        <v>94</v>
      </c>
      <c r="F361" s="780" t="s">
        <v>116</v>
      </c>
      <c r="G361" s="1048">
        <v>1</v>
      </c>
      <c r="H361" s="20">
        <v>107000</v>
      </c>
      <c r="I361" s="17">
        <f t="shared" si="24"/>
        <v>107000</v>
      </c>
      <c r="K361" s="171">
        <f t="shared" si="25"/>
        <v>107000</v>
      </c>
      <c r="N361" s="17">
        <f t="shared" si="26"/>
        <v>107000</v>
      </c>
      <c r="O361" s="76" t="s">
        <v>43</v>
      </c>
      <c r="Q361" s="10" t="s">
        <v>176</v>
      </c>
      <c r="R361" s="76" t="s">
        <v>8711</v>
      </c>
    </row>
    <row r="362" spans="1:18" s="20" customFormat="1">
      <c r="A362" s="1087">
        <v>44551</v>
      </c>
      <c r="B362" s="76" t="s">
        <v>43</v>
      </c>
      <c r="C362" s="10" t="s">
        <v>9360</v>
      </c>
      <c r="D362" s="29" t="s">
        <v>9361</v>
      </c>
      <c r="E362" s="739" t="s">
        <v>7677</v>
      </c>
      <c r="F362" s="739" t="s">
        <v>7678</v>
      </c>
      <c r="G362" s="16">
        <v>1</v>
      </c>
      <c r="H362" s="20">
        <v>104000</v>
      </c>
      <c r="I362" s="17">
        <f t="shared" si="24"/>
        <v>104000</v>
      </c>
      <c r="J362" s="20">
        <f>I362*20%</f>
        <v>20800</v>
      </c>
      <c r="K362" s="171">
        <f t="shared" si="25"/>
        <v>83200</v>
      </c>
      <c r="M362" s="20">
        <v>-4659</v>
      </c>
      <c r="N362" s="17">
        <f t="shared" si="26"/>
        <v>78541</v>
      </c>
      <c r="O362" s="76" t="s">
        <v>43</v>
      </c>
      <c r="Q362" s="10" t="s">
        <v>176</v>
      </c>
      <c r="R362" s="76" t="s">
        <v>8711</v>
      </c>
    </row>
    <row r="363" spans="1:18" s="20" customFormat="1">
      <c r="A363" s="1087">
        <v>44551</v>
      </c>
      <c r="B363" s="76" t="s">
        <v>206</v>
      </c>
      <c r="C363" s="10" t="s">
        <v>9362</v>
      </c>
      <c r="D363" s="29" t="s">
        <v>9363</v>
      </c>
      <c r="E363" s="76" t="s">
        <v>9364</v>
      </c>
      <c r="F363" s="76" t="s">
        <v>9365</v>
      </c>
      <c r="G363" s="16">
        <v>1</v>
      </c>
      <c r="H363" s="20">
        <v>88000</v>
      </c>
      <c r="I363" s="17">
        <f t="shared" si="24"/>
        <v>88000</v>
      </c>
      <c r="K363" s="171">
        <f t="shared" si="25"/>
        <v>88000</v>
      </c>
      <c r="L363" s="20">
        <f>40000-40000</f>
        <v>0</v>
      </c>
      <c r="N363" s="17">
        <f t="shared" si="26"/>
        <v>88000</v>
      </c>
      <c r="O363" s="76" t="s">
        <v>206</v>
      </c>
      <c r="Q363" s="10" t="s">
        <v>328</v>
      </c>
      <c r="R363" s="76" t="s">
        <v>8711</v>
      </c>
    </row>
    <row r="364" spans="1:18" s="20" customFormat="1">
      <c r="A364" s="1087">
        <v>44551</v>
      </c>
      <c r="B364" s="76" t="s">
        <v>23</v>
      </c>
      <c r="C364" s="10" t="s">
        <v>6744</v>
      </c>
      <c r="D364" s="29" t="s">
        <v>9366</v>
      </c>
      <c r="E364" s="739" t="s">
        <v>7189</v>
      </c>
      <c r="F364" s="739" t="s">
        <v>7190</v>
      </c>
      <c r="G364" s="16">
        <v>5</v>
      </c>
      <c r="H364" s="20">
        <v>160000</v>
      </c>
      <c r="I364" s="17">
        <f t="shared" si="24"/>
        <v>800000</v>
      </c>
      <c r="J364" s="20">
        <f>I364*15%</f>
        <v>120000</v>
      </c>
      <c r="K364" s="171">
        <f t="shared" si="25"/>
        <v>680000</v>
      </c>
      <c r="L364" s="20">
        <v>25000</v>
      </c>
      <c r="N364" s="17">
        <f t="shared" si="26"/>
        <v>705000</v>
      </c>
      <c r="O364" s="76" t="s">
        <v>23</v>
      </c>
      <c r="Q364" s="10" t="s">
        <v>9367</v>
      </c>
      <c r="R364" s="1039" t="s">
        <v>8716</v>
      </c>
    </row>
    <row r="365" spans="1:18" s="20" customFormat="1">
      <c r="A365" s="1087">
        <v>44551</v>
      </c>
      <c r="B365" s="76" t="s">
        <v>23</v>
      </c>
      <c r="C365" s="10" t="s">
        <v>7263</v>
      </c>
      <c r="D365" s="29" t="s">
        <v>9368</v>
      </c>
      <c r="E365" s="76" t="s">
        <v>7262</v>
      </c>
      <c r="F365" s="76" t="s">
        <v>7263</v>
      </c>
      <c r="G365" s="16">
        <v>4</v>
      </c>
      <c r="H365" s="20">
        <v>93000</v>
      </c>
      <c r="I365" s="17">
        <f t="shared" si="24"/>
        <v>372000</v>
      </c>
      <c r="K365" s="171">
        <f t="shared" si="25"/>
        <v>372000</v>
      </c>
      <c r="L365" s="20">
        <v>16000</v>
      </c>
      <c r="N365" s="17">
        <f t="shared" si="26"/>
        <v>388000</v>
      </c>
      <c r="O365" s="76" t="s">
        <v>23</v>
      </c>
      <c r="Q365" s="10" t="s">
        <v>40</v>
      </c>
      <c r="R365" s="1039" t="s">
        <v>8711</v>
      </c>
    </row>
    <row r="366" spans="1:18" s="20" customFormat="1" ht="259.2">
      <c r="A366" s="1087">
        <v>44551</v>
      </c>
      <c r="B366" s="76" t="s">
        <v>23</v>
      </c>
      <c r="C366" s="10" t="s">
        <v>9369</v>
      </c>
      <c r="D366" s="770" t="s">
        <v>9455</v>
      </c>
      <c r="E366" s="1049" t="s">
        <v>4574</v>
      </c>
      <c r="F366" s="1049" t="s">
        <v>4048</v>
      </c>
      <c r="G366" s="16">
        <v>2</v>
      </c>
      <c r="H366" s="20">
        <v>260000</v>
      </c>
      <c r="I366" s="17">
        <f t="shared" si="24"/>
        <v>520000</v>
      </c>
      <c r="J366" s="20">
        <f>I366*20%</f>
        <v>104000</v>
      </c>
      <c r="K366" s="171">
        <f t="shared" si="25"/>
        <v>416000</v>
      </c>
      <c r="L366" s="20">
        <v>42000</v>
      </c>
      <c r="N366" s="17">
        <f t="shared" si="26"/>
        <v>458000</v>
      </c>
      <c r="O366" s="76" t="s">
        <v>23</v>
      </c>
      <c r="Q366" s="10" t="s">
        <v>28</v>
      </c>
      <c r="R366" s="1039" t="s">
        <v>8711</v>
      </c>
    </row>
    <row r="367" spans="1:18" s="20" customFormat="1" ht="259.2">
      <c r="A367" s="1087">
        <v>44551</v>
      </c>
      <c r="B367" s="76" t="s">
        <v>23</v>
      </c>
      <c r="C367" s="10" t="s">
        <v>9369</v>
      </c>
      <c r="D367" s="770" t="s">
        <v>9455</v>
      </c>
      <c r="E367" s="1050" t="s">
        <v>9370</v>
      </c>
      <c r="F367" s="1050" t="s">
        <v>9371</v>
      </c>
      <c r="G367" s="16">
        <v>2</v>
      </c>
      <c r="H367" s="20">
        <v>109000</v>
      </c>
      <c r="I367" s="17">
        <f t="shared" si="24"/>
        <v>218000</v>
      </c>
      <c r="J367" s="20">
        <f t="shared" ref="J367:J373" si="29">I367*20%</f>
        <v>43600</v>
      </c>
      <c r="K367" s="171">
        <f t="shared" si="25"/>
        <v>174400</v>
      </c>
      <c r="N367" s="17">
        <f t="shared" si="26"/>
        <v>174400</v>
      </c>
      <c r="O367" s="76" t="s">
        <v>23</v>
      </c>
      <c r="Q367" s="10" t="s">
        <v>28</v>
      </c>
      <c r="R367" s="1039" t="s">
        <v>8711</v>
      </c>
    </row>
    <row r="368" spans="1:18" s="20" customFormat="1" ht="259.2">
      <c r="A368" s="1087">
        <v>44551</v>
      </c>
      <c r="B368" s="76" t="s">
        <v>23</v>
      </c>
      <c r="C368" s="10" t="s">
        <v>9369</v>
      </c>
      <c r="D368" s="770" t="s">
        <v>9455</v>
      </c>
      <c r="E368" s="1049" t="s">
        <v>147</v>
      </c>
      <c r="F368" s="1049" t="s">
        <v>148</v>
      </c>
      <c r="G368" s="16">
        <v>2</v>
      </c>
      <c r="H368" s="20">
        <v>106000</v>
      </c>
      <c r="I368" s="17">
        <f t="shared" si="24"/>
        <v>212000</v>
      </c>
      <c r="J368" s="20">
        <f t="shared" si="29"/>
        <v>42400</v>
      </c>
      <c r="K368" s="171">
        <f t="shared" si="25"/>
        <v>169600</v>
      </c>
      <c r="N368" s="17">
        <f t="shared" si="26"/>
        <v>169600</v>
      </c>
      <c r="O368" s="76" t="s">
        <v>23</v>
      </c>
      <c r="Q368" s="10" t="s">
        <v>28</v>
      </c>
      <c r="R368" s="1039" t="s">
        <v>8711</v>
      </c>
    </row>
    <row r="369" spans="1:18" s="20" customFormat="1" ht="259.2">
      <c r="A369" s="1087">
        <v>44551</v>
      </c>
      <c r="B369" s="76" t="s">
        <v>23</v>
      </c>
      <c r="C369" s="10" t="s">
        <v>9369</v>
      </c>
      <c r="D369" s="770" t="s">
        <v>9455</v>
      </c>
      <c r="E369" s="1050" t="s">
        <v>2649</v>
      </c>
      <c r="F369" s="1050" t="s">
        <v>2650</v>
      </c>
      <c r="G369" s="16">
        <v>2</v>
      </c>
      <c r="H369" s="20">
        <v>103000</v>
      </c>
      <c r="I369" s="17">
        <f t="shared" si="24"/>
        <v>206000</v>
      </c>
      <c r="J369" s="20">
        <f t="shared" si="29"/>
        <v>41200</v>
      </c>
      <c r="K369" s="171">
        <f t="shared" si="25"/>
        <v>164800</v>
      </c>
      <c r="N369" s="17">
        <f t="shared" si="26"/>
        <v>164800</v>
      </c>
      <c r="O369" s="76" t="s">
        <v>23</v>
      </c>
      <c r="Q369" s="10" t="s">
        <v>28</v>
      </c>
      <c r="R369" s="1039" t="s">
        <v>8711</v>
      </c>
    </row>
    <row r="370" spans="1:18" s="20" customFormat="1" ht="259.2">
      <c r="A370" s="1087">
        <v>44551</v>
      </c>
      <c r="B370" s="76" t="s">
        <v>23</v>
      </c>
      <c r="C370" s="10" t="s">
        <v>9369</v>
      </c>
      <c r="D370" s="770" t="s">
        <v>9455</v>
      </c>
      <c r="E370" s="1049" t="s">
        <v>5561</v>
      </c>
      <c r="F370" s="1049" t="s">
        <v>5562</v>
      </c>
      <c r="G370" s="16">
        <v>2</v>
      </c>
      <c r="H370" s="20">
        <v>73000</v>
      </c>
      <c r="I370" s="17">
        <f t="shared" si="24"/>
        <v>146000</v>
      </c>
      <c r="J370" s="20">
        <f t="shared" si="29"/>
        <v>29200</v>
      </c>
      <c r="K370" s="171">
        <f t="shared" si="25"/>
        <v>116800</v>
      </c>
      <c r="N370" s="17">
        <f t="shared" si="26"/>
        <v>116800</v>
      </c>
      <c r="O370" s="76" t="s">
        <v>23</v>
      </c>
      <c r="Q370" s="10" t="s">
        <v>28</v>
      </c>
      <c r="R370" s="1039" t="s">
        <v>8716</v>
      </c>
    </row>
    <row r="371" spans="1:18" s="20" customFormat="1" ht="259.2">
      <c r="A371" s="1087">
        <v>44551</v>
      </c>
      <c r="B371" s="76" t="s">
        <v>23</v>
      </c>
      <c r="C371" s="10" t="s">
        <v>9369</v>
      </c>
      <c r="D371" s="770" t="s">
        <v>9455</v>
      </c>
      <c r="E371" s="1049" t="s">
        <v>73</v>
      </c>
      <c r="F371" s="1049" t="s">
        <v>74</v>
      </c>
      <c r="G371" s="16">
        <v>2</v>
      </c>
      <c r="H371" s="20">
        <v>139000</v>
      </c>
      <c r="I371" s="17">
        <f t="shared" si="24"/>
        <v>278000</v>
      </c>
      <c r="J371" s="20">
        <f t="shared" si="29"/>
        <v>55600</v>
      </c>
      <c r="K371" s="171">
        <f t="shared" si="25"/>
        <v>222400</v>
      </c>
      <c r="N371" s="17">
        <f t="shared" si="26"/>
        <v>222400</v>
      </c>
      <c r="O371" s="76" t="s">
        <v>23</v>
      </c>
      <c r="Q371" s="10" t="s">
        <v>28</v>
      </c>
      <c r="R371" s="1039" t="s">
        <v>8716</v>
      </c>
    </row>
    <row r="372" spans="1:18" s="20" customFormat="1" ht="259.2">
      <c r="A372" s="1087">
        <v>44551</v>
      </c>
      <c r="B372" s="76" t="s">
        <v>23</v>
      </c>
      <c r="C372" s="10" t="s">
        <v>9369</v>
      </c>
      <c r="D372" s="770" t="s">
        <v>9455</v>
      </c>
      <c r="E372" s="1050" t="s">
        <v>9372</v>
      </c>
      <c r="F372" s="1050" t="s">
        <v>9373</v>
      </c>
      <c r="G372" s="16">
        <v>2</v>
      </c>
      <c r="H372" s="20">
        <v>136000</v>
      </c>
      <c r="I372" s="17">
        <f t="shared" si="24"/>
        <v>272000</v>
      </c>
      <c r="J372" s="20">
        <f t="shared" si="29"/>
        <v>54400</v>
      </c>
      <c r="K372" s="171">
        <f t="shared" si="25"/>
        <v>217600</v>
      </c>
      <c r="N372" s="17">
        <f t="shared" si="26"/>
        <v>217600</v>
      </c>
      <c r="O372" s="76" t="s">
        <v>23</v>
      </c>
      <c r="Q372" s="10" t="s">
        <v>28</v>
      </c>
      <c r="R372" s="1039" t="s">
        <v>8716</v>
      </c>
    </row>
    <row r="373" spans="1:18" s="20" customFormat="1" ht="259.2">
      <c r="A373" s="1087">
        <v>44551</v>
      </c>
      <c r="B373" s="76" t="s">
        <v>23</v>
      </c>
      <c r="C373" s="10" t="s">
        <v>9369</v>
      </c>
      <c r="D373" s="770" t="s">
        <v>9455</v>
      </c>
      <c r="E373" s="1049" t="s">
        <v>553</v>
      </c>
      <c r="F373" s="1049" t="s">
        <v>554</v>
      </c>
      <c r="G373" s="969">
        <v>2</v>
      </c>
      <c r="H373" s="20">
        <v>72000</v>
      </c>
      <c r="I373" s="17">
        <f t="shared" si="24"/>
        <v>144000</v>
      </c>
      <c r="J373" s="20">
        <f t="shared" si="29"/>
        <v>28800</v>
      </c>
      <c r="K373" s="171">
        <f t="shared" si="25"/>
        <v>115200</v>
      </c>
      <c r="N373" s="17">
        <f t="shared" si="26"/>
        <v>115200</v>
      </c>
      <c r="O373" s="76" t="s">
        <v>23</v>
      </c>
      <c r="Q373" s="10" t="s">
        <v>28</v>
      </c>
      <c r="R373" s="1039" t="s">
        <v>8716</v>
      </c>
    </row>
    <row r="374" spans="1:18" s="20" customFormat="1">
      <c r="A374" s="1087">
        <v>44551</v>
      </c>
      <c r="B374" s="76" t="s">
        <v>23</v>
      </c>
      <c r="C374" s="10" t="s">
        <v>9374</v>
      </c>
      <c r="D374" s="29" t="s">
        <v>9375</v>
      </c>
      <c r="E374" s="934" t="s">
        <v>4225</v>
      </c>
      <c r="F374" s="934" t="s">
        <v>4226</v>
      </c>
      <c r="G374" s="1025">
        <v>4</v>
      </c>
      <c r="H374" s="20">
        <v>126000</v>
      </c>
      <c r="I374" s="17">
        <f t="shared" si="24"/>
        <v>504000</v>
      </c>
      <c r="J374" s="20">
        <f>I374*20%</f>
        <v>100800</v>
      </c>
      <c r="K374" s="171">
        <f t="shared" si="25"/>
        <v>403200</v>
      </c>
      <c r="L374" s="20">
        <v>75000</v>
      </c>
      <c r="N374" s="17">
        <f t="shared" si="26"/>
        <v>478200</v>
      </c>
      <c r="O374" s="76" t="s">
        <v>23</v>
      </c>
      <c r="Q374" s="10" t="s">
        <v>40</v>
      </c>
      <c r="R374" s="1039" t="s">
        <v>8711</v>
      </c>
    </row>
    <row r="375" spans="1:18" s="20" customFormat="1">
      <c r="A375" s="1087">
        <v>44551</v>
      </c>
      <c r="B375" s="76" t="s">
        <v>23</v>
      </c>
      <c r="C375" s="10" t="s">
        <v>9374</v>
      </c>
      <c r="D375" s="29" t="s">
        <v>9376</v>
      </c>
      <c r="E375" s="934" t="s">
        <v>553</v>
      </c>
      <c r="F375" s="934" t="s">
        <v>554</v>
      </c>
      <c r="G375" s="969">
        <v>4</v>
      </c>
      <c r="H375" s="20">
        <v>72000</v>
      </c>
      <c r="I375" s="17">
        <f t="shared" si="24"/>
        <v>288000</v>
      </c>
      <c r="J375" s="20">
        <f t="shared" ref="J375:J377" si="30">I375*20%</f>
        <v>57600</v>
      </c>
      <c r="K375" s="171">
        <f t="shared" si="25"/>
        <v>230400</v>
      </c>
      <c r="N375" s="17">
        <f t="shared" si="26"/>
        <v>230400</v>
      </c>
      <c r="O375" s="76" t="s">
        <v>23</v>
      </c>
      <c r="Q375" s="10" t="s">
        <v>40</v>
      </c>
      <c r="R375" s="1039" t="s">
        <v>8711</v>
      </c>
    </row>
    <row r="376" spans="1:18" s="20" customFormat="1">
      <c r="A376" s="1087">
        <v>44551</v>
      </c>
      <c r="B376" s="76" t="s">
        <v>23</v>
      </c>
      <c r="C376" s="10" t="s">
        <v>9374</v>
      </c>
      <c r="D376" s="29" t="s">
        <v>9377</v>
      </c>
      <c r="E376" s="934" t="s">
        <v>71</v>
      </c>
      <c r="F376" s="934" t="s">
        <v>835</v>
      </c>
      <c r="G376" s="405">
        <v>4</v>
      </c>
      <c r="H376" s="20">
        <v>96000</v>
      </c>
      <c r="I376" s="17">
        <f t="shared" si="24"/>
        <v>384000</v>
      </c>
      <c r="J376" s="20">
        <f t="shared" si="30"/>
        <v>76800</v>
      </c>
      <c r="K376" s="171">
        <f t="shared" si="25"/>
        <v>307200</v>
      </c>
      <c r="N376" s="17">
        <f t="shared" si="26"/>
        <v>307200</v>
      </c>
      <c r="O376" s="76" t="s">
        <v>23</v>
      </c>
      <c r="Q376" s="10" t="s">
        <v>40</v>
      </c>
      <c r="R376" s="1039" t="s">
        <v>8711</v>
      </c>
    </row>
    <row r="377" spans="1:18" s="20" customFormat="1">
      <c r="A377" s="1087">
        <v>44551</v>
      </c>
      <c r="B377" s="76" t="s">
        <v>23</v>
      </c>
      <c r="C377" s="10" t="s">
        <v>9374</v>
      </c>
      <c r="D377" s="29" t="s">
        <v>9378</v>
      </c>
      <c r="E377" s="934" t="s">
        <v>5561</v>
      </c>
      <c r="F377" s="934" t="s">
        <v>5562</v>
      </c>
      <c r="G377" s="16">
        <v>4</v>
      </c>
      <c r="H377" s="20">
        <v>73000</v>
      </c>
      <c r="I377" s="17">
        <f t="shared" si="24"/>
        <v>292000</v>
      </c>
      <c r="J377" s="20">
        <f t="shared" si="30"/>
        <v>58400</v>
      </c>
      <c r="K377" s="171">
        <f t="shared" si="25"/>
        <v>233600</v>
      </c>
      <c r="N377" s="17">
        <f t="shared" si="26"/>
        <v>233600</v>
      </c>
      <c r="O377" s="76" t="s">
        <v>23</v>
      </c>
      <c r="Q377" s="10" t="s">
        <v>40</v>
      </c>
      <c r="R377" s="1039" t="s">
        <v>8711</v>
      </c>
    </row>
    <row r="378" spans="1:18" s="20" customFormat="1">
      <c r="A378" s="1087">
        <v>44551</v>
      </c>
      <c r="B378" s="76" t="s">
        <v>23</v>
      </c>
      <c r="C378" s="10" t="s">
        <v>9379</v>
      </c>
      <c r="D378" s="29" t="s">
        <v>9380</v>
      </c>
      <c r="E378" s="76" t="s">
        <v>9381</v>
      </c>
      <c r="F378" s="76" t="s">
        <v>7970</v>
      </c>
      <c r="G378" s="16">
        <v>1</v>
      </c>
      <c r="H378" s="20">
        <v>132000</v>
      </c>
      <c r="I378" s="17">
        <f t="shared" si="24"/>
        <v>132000</v>
      </c>
      <c r="K378" s="171">
        <f t="shared" si="25"/>
        <v>132000</v>
      </c>
      <c r="L378" s="20">
        <v>26000</v>
      </c>
      <c r="N378" s="17">
        <f t="shared" si="26"/>
        <v>158000</v>
      </c>
      <c r="O378" s="76" t="s">
        <v>23</v>
      </c>
      <c r="Q378" s="10" t="s">
        <v>40</v>
      </c>
      <c r="R378" s="739" t="s">
        <v>8716</v>
      </c>
    </row>
    <row r="379" spans="1:18" s="20" customFormat="1">
      <c r="A379" s="1087">
        <v>44551</v>
      </c>
      <c r="B379" s="76" t="s">
        <v>23</v>
      </c>
      <c r="C379" s="10" t="s">
        <v>9382</v>
      </c>
      <c r="D379" s="29" t="s">
        <v>9383</v>
      </c>
      <c r="E379" s="76" t="s">
        <v>5557</v>
      </c>
      <c r="F379" s="76" t="s">
        <v>5558</v>
      </c>
      <c r="G379" s="16">
        <v>2</v>
      </c>
      <c r="H379" s="20">
        <v>131000</v>
      </c>
      <c r="I379" s="17">
        <f t="shared" si="24"/>
        <v>262000</v>
      </c>
      <c r="J379" s="20">
        <f>I379*40%</f>
        <v>104800</v>
      </c>
      <c r="K379" s="171">
        <f t="shared" si="25"/>
        <v>157200</v>
      </c>
      <c r="L379" s="20">
        <v>30000</v>
      </c>
      <c r="N379" s="17">
        <f t="shared" si="26"/>
        <v>187200</v>
      </c>
      <c r="O379" s="76" t="s">
        <v>23</v>
      </c>
      <c r="Q379" s="10" t="s">
        <v>40</v>
      </c>
      <c r="R379" s="1039" t="s">
        <v>8711</v>
      </c>
    </row>
    <row r="380" spans="1:18" s="20" customFormat="1">
      <c r="A380" s="1087">
        <v>44551</v>
      </c>
      <c r="B380" s="76" t="s">
        <v>313</v>
      </c>
      <c r="C380" s="10" t="s">
        <v>9384</v>
      </c>
      <c r="D380" s="29" t="s">
        <v>9385</v>
      </c>
      <c r="E380" s="76" t="s">
        <v>7021</v>
      </c>
      <c r="F380" s="76" t="s">
        <v>7022</v>
      </c>
      <c r="G380" s="16">
        <v>1</v>
      </c>
      <c r="H380" s="20">
        <v>152000</v>
      </c>
      <c r="I380" s="17">
        <f t="shared" si="24"/>
        <v>152000</v>
      </c>
      <c r="K380" s="171">
        <f t="shared" si="25"/>
        <v>152000</v>
      </c>
      <c r="L380" s="20">
        <v>6077</v>
      </c>
      <c r="N380" s="17">
        <f t="shared" si="26"/>
        <v>158077</v>
      </c>
      <c r="O380" s="76" t="s">
        <v>23</v>
      </c>
      <c r="Q380" s="10" t="s">
        <v>28</v>
      </c>
      <c r="R380" s="76" t="s">
        <v>8711</v>
      </c>
    </row>
    <row r="381" spans="1:18" s="20" customFormat="1">
      <c r="A381" s="1087">
        <v>44552</v>
      </c>
      <c r="B381" s="76" t="s">
        <v>43</v>
      </c>
      <c r="C381" s="10" t="s">
        <v>9386</v>
      </c>
      <c r="D381" s="29" t="s">
        <v>9387</v>
      </c>
      <c r="E381" s="1049" t="s">
        <v>1802</v>
      </c>
      <c r="F381" s="1049" t="s">
        <v>1803</v>
      </c>
      <c r="G381" s="16">
        <v>1</v>
      </c>
      <c r="H381" s="20">
        <v>68000</v>
      </c>
      <c r="I381" s="17">
        <f t="shared" si="24"/>
        <v>68000</v>
      </c>
      <c r="J381" s="20">
        <f>I381*20%</f>
        <v>13600</v>
      </c>
      <c r="K381" s="171">
        <f t="shared" si="25"/>
        <v>54400</v>
      </c>
      <c r="L381" s="20">
        <v>-4883</v>
      </c>
      <c r="N381" s="17">
        <f t="shared" si="26"/>
        <v>49517</v>
      </c>
      <c r="O381" s="76" t="s">
        <v>43</v>
      </c>
      <c r="Q381" s="10" t="s">
        <v>54</v>
      </c>
      <c r="R381" s="76" t="s">
        <v>8711</v>
      </c>
    </row>
    <row r="382" spans="1:18" s="20" customFormat="1">
      <c r="A382" s="1087">
        <v>44552</v>
      </c>
      <c r="B382" s="76" t="s">
        <v>43</v>
      </c>
      <c r="C382" s="10" t="s">
        <v>9386</v>
      </c>
      <c r="D382" s="29" t="s">
        <v>9388</v>
      </c>
      <c r="E382" s="1049" t="s">
        <v>1351</v>
      </c>
      <c r="F382" s="1049" t="s">
        <v>1352</v>
      </c>
      <c r="G382" s="16">
        <v>1</v>
      </c>
      <c r="H382" s="20">
        <v>41000</v>
      </c>
      <c r="I382" s="17">
        <f t="shared" si="24"/>
        <v>41000</v>
      </c>
      <c r="J382" s="20">
        <f>I382*20%</f>
        <v>8200</v>
      </c>
      <c r="K382" s="171">
        <f t="shared" si="25"/>
        <v>32800</v>
      </c>
      <c r="N382" s="17">
        <f t="shared" si="26"/>
        <v>32800</v>
      </c>
      <c r="O382" s="76" t="s">
        <v>43</v>
      </c>
      <c r="Q382" s="10" t="s">
        <v>54</v>
      </c>
      <c r="R382" s="76" t="s">
        <v>8711</v>
      </c>
    </row>
    <row r="383" spans="1:18" s="20" customFormat="1">
      <c r="A383" s="1087">
        <v>44552</v>
      </c>
      <c r="B383" s="76" t="s">
        <v>206</v>
      </c>
      <c r="C383" s="10" t="s">
        <v>9389</v>
      </c>
      <c r="D383" s="29" t="s">
        <v>9390</v>
      </c>
      <c r="E383" s="76" t="s">
        <v>5448</v>
      </c>
      <c r="F383" s="76" t="s">
        <v>72</v>
      </c>
      <c r="G383" s="16">
        <v>1</v>
      </c>
      <c r="H383" s="20">
        <v>117000</v>
      </c>
      <c r="I383" s="17">
        <f t="shared" si="24"/>
        <v>117000</v>
      </c>
      <c r="K383" s="171">
        <f t="shared" si="25"/>
        <v>117000</v>
      </c>
      <c r="L383" s="20">
        <f>16000-16000</f>
        <v>0</v>
      </c>
      <c r="N383" s="17">
        <f t="shared" si="26"/>
        <v>117000</v>
      </c>
      <c r="O383" s="76" t="s">
        <v>206</v>
      </c>
      <c r="Q383" s="10" t="s">
        <v>328</v>
      </c>
      <c r="R383" s="76" t="s">
        <v>8711</v>
      </c>
    </row>
    <row r="384" spans="1:18" s="20" customFormat="1">
      <c r="A384" s="1087">
        <v>44552</v>
      </c>
      <c r="B384" s="76" t="s">
        <v>177</v>
      </c>
      <c r="C384" s="10" t="s">
        <v>9391</v>
      </c>
      <c r="D384" s="29" t="s">
        <v>9392</v>
      </c>
      <c r="E384" s="739" t="s">
        <v>3439</v>
      </c>
      <c r="F384" s="739" t="s">
        <v>3440</v>
      </c>
      <c r="G384" s="16">
        <v>1</v>
      </c>
      <c r="H384" s="20">
        <v>108000</v>
      </c>
      <c r="I384" s="17">
        <f t="shared" si="24"/>
        <v>108000</v>
      </c>
      <c r="J384" s="20">
        <f>I384*20%</f>
        <v>21600</v>
      </c>
      <c r="K384" s="171">
        <f t="shared" si="25"/>
        <v>86400</v>
      </c>
      <c r="L384" s="20">
        <v>6500</v>
      </c>
      <c r="N384" s="17">
        <f t="shared" si="26"/>
        <v>92900</v>
      </c>
      <c r="O384" s="76" t="s">
        <v>177</v>
      </c>
      <c r="Q384" s="10" t="s">
        <v>54</v>
      </c>
      <c r="R384" s="76" t="s">
        <v>8711</v>
      </c>
    </row>
    <row r="385" spans="1:18" s="20" customFormat="1">
      <c r="A385" s="1087">
        <v>44552</v>
      </c>
      <c r="B385" s="777" t="s">
        <v>43</v>
      </c>
      <c r="C385" s="972" t="s">
        <v>9393</v>
      </c>
      <c r="D385" s="29" t="s">
        <v>9394</v>
      </c>
      <c r="E385" s="777" t="s">
        <v>141</v>
      </c>
      <c r="F385" s="777" t="s">
        <v>142</v>
      </c>
      <c r="G385" s="974">
        <v>1</v>
      </c>
      <c r="H385" s="20">
        <v>68000</v>
      </c>
      <c r="I385" s="17">
        <f t="shared" si="24"/>
        <v>68000</v>
      </c>
      <c r="K385" s="171">
        <f t="shared" si="25"/>
        <v>68000</v>
      </c>
      <c r="M385" s="20">
        <v>-3808</v>
      </c>
      <c r="N385" s="17">
        <f t="shared" si="26"/>
        <v>64192</v>
      </c>
      <c r="O385" s="777" t="s">
        <v>43</v>
      </c>
      <c r="Q385" s="972" t="s">
        <v>176</v>
      </c>
      <c r="R385" s="885" t="s">
        <v>8711</v>
      </c>
    </row>
    <row r="386" spans="1:18" s="20" customFormat="1">
      <c r="A386" s="1087">
        <v>44552</v>
      </c>
      <c r="B386" s="76" t="s">
        <v>43</v>
      </c>
      <c r="C386" s="10" t="s">
        <v>9395</v>
      </c>
      <c r="D386" s="29" t="s">
        <v>9396</v>
      </c>
      <c r="E386" s="76" t="s">
        <v>3035</v>
      </c>
      <c r="F386" s="76" t="s">
        <v>3036</v>
      </c>
      <c r="G386" s="16">
        <v>1</v>
      </c>
      <c r="H386" s="20">
        <v>84000</v>
      </c>
      <c r="I386" s="17">
        <f t="shared" si="24"/>
        <v>84000</v>
      </c>
      <c r="J386" s="20">
        <f>I386*20%</f>
        <v>16800</v>
      </c>
      <c r="K386" s="171">
        <f t="shared" si="25"/>
        <v>67200</v>
      </c>
      <c r="L386" s="20">
        <v>7000</v>
      </c>
      <c r="M386" s="20">
        <v>-3763</v>
      </c>
      <c r="N386" s="17">
        <f t="shared" si="26"/>
        <v>70437</v>
      </c>
      <c r="O386" s="76" t="s">
        <v>43</v>
      </c>
      <c r="Q386" s="76" t="s">
        <v>176</v>
      </c>
      <c r="R386" s="739" t="s">
        <v>8716</v>
      </c>
    </row>
    <row r="387" spans="1:18" s="20" customFormat="1">
      <c r="A387" s="1088">
        <v>44553</v>
      </c>
      <c r="B387" s="76" t="s">
        <v>43</v>
      </c>
      <c r="C387" s="10" t="s">
        <v>9397</v>
      </c>
      <c r="D387" s="29" t="s">
        <v>9398</v>
      </c>
      <c r="E387" s="76" t="s">
        <v>7023</v>
      </c>
      <c r="F387" s="76" t="s">
        <v>2031</v>
      </c>
      <c r="G387" s="16">
        <v>1</v>
      </c>
      <c r="H387" s="20">
        <v>71500</v>
      </c>
      <c r="I387" s="17">
        <f t="shared" si="24"/>
        <v>71500</v>
      </c>
      <c r="J387" s="20">
        <f>I387*20%</f>
        <v>14300</v>
      </c>
      <c r="K387" s="171">
        <f t="shared" si="25"/>
        <v>57200</v>
      </c>
      <c r="M387" s="20">
        <v>-3203</v>
      </c>
      <c r="N387" s="17">
        <f t="shared" si="26"/>
        <v>53997</v>
      </c>
      <c r="O387" s="76" t="s">
        <v>43</v>
      </c>
      <c r="Q387" s="10" t="s">
        <v>54</v>
      </c>
      <c r="R387" s="739" t="s">
        <v>8716</v>
      </c>
    </row>
    <row r="388" spans="1:18" s="20" customFormat="1">
      <c r="A388" s="1088">
        <v>44553</v>
      </c>
      <c r="B388" s="76" t="s">
        <v>43</v>
      </c>
      <c r="C388" s="10" t="s">
        <v>1242</v>
      </c>
      <c r="D388" s="29" t="s">
        <v>9399</v>
      </c>
      <c r="E388" s="76" t="s">
        <v>233</v>
      </c>
      <c r="F388" s="76" t="s">
        <v>234</v>
      </c>
      <c r="G388" s="16">
        <v>1</v>
      </c>
      <c r="H388" s="20">
        <v>83500</v>
      </c>
      <c r="I388" s="17">
        <f t="shared" ref="I388:I391" si="31">H388*G388</f>
        <v>83500</v>
      </c>
      <c r="J388" s="20">
        <f>I388*20%</f>
        <v>16700</v>
      </c>
      <c r="K388" s="171">
        <f t="shared" si="25"/>
        <v>66800</v>
      </c>
      <c r="M388" s="20">
        <v>-3741</v>
      </c>
      <c r="N388" s="17">
        <f t="shared" si="26"/>
        <v>63059</v>
      </c>
      <c r="O388" s="76" t="s">
        <v>43</v>
      </c>
      <c r="Q388" s="10" t="s">
        <v>54</v>
      </c>
      <c r="R388" s="739" t="s">
        <v>8716</v>
      </c>
    </row>
    <row r="389" spans="1:18" s="20" customFormat="1">
      <c r="A389" s="1088">
        <v>44553</v>
      </c>
      <c r="B389" s="76" t="s">
        <v>23</v>
      </c>
      <c r="C389" s="10" t="s">
        <v>9400</v>
      </c>
      <c r="D389" s="29" t="s">
        <v>9401</v>
      </c>
      <c r="E389" s="913" t="s">
        <v>2547</v>
      </c>
      <c r="F389" s="913" t="s">
        <v>2548</v>
      </c>
      <c r="G389" s="16">
        <v>1</v>
      </c>
      <c r="H389" s="20">
        <v>70700</v>
      </c>
      <c r="I389" s="17">
        <f t="shared" si="31"/>
        <v>70700</v>
      </c>
      <c r="K389" s="171">
        <f t="shared" ref="K389:K391" si="32">I389-J389</f>
        <v>70700</v>
      </c>
      <c r="L389" s="20">
        <v>20000</v>
      </c>
      <c r="N389" s="17">
        <f t="shared" si="26"/>
        <v>90700</v>
      </c>
      <c r="O389" s="76" t="s">
        <v>23</v>
      </c>
      <c r="Q389" s="10" t="s">
        <v>40</v>
      </c>
      <c r="R389" s="739" t="s">
        <v>8716</v>
      </c>
    </row>
    <row r="390" spans="1:18" s="20" customFormat="1">
      <c r="A390" s="1088">
        <v>44553</v>
      </c>
      <c r="B390" s="76" t="s">
        <v>23</v>
      </c>
      <c r="C390" s="10" t="s">
        <v>9400</v>
      </c>
      <c r="D390" s="29" t="s">
        <v>9402</v>
      </c>
      <c r="E390" s="913" t="s">
        <v>5216</v>
      </c>
      <c r="F390" s="913" t="s">
        <v>7369</v>
      </c>
      <c r="G390" s="16">
        <v>1</v>
      </c>
      <c r="H390" s="20">
        <v>101600</v>
      </c>
      <c r="I390" s="17">
        <f t="shared" si="31"/>
        <v>101600</v>
      </c>
      <c r="K390" s="171">
        <f t="shared" si="32"/>
        <v>101600</v>
      </c>
      <c r="N390" s="17">
        <f t="shared" ref="N390:N391" si="33">K390+L390+M390</f>
        <v>101600</v>
      </c>
      <c r="O390" s="76" t="s">
        <v>23</v>
      </c>
      <c r="Q390" s="10" t="s">
        <v>40</v>
      </c>
      <c r="R390" s="76" t="s">
        <v>8711</v>
      </c>
    </row>
    <row r="391" spans="1:18" s="20" customFormat="1" ht="230.4">
      <c r="A391" s="1088">
        <v>44553</v>
      </c>
      <c r="B391" s="76" t="s">
        <v>23</v>
      </c>
      <c r="C391" s="10" t="s">
        <v>9403</v>
      </c>
      <c r="D391" s="770" t="s">
        <v>9456</v>
      </c>
      <c r="E391" s="76" t="s">
        <v>6269</v>
      </c>
      <c r="F391" s="76" t="s">
        <v>6270</v>
      </c>
      <c r="G391" s="16">
        <v>1</v>
      </c>
      <c r="H391" s="20">
        <v>128000</v>
      </c>
      <c r="I391" s="17">
        <f t="shared" si="31"/>
        <v>128000</v>
      </c>
      <c r="K391" s="171">
        <f t="shared" si="32"/>
        <v>128000</v>
      </c>
      <c r="L391" s="20">
        <v>57000</v>
      </c>
      <c r="N391" s="17">
        <f t="shared" si="33"/>
        <v>185000</v>
      </c>
      <c r="O391" s="76" t="s">
        <v>23</v>
      </c>
      <c r="Q391" s="10" t="s">
        <v>40</v>
      </c>
      <c r="R391" s="76" t="s">
        <v>8711</v>
      </c>
    </row>
  </sheetData>
  <dataValidations count="1">
    <dataValidation type="list" allowBlank="1" showErrorMessage="1" sqref="Q1" xr:uid="{00000000-0002-0000-0B00-000000000000}">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X420"/>
  <sheetViews>
    <sheetView topLeftCell="D309" workbookViewId="0">
      <selection activeCell="D313" sqref="D313"/>
    </sheetView>
  </sheetViews>
  <sheetFormatPr defaultRowHeight="14.4"/>
  <cols>
    <col min="4" max="4" width="205.5546875" bestFit="1" customWidth="1"/>
    <col min="11" max="11" width="12.44140625" bestFit="1" customWidth="1"/>
  </cols>
  <sheetData>
    <row r="1" spans="1:24">
      <c r="A1" s="2" t="s">
        <v>0</v>
      </c>
      <c r="B1" s="3" t="s">
        <v>1</v>
      </c>
      <c r="C1" s="3" t="s">
        <v>2</v>
      </c>
      <c r="D1" s="3" t="s">
        <v>3</v>
      </c>
      <c r="E1" s="3" t="s">
        <v>4</v>
      </c>
      <c r="F1" s="3" t="s">
        <v>5</v>
      </c>
      <c r="G1" s="414" t="s">
        <v>4668</v>
      </c>
      <c r="H1" s="3" t="s">
        <v>7</v>
      </c>
      <c r="I1" s="8" t="s">
        <v>8</v>
      </c>
      <c r="J1" s="5" t="s">
        <v>9</v>
      </c>
      <c r="K1" s="5" t="s">
        <v>10</v>
      </c>
      <c r="L1" s="5" t="s">
        <v>11</v>
      </c>
      <c r="M1" s="5" t="s">
        <v>12</v>
      </c>
      <c r="N1" s="5" t="s">
        <v>13</v>
      </c>
      <c r="O1" s="6" t="s">
        <v>14</v>
      </c>
      <c r="P1" s="7" t="s">
        <v>15</v>
      </c>
      <c r="Q1" s="3" t="s">
        <v>16</v>
      </c>
      <c r="R1" s="3" t="s">
        <v>17</v>
      </c>
      <c r="S1" s="4" t="s">
        <v>18</v>
      </c>
      <c r="T1" s="5" t="s">
        <v>19</v>
      </c>
      <c r="U1" s="5" t="s">
        <v>20</v>
      </c>
      <c r="V1" s="5" t="s">
        <v>21</v>
      </c>
      <c r="W1" s="6" t="s">
        <v>22</v>
      </c>
      <c r="X1" s="1"/>
    </row>
    <row r="2" spans="1:24" s="29" customFormat="1" ht="15.6" hidden="1">
      <c r="A2" s="9">
        <v>44221</v>
      </c>
      <c r="B2" s="91" t="s">
        <v>43</v>
      </c>
      <c r="C2" s="91" t="s">
        <v>947</v>
      </c>
      <c r="D2" s="12" t="s">
        <v>948</v>
      </c>
      <c r="E2" s="200" t="s">
        <v>949</v>
      </c>
      <c r="F2" s="128" t="s">
        <v>950</v>
      </c>
      <c r="G2" s="174">
        <v>1</v>
      </c>
      <c r="H2" s="92">
        <v>70000</v>
      </c>
      <c r="I2" s="86">
        <f>H2*G2</f>
        <v>70000</v>
      </c>
      <c r="J2" s="92"/>
      <c r="K2" s="92">
        <f>I2-J2</f>
        <v>70000</v>
      </c>
      <c r="L2" s="92">
        <v>23000</v>
      </c>
      <c r="M2" s="92">
        <v>-3031</v>
      </c>
      <c r="N2" s="92">
        <f>K2+L2+M2</f>
        <v>89969</v>
      </c>
      <c r="O2" s="91" t="s">
        <v>43</v>
      </c>
      <c r="P2" s="31" t="s">
        <v>951</v>
      </c>
      <c r="Q2" s="91" t="s">
        <v>54</v>
      </c>
      <c r="S2" s="12" t="s">
        <v>952</v>
      </c>
      <c r="U2" s="92"/>
      <c r="V2" s="92"/>
      <c r="W2" s="92"/>
      <c r="X2" s="92"/>
    </row>
    <row r="3" spans="1:24" s="29" customFormat="1" ht="15.6" hidden="1">
      <c r="A3" s="9">
        <v>44221</v>
      </c>
      <c r="B3" s="91" t="s">
        <v>43</v>
      </c>
      <c r="C3" s="123" t="s">
        <v>953</v>
      </c>
      <c r="D3" s="12" t="s">
        <v>954</v>
      </c>
      <c r="E3" s="24" t="s">
        <v>955</v>
      </c>
      <c r="F3" s="205" t="s">
        <v>956</v>
      </c>
      <c r="G3" s="174">
        <v>1</v>
      </c>
      <c r="H3" s="92">
        <v>73000</v>
      </c>
      <c r="I3" s="86">
        <f t="shared" ref="I3:I31" si="0">H3*G3</f>
        <v>73000</v>
      </c>
      <c r="J3" s="92"/>
      <c r="K3" s="92">
        <f t="shared" ref="K3:K31" si="1">I3-J3</f>
        <v>73000</v>
      </c>
      <c r="L3" s="92">
        <v>17000</v>
      </c>
      <c r="M3" s="92">
        <v>-7145</v>
      </c>
      <c r="N3" s="92">
        <f t="shared" ref="N3:N35" si="2">K3+L3+M3</f>
        <v>82855</v>
      </c>
      <c r="O3" s="91" t="s">
        <v>43</v>
      </c>
      <c r="P3" s="198" t="s">
        <v>957</v>
      </c>
      <c r="Q3" s="91" t="s">
        <v>54</v>
      </c>
      <c r="S3" s="12" t="s">
        <v>958</v>
      </c>
      <c r="U3" s="92"/>
      <c r="V3" s="92"/>
      <c r="W3" s="92"/>
      <c r="X3" s="92"/>
    </row>
    <row r="4" spans="1:24" s="29" customFormat="1" ht="15.6" hidden="1">
      <c r="A4" s="9">
        <v>44221</v>
      </c>
      <c r="B4" s="91" t="s">
        <v>43</v>
      </c>
      <c r="C4" s="123" t="s">
        <v>953</v>
      </c>
      <c r="D4" s="12" t="s">
        <v>954</v>
      </c>
      <c r="E4" s="24" t="s">
        <v>959</v>
      </c>
      <c r="F4" s="24" t="s">
        <v>960</v>
      </c>
      <c r="G4" s="174">
        <v>1</v>
      </c>
      <c r="H4" s="29">
        <v>92000</v>
      </c>
      <c r="I4" s="86">
        <f t="shared" si="0"/>
        <v>92000</v>
      </c>
      <c r="J4" s="92"/>
      <c r="K4" s="92">
        <f t="shared" si="1"/>
        <v>92000</v>
      </c>
      <c r="L4" s="92"/>
      <c r="M4" s="92"/>
      <c r="N4" s="92">
        <f t="shared" si="2"/>
        <v>92000</v>
      </c>
      <c r="O4" s="91" t="s">
        <v>43</v>
      </c>
      <c r="P4" s="23"/>
      <c r="Q4" s="91" t="s">
        <v>54</v>
      </c>
      <c r="S4" s="23"/>
      <c r="U4" s="92"/>
      <c r="V4" s="92"/>
      <c r="W4" s="92"/>
      <c r="X4" s="92"/>
    </row>
    <row r="5" spans="1:24" s="29" customFormat="1" ht="15.6" hidden="1">
      <c r="A5" s="9">
        <v>44221</v>
      </c>
      <c r="B5" s="91" t="s">
        <v>170</v>
      </c>
      <c r="C5" s="123" t="s">
        <v>961</v>
      </c>
      <c r="D5" s="23" t="s">
        <v>962</v>
      </c>
      <c r="E5" s="22" t="s">
        <v>963</v>
      </c>
      <c r="F5" s="94" t="s">
        <v>964</v>
      </c>
      <c r="G5" s="174">
        <v>1</v>
      </c>
      <c r="H5" s="92">
        <v>86000</v>
      </c>
      <c r="I5" s="86">
        <f t="shared" si="0"/>
        <v>86000</v>
      </c>
      <c r="J5" s="92"/>
      <c r="K5" s="92">
        <f t="shared" si="1"/>
        <v>86000</v>
      </c>
      <c r="L5" s="92">
        <f>23000-23000</f>
        <v>0</v>
      </c>
      <c r="M5" s="92"/>
      <c r="N5" s="92">
        <f t="shared" si="2"/>
        <v>86000</v>
      </c>
      <c r="O5" s="91" t="s">
        <v>170</v>
      </c>
      <c r="P5" s="102" t="s">
        <v>965</v>
      </c>
      <c r="Q5" s="91" t="s">
        <v>176</v>
      </c>
      <c r="S5" s="107" t="s">
        <v>965</v>
      </c>
      <c r="U5" s="92"/>
      <c r="V5" s="92"/>
      <c r="W5" s="92"/>
      <c r="X5" s="92"/>
    </row>
    <row r="6" spans="1:24" s="29" customFormat="1" ht="16.8" hidden="1">
      <c r="A6" s="9">
        <v>44221</v>
      </c>
      <c r="B6" s="91" t="s">
        <v>177</v>
      </c>
      <c r="C6" s="91" t="s">
        <v>966</v>
      </c>
      <c r="D6" s="228" t="s">
        <v>967</v>
      </c>
      <c r="E6" s="91" t="s">
        <v>221</v>
      </c>
      <c r="F6" s="91" t="s">
        <v>222</v>
      </c>
      <c r="G6" s="174">
        <v>1</v>
      </c>
      <c r="H6" s="92">
        <v>44000</v>
      </c>
      <c r="I6" s="86">
        <f t="shared" si="0"/>
        <v>44000</v>
      </c>
      <c r="J6" s="92"/>
      <c r="K6" s="92">
        <f t="shared" si="1"/>
        <v>44000</v>
      </c>
      <c r="L6" s="92">
        <v>6500</v>
      </c>
      <c r="M6" s="92"/>
      <c r="N6" s="92">
        <f t="shared" si="2"/>
        <v>50500</v>
      </c>
      <c r="O6" s="91" t="s">
        <v>177</v>
      </c>
      <c r="P6" s="229">
        <v>529772409016714</v>
      </c>
      <c r="Q6" s="91" t="s">
        <v>54</v>
      </c>
      <c r="S6" s="12" t="s">
        <v>968</v>
      </c>
      <c r="U6" s="92"/>
      <c r="V6" s="92"/>
      <c r="W6" s="92"/>
      <c r="X6" s="92"/>
    </row>
    <row r="7" spans="1:24" s="29" customFormat="1" ht="16.8" hidden="1">
      <c r="A7" s="9">
        <v>44221</v>
      </c>
      <c r="B7" s="91" t="s">
        <v>313</v>
      </c>
      <c r="C7" s="70" t="s">
        <v>969</v>
      </c>
      <c r="D7" s="228" t="s">
        <v>970</v>
      </c>
      <c r="E7" s="14" t="s">
        <v>971</v>
      </c>
      <c r="F7" s="94" t="s">
        <v>972</v>
      </c>
      <c r="G7" s="174">
        <v>1</v>
      </c>
      <c r="H7" s="92">
        <v>39000</v>
      </c>
      <c r="I7" s="86">
        <f t="shared" si="0"/>
        <v>39000</v>
      </c>
      <c r="J7" s="92"/>
      <c r="K7" s="92">
        <f t="shared" si="1"/>
        <v>39000</v>
      </c>
      <c r="L7" s="92">
        <v>53011</v>
      </c>
      <c r="M7" s="92"/>
      <c r="N7" s="92">
        <f t="shared" si="2"/>
        <v>92011</v>
      </c>
      <c r="O7" s="91" t="s">
        <v>313</v>
      </c>
      <c r="P7" s="95"/>
      <c r="Q7" s="91" t="s">
        <v>40</v>
      </c>
      <c r="S7" s="12"/>
      <c r="U7" s="92"/>
      <c r="V7" s="92"/>
      <c r="W7" s="92"/>
      <c r="X7" s="92"/>
    </row>
    <row r="8" spans="1:24" s="29" customFormat="1" ht="16.8" hidden="1">
      <c r="A8" s="9">
        <v>44221</v>
      </c>
      <c r="B8" s="91" t="s">
        <v>313</v>
      </c>
      <c r="C8" s="182" t="s">
        <v>973</v>
      </c>
      <c r="D8" s="228" t="s">
        <v>974</v>
      </c>
      <c r="E8" s="22" t="s">
        <v>975</v>
      </c>
      <c r="F8" s="22" t="s">
        <v>976</v>
      </c>
      <c r="G8" s="174">
        <v>1</v>
      </c>
      <c r="H8" s="92">
        <v>67500</v>
      </c>
      <c r="I8" s="86">
        <f t="shared" si="0"/>
        <v>67500</v>
      </c>
      <c r="J8" s="92"/>
      <c r="K8" s="92">
        <f t="shared" si="1"/>
        <v>67500</v>
      </c>
      <c r="L8" s="92">
        <v>16088</v>
      </c>
      <c r="M8" s="92"/>
      <c r="N8" s="92">
        <f t="shared" si="2"/>
        <v>83588</v>
      </c>
      <c r="O8" s="91" t="s">
        <v>313</v>
      </c>
      <c r="P8" s="95"/>
      <c r="Q8" s="91" t="s">
        <v>40</v>
      </c>
      <c r="S8" s="12"/>
      <c r="U8" s="92"/>
      <c r="V8" s="92"/>
      <c r="W8" s="92"/>
      <c r="X8" s="92"/>
    </row>
    <row r="9" spans="1:24" s="29" customFormat="1" ht="16.8" hidden="1">
      <c r="A9" s="9">
        <v>44221</v>
      </c>
      <c r="B9" s="91" t="s">
        <v>313</v>
      </c>
      <c r="C9" s="70" t="s">
        <v>977</v>
      </c>
      <c r="D9" s="228" t="s">
        <v>978</v>
      </c>
      <c r="E9" s="22" t="s">
        <v>665</v>
      </c>
      <c r="F9" s="22" t="s">
        <v>666</v>
      </c>
      <c r="G9" s="174">
        <v>1</v>
      </c>
      <c r="H9" s="92">
        <v>167000</v>
      </c>
      <c r="I9" s="86">
        <f t="shared" si="0"/>
        <v>167000</v>
      </c>
      <c r="J9" s="92"/>
      <c r="K9" s="92">
        <f t="shared" si="1"/>
        <v>167000</v>
      </c>
      <c r="L9" s="92">
        <v>24067</v>
      </c>
      <c r="M9" s="92"/>
      <c r="N9" s="92">
        <f t="shared" si="2"/>
        <v>191067</v>
      </c>
      <c r="O9" s="91" t="s">
        <v>313</v>
      </c>
      <c r="P9" s="95"/>
      <c r="Q9" s="91" t="s">
        <v>40</v>
      </c>
      <c r="S9" s="12"/>
      <c r="U9" s="92"/>
      <c r="V9" s="92"/>
      <c r="W9" s="92"/>
      <c r="X9" s="92"/>
    </row>
    <row r="10" spans="1:24" s="29" customFormat="1" ht="16.8" hidden="1">
      <c r="A10" s="9">
        <v>44221</v>
      </c>
      <c r="B10" s="91" t="s">
        <v>313</v>
      </c>
      <c r="C10" s="70" t="s">
        <v>979</v>
      </c>
      <c r="D10" s="228" t="s">
        <v>980</v>
      </c>
      <c r="E10" s="230" t="s">
        <v>981</v>
      </c>
      <c r="F10" s="123" t="s">
        <v>982</v>
      </c>
      <c r="G10" s="231">
        <v>1</v>
      </c>
      <c r="H10" s="92">
        <v>132000</v>
      </c>
      <c r="I10" s="86">
        <f t="shared" si="0"/>
        <v>132000</v>
      </c>
      <c r="J10" s="92"/>
      <c r="K10" s="92">
        <f t="shared" si="1"/>
        <v>132000</v>
      </c>
      <c r="L10" s="92">
        <v>10056</v>
      </c>
      <c r="M10" s="92"/>
      <c r="N10" s="92">
        <f t="shared" si="2"/>
        <v>142056</v>
      </c>
      <c r="O10" s="91" t="s">
        <v>313</v>
      </c>
      <c r="P10" s="92"/>
      <c r="Q10" s="91" t="s">
        <v>28</v>
      </c>
      <c r="S10" s="92"/>
      <c r="U10" s="92"/>
      <c r="V10" s="92"/>
      <c r="W10" s="92"/>
      <c r="X10" s="92"/>
    </row>
    <row r="11" spans="1:24" s="29" customFormat="1" ht="16.8" hidden="1">
      <c r="A11" s="9">
        <v>44221</v>
      </c>
      <c r="B11" s="91" t="s">
        <v>313</v>
      </c>
      <c r="C11" s="70" t="s">
        <v>983</v>
      </c>
      <c r="D11" s="228" t="s">
        <v>984</v>
      </c>
      <c r="E11" s="22" t="s">
        <v>985</v>
      </c>
      <c r="F11" s="94" t="s">
        <v>79</v>
      </c>
      <c r="G11" s="174">
        <v>1</v>
      </c>
      <c r="H11" s="92">
        <v>109500</v>
      </c>
      <c r="I11" s="86">
        <f t="shared" si="0"/>
        <v>109500</v>
      </c>
      <c r="J11" s="92"/>
      <c r="K11" s="92">
        <f t="shared" si="1"/>
        <v>109500</v>
      </c>
      <c r="L11" s="92">
        <v>16062</v>
      </c>
      <c r="M11" s="92"/>
      <c r="N11" s="92">
        <f t="shared" si="2"/>
        <v>125562</v>
      </c>
      <c r="O11" s="91" t="s">
        <v>313</v>
      </c>
      <c r="P11" s="36"/>
      <c r="Q11" s="91" t="s">
        <v>40</v>
      </c>
      <c r="S11" s="12"/>
      <c r="U11" s="92"/>
      <c r="V11" s="92"/>
      <c r="W11" s="92"/>
      <c r="X11" s="92"/>
    </row>
    <row r="12" spans="1:24" s="29" customFormat="1" ht="16.8" hidden="1">
      <c r="A12" s="9">
        <v>44221</v>
      </c>
      <c r="B12" s="91" t="s">
        <v>177</v>
      </c>
      <c r="C12" s="91" t="s">
        <v>986</v>
      </c>
      <c r="D12" s="228" t="s">
        <v>987</v>
      </c>
      <c r="E12" s="22" t="s">
        <v>988</v>
      </c>
      <c r="F12" s="22" t="s">
        <v>989</v>
      </c>
      <c r="G12" s="232">
        <v>1</v>
      </c>
      <c r="H12" s="92">
        <v>77000</v>
      </c>
      <c r="I12" s="86">
        <f t="shared" si="0"/>
        <v>77000</v>
      </c>
      <c r="J12" s="92"/>
      <c r="K12" s="92">
        <f t="shared" si="1"/>
        <v>77000</v>
      </c>
      <c r="L12" s="92">
        <v>55000</v>
      </c>
      <c r="M12" s="92"/>
      <c r="N12" s="92">
        <f t="shared" si="2"/>
        <v>132000</v>
      </c>
      <c r="O12" s="91" t="s">
        <v>177</v>
      </c>
      <c r="P12" s="229">
        <v>534421749679071</v>
      </c>
      <c r="Q12" s="91" t="s">
        <v>54</v>
      </c>
      <c r="S12" s="12" t="s">
        <v>990</v>
      </c>
      <c r="U12" s="92"/>
      <c r="V12" s="92"/>
      <c r="W12" s="92"/>
      <c r="X12" s="92"/>
    </row>
    <row r="13" spans="1:24" s="20" customFormat="1" ht="15.6" hidden="1">
      <c r="A13" s="9">
        <v>44222</v>
      </c>
      <c r="B13" s="91" t="s">
        <v>170</v>
      </c>
      <c r="C13" s="123" t="s">
        <v>991</v>
      </c>
      <c r="D13" s="12" t="s">
        <v>992</v>
      </c>
      <c r="E13" s="22" t="s">
        <v>993</v>
      </c>
      <c r="F13" s="22" t="s">
        <v>994</v>
      </c>
      <c r="G13" s="174">
        <v>2</v>
      </c>
      <c r="H13" s="92">
        <v>57000</v>
      </c>
      <c r="I13" s="86">
        <f t="shared" si="0"/>
        <v>114000</v>
      </c>
      <c r="J13" s="17"/>
      <c r="K13" s="234">
        <f t="shared" si="1"/>
        <v>114000</v>
      </c>
      <c r="L13" s="17">
        <f>12000-12000</f>
        <v>0</v>
      </c>
      <c r="M13" s="17"/>
      <c r="N13" s="92">
        <f t="shared" si="2"/>
        <v>114000</v>
      </c>
      <c r="O13" s="91" t="s">
        <v>170</v>
      </c>
      <c r="P13" s="235" t="s">
        <v>995</v>
      </c>
      <c r="Q13" s="91" t="s">
        <v>380</v>
      </c>
      <c r="S13" s="103" t="s">
        <v>995</v>
      </c>
      <c r="U13" s="17"/>
      <c r="V13" s="17"/>
      <c r="W13" s="17"/>
      <c r="X13" s="17"/>
    </row>
    <row r="14" spans="1:24" s="20" customFormat="1" ht="15.6" hidden="1">
      <c r="A14" s="9">
        <v>44222</v>
      </c>
      <c r="B14" s="91" t="s">
        <v>170</v>
      </c>
      <c r="C14" s="91" t="s">
        <v>996</v>
      </c>
      <c r="D14" s="228" t="s">
        <v>997</v>
      </c>
      <c r="E14" s="24" t="s">
        <v>998</v>
      </c>
      <c r="F14" s="205" t="s">
        <v>999</v>
      </c>
      <c r="G14" s="174">
        <v>1</v>
      </c>
      <c r="H14" s="92">
        <v>69000</v>
      </c>
      <c r="I14" s="86">
        <f t="shared" si="0"/>
        <v>69000</v>
      </c>
      <c r="J14" s="17"/>
      <c r="K14" s="92">
        <f t="shared" si="1"/>
        <v>69000</v>
      </c>
      <c r="L14" s="17">
        <f>16000-16000</f>
        <v>0</v>
      </c>
      <c r="M14" s="17"/>
      <c r="N14" s="92">
        <f t="shared" si="2"/>
        <v>69000</v>
      </c>
      <c r="O14" s="91" t="s">
        <v>170</v>
      </c>
      <c r="P14" s="214" t="s">
        <v>1000</v>
      </c>
      <c r="Q14" s="91" t="s">
        <v>40</v>
      </c>
      <c r="S14" s="214" t="s">
        <v>1000</v>
      </c>
      <c r="U14" s="17"/>
      <c r="V14" s="17"/>
      <c r="W14" s="17"/>
      <c r="X14" s="17"/>
    </row>
    <row r="15" spans="1:24" s="20" customFormat="1" ht="15.6" hidden="1">
      <c r="A15" s="9">
        <v>44222</v>
      </c>
      <c r="B15" s="91" t="s">
        <v>170</v>
      </c>
      <c r="C15" s="91" t="s">
        <v>996</v>
      </c>
      <c r="D15" s="228" t="s">
        <v>997</v>
      </c>
      <c r="E15" s="24" t="s">
        <v>1001</v>
      </c>
      <c r="F15" s="205" t="s">
        <v>999</v>
      </c>
      <c r="G15" s="174">
        <v>1</v>
      </c>
      <c r="H15" s="92">
        <v>84500</v>
      </c>
      <c r="I15" s="86">
        <f t="shared" si="0"/>
        <v>84500</v>
      </c>
      <c r="J15" s="17"/>
      <c r="K15" s="92">
        <f t="shared" si="1"/>
        <v>84500</v>
      </c>
      <c r="L15" s="17"/>
      <c r="M15" s="17"/>
      <c r="N15" s="92">
        <f t="shared" si="2"/>
        <v>84500</v>
      </c>
      <c r="O15" s="91" t="s">
        <v>170</v>
      </c>
      <c r="P15" s="214" t="s">
        <v>1000</v>
      </c>
      <c r="Q15" s="91" t="s">
        <v>40</v>
      </c>
      <c r="S15" s="214" t="s">
        <v>1000</v>
      </c>
      <c r="U15" s="17"/>
      <c r="V15" s="17"/>
      <c r="W15" s="17"/>
      <c r="X15" s="17"/>
    </row>
    <row r="16" spans="1:24" s="20" customFormat="1" ht="15.6" hidden="1">
      <c r="A16" s="9">
        <v>44222</v>
      </c>
      <c r="B16" s="91" t="s">
        <v>170</v>
      </c>
      <c r="C16" s="91" t="s">
        <v>996</v>
      </c>
      <c r="D16" s="228" t="s">
        <v>997</v>
      </c>
      <c r="E16" s="24" t="s">
        <v>1002</v>
      </c>
      <c r="F16" s="205" t="s">
        <v>1003</v>
      </c>
      <c r="G16" s="174">
        <v>1</v>
      </c>
      <c r="H16" s="92">
        <v>55000</v>
      </c>
      <c r="I16" s="86">
        <f t="shared" si="0"/>
        <v>55000</v>
      </c>
      <c r="J16" s="17"/>
      <c r="K16" s="92">
        <f t="shared" si="1"/>
        <v>55000</v>
      </c>
      <c r="L16" s="17"/>
      <c r="M16" s="17"/>
      <c r="N16" s="92">
        <f t="shared" si="2"/>
        <v>55000</v>
      </c>
      <c r="O16" s="91" t="s">
        <v>170</v>
      </c>
      <c r="P16" s="214" t="s">
        <v>1000</v>
      </c>
      <c r="Q16" s="91" t="s">
        <v>40</v>
      </c>
      <c r="S16" s="214" t="s">
        <v>1000</v>
      </c>
      <c r="U16" s="17"/>
      <c r="V16" s="17"/>
      <c r="W16" s="17"/>
      <c r="X16" s="17"/>
    </row>
    <row r="17" spans="1:24" s="20" customFormat="1" ht="15.6" hidden="1">
      <c r="A17" s="9">
        <v>44222</v>
      </c>
      <c r="B17" s="91" t="s">
        <v>206</v>
      </c>
      <c r="C17" s="91" t="s">
        <v>1004</v>
      </c>
      <c r="D17" s="228" t="s">
        <v>1005</v>
      </c>
      <c r="E17" s="22" t="s">
        <v>1006</v>
      </c>
      <c r="F17" s="22" t="s">
        <v>1007</v>
      </c>
      <c r="G17" s="174">
        <v>1</v>
      </c>
      <c r="H17" s="92">
        <v>62000</v>
      </c>
      <c r="I17" s="86">
        <f t="shared" si="0"/>
        <v>62000</v>
      </c>
      <c r="J17" s="17"/>
      <c r="K17" s="92">
        <f t="shared" si="1"/>
        <v>62000</v>
      </c>
      <c r="L17" s="17">
        <v>14400</v>
      </c>
      <c r="M17" s="17"/>
      <c r="N17" s="92">
        <f t="shared" si="2"/>
        <v>76400</v>
      </c>
      <c r="O17" s="91" t="s">
        <v>206</v>
      </c>
      <c r="P17" s="236" t="s">
        <v>1008</v>
      </c>
      <c r="Q17" s="91" t="s">
        <v>40</v>
      </c>
      <c r="S17" s="21" t="s">
        <v>1009</v>
      </c>
      <c r="U17" s="17"/>
      <c r="V17" s="17"/>
      <c r="W17" s="17"/>
      <c r="X17" s="17"/>
    </row>
    <row r="18" spans="1:24" s="20" customFormat="1" ht="16.8" hidden="1">
      <c r="A18" s="9">
        <v>44222</v>
      </c>
      <c r="B18" s="91" t="s">
        <v>43</v>
      </c>
      <c r="C18" s="123" t="s">
        <v>1010</v>
      </c>
      <c r="D18" s="237" t="s">
        <v>1011</v>
      </c>
      <c r="E18" s="22" t="s">
        <v>1012</v>
      </c>
      <c r="F18" s="94" t="s">
        <v>1013</v>
      </c>
      <c r="G18" s="174">
        <v>1</v>
      </c>
      <c r="H18" s="92">
        <v>84000</v>
      </c>
      <c r="I18" s="86">
        <f t="shared" si="0"/>
        <v>84000</v>
      </c>
      <c r="J18" s="17"/>
      <c r="K18" s="92">
        <f t="shared" si="1"/>
        <v>84000</v>
      </c>
      <c r="L18" s="17">
        <v>23000</v>
      </c>
      <c r="M18" s="17">
        <v>-3637</v>
      </c>
      <c r="N18" s="92">
        <f t="shared" si="2"/>
        <v>103363</v>
      </c>
      <c r="O18" s="91" t="s">
        <v>43</v>
      </c>
      <c r="P18" s="216" t="s">
        <v>1014</v>
      </c>
      <c r="Q18" s="91" t="s">
        <v>54</v>
      </c>
      <c r="S18" s="238" t="s">
        <v>1015</v>
      </c>
      <c r="U18" s="17"/>
      <c r="V18" s="17"/>
      <c r="W18" s="17"/>
      <c r="X18" s="17"/>
    </row>
    <row r="19" spans="1:24" s="20" customFormat="1" ht="16.8" hidden="1">
      <c r="A19" s="9">
        <v>44222</v>
      </c>
      <c r="B19" s="91" t="s">
        <v>43</v>
      </c>
      <c r="C19" s="123" t="s">
        <v>1016</v>
      </c>
      <c r="D19" s="228" t="s">
        <v>1017</v>
      </c>
      <c r="E19" s="22" t="s">
        <v>1018</v>
      </c>
      <c r="F19" s="94" t="s">
        <v>1019</v>
      </c>
      <c r="G19" s="174">
        <v>1</v>
      </c>
      <c r="H19" s="92">
        <v>69500</v>
      </c>
      <c r="I19" s="86">
        <f t="shared" si="0"/>
        <v>69500</v>
      </c>
      <c r="J19" s="17"/>
      <c r="K19" s="92">
        <f t="shared" si="1"/>
        <v>69500</v>
      </c>
      <c r="L19" s="17">
        <v>7000</v>
      </c>
      <c r="M19" s="17">
        <v>-3010</v>
      </c>
      <c r="N19" s="92">
        <f t="shared" si="2"/>
        <v>73490</v>
      </c>
      <c r="O19" s="91" t="s">
        <v>43</v>
      </c>
      <c r="P19" s="239" t="s">
        <v>1020</v>
      </c>
      <c r="Q19" s="91" t="s">
        <v>54</v>
      </c>
      <c r="S19" s="240" t="s">
        <v>1021</v>
      </c>
      <c r="U19" s="17"/>
      <c r="V19" s="17"/>
      <c r="W19" s="17"/>
      <c r="X19" s="17"/>
    </row>
    <row r="20" spans="1:24" s="20" customFormat="1" hidden="1">
      <c r="A20" s="9">
        <v>44222</v>
      </c>
      <c r="B20" s="91" t="s">
        <v>43</v>
      </c>
      <c r="C20" s="91" t="s">
        <v>1022</v>
      </c>
      <c r="D20" s="228" t="s">
        <v>1023</v>
      </c>
      <c r="E20" s="90" t="s">
        <v>1024</v>
      </c>
      <c r="F20" s="123" t="s">
        <v>1025</v>
      </c>
      <c r="G20" s="174">
        <v>1</v>
      </c>
      <c r="H20" s="92">
        <v>58500</v>
      </c>
      <c r="I20" s="86">
        <f t="shared" si="0"/>
        <v>58500</v>
      </c>
      <c r="J20" s="17"/>
      <c r="K20" s="92">
        <f t="shared" si="1"/>
        <v>58500</v>
      </c>
      <c r="L20" s="17">
        <v>6000</v>
      </c>
      <c r="M20" s="17">
        <v>-2534</v>
      </c>
      <c r="N20" s="92">
        <f t="shared" si="2"/>
        <v>61966</v>
      </c>
      <c r="O20" s="91" t="s">
        <v>43</v>
      </c>
      <c r="P20" s="31" t="s">
        <v>1026</v>
      </c>
      <c r="Q20" s="91" t="s">
        <v>54</v>
      </c>
      <c r="S20" s="32" t="s">
        <v>1027</v>
      </c>
      <c r="U20" s="17"/>
      <c r="V20" s="17"/>
      <c r="W20" s="17"/>
      <c r="X20" s="17"/>
    </row>
    <row r="21" spans="1:24" s="20" customFormat="1" ht="15.6" hidden="1">
      <c r="A21" s="9">
        <v>44222</v>
      </c>
      <c r="B21" s="91" t="s">
        <v>177</v>
      </c>
      <c r="C21" s="123" t="s">
        <v>1028</v>
      </c>
      <c r="D21" s="228" t="s">
        <v>1029</v>
      </c>
      <c r="E21" s="22" t="s">
        <v>1030</v>
      </c>
      <c r="F21" s="22" t="s">
        <v>1031</v>
      </c>
      <c r="G21" s="174">
        <v>1</v>
      </c>
      <c r="H21" s="92">
        <v>109000</v>
      </c>
      <c r="I21" s="86">
        <f t="shared" si="0"/>
        <v>109000</v>
      </c>
      <c r="J21" s="17"/>
      <c r="K21" s="92">
        <f t="shared" si="1"/>
        <v>109000</v>
      </c>
      <c r="L21" s="17">
        <v>40000</v>
      </c>
      <c r="M21" s="17"/>
      <c r="N21" s="92">
        <f t="shared" si="2"/>
        <v>149000</v>
      </c>
      <c r="O21" s="91" t="s">
        <v>177</v>
      </c>
      <c r="P21" s="28">
        <v>530666627067635</v>
      </c>
      <c r="Q21" s="91" t="s">
        <v>54</v>
      </c>
      <c r="S21" s="26" t="s">
        <v>990</v>
      </c>
      <c r="U21" s="17"/>
      <c r="V21" s="17"/>
      <c r="W21" s="17"/>
      <c r="X21" s="17"/>
    </row>
    <row r="22" spans="1:24" s="20" customFormat="1" ht="15.6">
      <c r="A22" s="9">
        <v>44222</v>
      </c>
      <c r="B22" s="91" t="s">
        <v>23</v>
      </c>
      <c r="C22" s="91" t="s">
        <v>1032</v>
      </c>
      <c r="D22" s="228" t="s">
        <v>1033</v>
      </c>
      <c r="E22" s="22" t="s">
        <v>1034</v>
      </c>
      <c r="F22" s="22" t="s">
        <v>1035</v>
      </c>
      <c r="G22" s="241">
        <v>1</v>
      </c>
      <c r="H22" s="92">
        <v>54000</v>
      </c>
      <c r="I22" s="86">
        <f t="shared" si="0"/>
        <v>54000</v>
      </c>
      <c r="J22" s="17"/>
      <c r="K22" s="92">
        <f t="shared" si="1"/>
        <v>54000</v>
      </c>
      <c r="L22" s="17">
        <v>6000</v>
      </c>
      <c r="M22" s="17"/>
      <c r="N22" s="92">
        <f t="shared" si="2"/>
        <v>60000</v>
      </c>
      <c r="O22" s="91" t="s">
        <v>23</v>
      </c>
      <c r="P22" s="236"/>
      <c r="Q22" s="91" t="s">
        <v>28</v>
      </c>
      <c r="S22" s="21"/>
      <c r="U22" s="17"/>
      <c r="V22" s="17"/>
      <c r="W22" s="17"/>
      <c r="X22" s="17"/>
    </row>
    <row r="23" spans="1:24" s="20" customFormat="1" hidden="1">
      <c r="A23" s="9">
        <v>44222</v>
      </c>
      <c r="B23" s="91" t="s">
        <v>43</v>
      </c>
      <c r="C23" s="123" t="s">
        <v>1036</v>
      </c>
      <c r="D23" s="228" t="s">
        <v>1037</v>
      </c>
      <c r="E23" s="91" t="s">
        <v>1038</v>
      </c>
      <c r="F23" s="91" t="s">
        <v>1039</v>
      </c>
      <c r="G23" s="241">
        <v>2</v>
      </c>
      <c r="H23" s="92">
        <v>87000</v>
      </c>
      <c r="I23" s="86">
        <f t="shared" si="0"/>
        <v>174000</v>
      </c>
      <c r="J23" s="17"/>
      <c r="K23" s="92">
        <f t="shared" si="1"/>
        <v>174000</v>
      </c>
      <c r="L23" s="17">
        <v>30000</v>
      </c>
      <c r="M23" s="17"/>
      <c r="N23" s="92">
        <f t="shared" si="2"/>
        <v>204000</v>
      </c>
      <c r="O23" s="91" t="s">
        <v>43</v>
      </c>
      <c r="P23" s="28" t="s">
        <v>1040</v>
      </c>
      <c r="Q23" s="91" t="s">
        <v>40</v>
      </c>
      <c r="S23" s="26" t="s">
        <v>1041</v>
      </c>
      <c r="U23" s="17"/>
      <c r="V23" s="17"/>
      <c r="W23" s="17"/>
      <c r="X23" s="17"/>
    </row>
    <row r="24" spans="1:24" s="20" customFormat="1" ht="15.6" hidden="1">
      <c r="A24" s="9">
        <v>44222</v>
      </c>
      <c r="B24" s="91" t="s">
        <v>43</v>
      </c>
      <c r="C24" s="123" t="s">
        <v>1036</v>
      </c>
      <c r="D24" s="228" t="s">
        <v>1037</v>
      </c>
      <c r="E24" s="22" t="s">
        <v>1042</v>
      </c>
      <c r="F24" s="22" t="s">
        <v>1043</v>
      </c>
      <c r="G24" s="241">
        <v>2</v>
      </c>
      <c r="H24" s="92">
        <v>155500</v>
      </c>
      <c r="I24" s="86">
        <f t="shared" si="0"/>
        <v>311000</v>
      </c>
      <c r="J24" s="17"/>
      <c r="K24" s="92">
        <f t="shared" si="1"/>
        <v>311000</v>
      </c>
      <c r="L24" s="17"/>
      <c r="M24" s="17"/>
      <c r="N24" s="92">
        <f t="shared" si="2"/>
        <v>311000</v>
      </c>
      <c r="O24" s="91" t="s">
        <v>43</v>
      </c>
      <c r="P24" s="236" t="s">
        <v>1040</v>
      </c>
      <c r="Q24" s="91" t="s">
        <v>40</v>
      </c>
      <c r="S24" s="21" t="s">
        <v>1041</v>
      </c>
      <c r="U24" s="17"/>
      <c r="V24" s="17"/>
      <c r="W24" s="17"/>
      <c r="X24" s="17"/>
    </row>
    <row r="25" spans="1:24" s="20" customFormat="1" ht="15.6" hidden="1">
      <c r="A25" s="9">
        <v>44223</v>
      </c>
      <c r="B25" s="91" t="s">
        <v>313</v>
      </c>
      <c r="C25" s="123" t="s">
        <v>862</v>
      </c>
      <c r="D25" s="228" t="s">
        <v>1044</v>
      </c>
      <c r="E25" s="128" t="s">
        <v>880</v>
      </c>
      <c r="F25" s="201" t="s">
        <v>881</v>
      </c>
      <c r="G25" s="35">
        <v>1</v>
      </c>
      <c r="H25" s="92">
        <v>81000</v>
      </c>
      <c r="I25" s="86">
        <f t="shared" si="0"/>
        <v>81000</v>
      </c>
      <c r="J25" s="17">
        <f>I25*20%</f>
        <v>16200</v>
      </c>
      <c r="K25" s="86">
        <f t="shared" si="1"/>
        <v>64800</v>
      </c>
      <c r="L25" s="17">
        <v>17000</v>
      </c>
      <c r="M25" s="17"/>
      <c r="N25" s="92">
        <f t="shared" si="2"/>
        <v>81800</v>
      </c>
      <c r="O25" s="91" t="s">
        <v>313</v>
      </c>
      <c r="P25" s="47"/>
      <c r="Q25" s="91" t="s">
        <v>40</v>
      </c>
      <c r="S25" s="204"/>
      <c r="U25" s="17"/>
      <c r="V25" s="17"/>
      <c r="W25" s="17"/>
      <c r="X25" s="17"/>
    </row>
    <row r="26" spans="1:24" s="20" customFormat="1" ht="15.6" hidden="1">
      <c r="A26" s="9">
        <v>44223</v>
      </c>
      <c r="B26" s="91" t="s">
        <v>313</v>
      </c>
      <c r="C26" s="85" t="s">
        <v>1045</v>
      </c>
      <c r="D26" s="228" t="s">
        <v>1046</v>
      </c>
      <c r="E26" s="22" t="s">
        <v>1047</v>
      </c>
      <c r="F26" s="22" t="s">
        <v>222</v>
      </c>
      <c r="G26" s="242">
        <v>1</v>
      </c>
      <c r="H26" s="92">
        <v>50000</v>
      </c>
      <c r="I26" s="86">
        <f t="shared" si="0"/>
        <v>50000</v>
      </c>
      <c r="J26" s="17"/>
      <c r="K26" s="86">
        <f t="shared" si="1"/>
        <v>50000</v>
      </c>
      <c r="L26" s="17">
        <v>45085</v>
      </c>
      <c r="M26" s="17"/>
      <c r="N26" s="92">
        <f t="shared" si="2"/>
        <v>95085</v>
      </c>
      <c r="O26" s="91" t="s">
        <v>313</v>
      </c>
      <c r="P26" s="47"/>
      <c r="Q26" s="91" t="s">
        <v>40</v>
      </c>
      <c r="S26" s="204"/>
      <c r="U26" s="17"/>
      <c r="V26" s="17"/>
      <c r="W26" s="17"/>
      <c r="X26" s="17"/>
    </row>
    <row r="27" spans="1:24" s="20" customFormat="1" ht="16.8">
      <c r="A27" s="9">
        <v>44224</v>
      </c>
      <c r="B27" s="91" t="s">
        <v>23</v>
      </c>
      <c r="C27" s="123" t="s">
        <v>1048</v>
      </c>
      <c r="D27" s="228" t="s">
        <v>1049</v>
      </c>
      <c r="E27" s="81" t="s">
        <v>1050</v>
      </c>
      <c r="F27" s="81" t="s">
        <v>1051</v>
      </c>
      <c r="G27" s="242">
        <v>1</v>
      </c>
      <c r="H27" s="92">
        <v>78000</v>
      </c>
      <c r="I27" s="86">
        <f t="shared" si="0"/>
        <v>78000</v>
      </c>
      <c r="J27" s="17"/>
      <c r="K27" s="86">
        <f t="shared" si="1"/>
        <v>78000</v>
      </c>
      <c r="L27" s="17">
        <v>35000</v>
      </c>
      <c r="M27" s="17"/>
      <c r="N27" s="92">
        <f t="shared" si="2"/>
        <v>113000</v>
      </c>
      <c r="O27" s="91" t="s">
        <v>23</v>
      </c>
      <c r="P27" s="239"/>
      <c r="Q27" s="91" t="s">
        <v>54</v>
      </c>
      <c r="S27" s="243"/>
      <c r="U27" s="17"/>
      <c r="V27" s="17"/>
      <c r="W27" s="17"/>
      <c r="X27" s="17"/>
    </row>
    <row r="28" spans="1:24" s="20" customFormat="1" ht="15.6">
      <c r="A28" s="9">
        <v>44224</v>
      </c>
      <c r="B28" s="91" t="s">
        <v>23</v>
      </c>
      <c r="C28" s="123" t="s">
        <v>1048</v>
      </c>
      <c r="D28" s="228" t="s">
        <v>1049</v>
      </c>
      <c r="E28" s="81" t="s">
        <v>1052</v>
      </c>
      <c r="F28" s="81" t="s">
        <v>1053</v>
      </c>
      <c r="G28" s="242">
        <v>1</v>
      </c>
      <c r="H28" s="92">
        <v>69000</v>
      </c>
      <c r="I28" s="86">
        <f t="shared" si="0"/>
        <v>69000</v>
      </c>
      <c r="J28" s="17"/>
      <c r="K28" s="86">
        <f t="shared" si="1"/>
        <v>69000</v>
      </c>
      <c r="L28" s="17"/>
      <c r="M28" s="17"/>
      <c r="N28" s="92">
        <f t="shared" si="2"/>
        <v>69000</v>
      </c>
      <c r="O28" s="91" t="s">
        <v>23</v>
      </c>
      <c r="P28" s="236"/>
      <c r="Q28" s="91" t="s">
        <v>54</v>
      </c>
      <c r="S28" s="21"/>
      <c r="U28" s="17"/>
      <c r="V28" s="17"/>
      <c r="W28" s="17"/>
      <c r="X28" s="17"/>
    </row>
    <row r="29" spans="1:24" s="20" customFormat="1" ht="15.6">
      <c r="A29" s="9">
        <v>44224</v>
      </c>
      <c r="B29" s="91" t="s">
        <v>23</v>
      </c>
      <c r="C29" s="91" t="s">
        <v>1054</v>
      </c>
      <c r="D29" s="228" t="s">
        <v>1055</v>
      </c>
      <c r="E29" s="128" t="s">
        <v>1056</v>
      </c>
      <c r="F29" s="201" t="s">
        <v>1057</v>
      </c>
      <c r="G29" s="242">
        <v>1</v>
      </c>
      <c r="H29" s="92">
        <v>193000</v>
      </c>
      <c r="I29" s="86">
        <f t="shared" si="0"/>
        <v>193000</v>
      </c>
      <c r="K29" s="86">
        <f t="shared" si="1"/>
        <v>193000</v>
      </c>
      <c r="L29" s="17">
        <v>17000</v>
      </c>
      <c r="M29" s="17"/>
      <c r="N29" s="92">
        <f t="shared" si="2"/>
        <v>210000</v>
      </c>
      <c r="O29" s="91" t="s">
        <v>23</v>
      </c>
      <c r="P29" s="236"/>
      <c r="Q29" s="91" t="s">
        <v>40</v>
      </c>
      <c r="S29" s="21"/>
      <c r="U29" s="17"/>
      <c r="V29" s="17"/>
      <c r="W29" s="17"/>
      <c r="X29" s="17"/>
    </row>
    <row r="30" spans="1:24" s="20" customFormat="1" ht="15.6">
      <c r="A30" s="9">
        <v>44224</v>
      </c>
      <c r="B30" s="91" t="s">
        <v>23</v>
      </c>
      <c r="C30" s="123" t="s">
        <v>1058</v>
      </c>
      <c r="D30" s="228" t="s">
        <v>1059</v>
      </c>
      <c r="E30" s="14" t="s">
        <v>1060</v>
      </c>
      <c r="F30" s="22" t="s">
        <v>1061</v>
      </c>
      <c r="G30" s="242">
        <v>1</v>
      </c>
      <c r="H30" s="92">
        <v>121000</v>
      </c>
      <c r="I30" s="86">
        <f t="shared" si="0"/>
        <v>121000</v>
      </c>
      <c r="K30" s="86">
        <f t="shared" si="1"/>
        <v>121000</v>
      </c>
      <c r="L30" s="17">
        <v>6000</v>
      </c>
      <c r="M30" s="17"/>
      <c r="N30" s="92">
        <f t="shared" si="2"/>
        <v>127000</v>
      </c>
      <c r="O30" s="91" t="s">
        <v>23</v>
      </c>
      <c r="P30" s="17"/>
      <c r="Q30" s="91" t="s">
        <v>28</v>
      </c>
      <c r="S30" s="17"/>
      <c r="U30" s="17"/>
      <c r="V30" s="17"/>
      <c r="W30" s="17"/>
      <c r="X30" s="17"/>
    </row>
    <row r="31" spans="1:24" s="20" customFormat="1" ht="15.6" hidden="1">
      <c r="A31" s="9">
        <v>44224</v>
      </c>
      <c r="B31" s="91" t="s">
        <v>43</v>
      </c>
      <c r="C31" s="123" t="s">
        <v>1062</v>
      </c>
      <c r="D31" s="244" t="s">
        <v>1063</v>
      </c>
      <c r="E31" s="22" t="s">
        <v>1064</v>
      </c>
      <c r="F31" s="22" t="s">
        <v>1065</v>
      </c>
      <c r="G31" s="242">
        <v>1</v>
      </c>
      <c r="H31" s="92">
        <v>110500</v>
      </c>
      <c r="I31" s="86">
        <f t="shared" si="0"/>
        <v>110500</v>
      </c>
      <c r="K31" s="86">
        <f t="shared" si="1"/>
        <v>110500</v>
      </c>
      <c r="L31" s="17">
        <v>8000</v>
      </c>
      <c r="M31" s="17">
        <v>-4785</v>
      </c>
      <c r="N31" s="92">
        <f t="shared" si="2"/>
        <v>113715</v>
      </c>
      <c r="O31" s="91" t="s">
        <v>43</v>
      </c>
      <c r="P31" s="31" t="s">
        <v>1066</v>
      </c>
      <c r="Q31" s="91" t="s">
        <v>54</v>
      </c>
      <c r="S31" s="32" t="s">
        <v>1067</v>
      </c>
      <c r="U31" s="17"/>
      <c r="V31" s="17"/>
      <c r="W31" s="17"/>
      <c r="X31" s="17"/>
    </row>
    <row r="32" spans="1:24" s="20" customFormat="1" ht="15.6">
      <c r="A32" s="199">
        <v>44224</v>
      </c>
      <c r="B32" s="244" t="s">
        <v>23</v>
      </c>
      <c r="C32" s="226" t="s">
        <v>888</v>
      </c>
      <c r="D32" s="244" t="s">
        <v>1068</v>
      </c>
      <c r="E32" s="156" t="s">
        <v>890</v>
      </c>
      <c r="F32" s="156" t="s">
        <v>891</v>
      </c>
      <c r="G32" s="244">
        <v>0</v>
      </c>
      <c r="H32" s="92">
        <v>554500</v>
      </c>
      <c r="I32" s="92">
        <v>554500</v>
      </c>
      <c r="K32" s="92">
        <v>554500</v>
      </c>
      <c r="L32" s="92">
        <v>2242000</v>
      </c>
      <c r="M32" s="17"/>
      <c r="N32" s="92">
        <f t="shared" si="2"/>
        <v>2796500</v>
      </c>
      <c r="O32" s="72" t="s">
        <v>23</v>
      </c>
      <c r="P32" s="13"/>
      <c r="Q32" s="72" t="s">
        <v>40</v>
      </c>
      <c r="S32" s="13"/>
      <c r="U32" s="17"/>
      <c r="V32" s="17"/>
      <c r="W32" s="17"/>
      <c r="X32" s="17"/>
    </row>
    <row r="33" spans="1:24" s="20" customFormat="1">
      <c r="A33" s="199">
        <v>44224</v>
      </c>
      <c r="B33" s="72" t="s">
        <v>23</v>
      </c>
      <c r="C33" s="20" t="s">
        <v>1069</v>
      </c>
      <c r="D33" s="244" t="s">
        <v>1070</v>
      </c>
      <c r="E33" s="20" t="s">
        <v>1071</v>
      </c>
      <c r="F33" s="20" t="s">
        <v>1072</v>
      </c>
      <c r="G33" s="245">
        <v>1</v>
      </c>
      <c r="H33" s="244">
        <f>121000-82500</f>
        <v>38500</v>
      </c>
      <c r="I33" s="244">
        <f>121000-82500</f>
        <v>38500</v>
      </c>
      <c r="K33" s="244">
        <f>64000-40600</f>
        <v>23400</v>
      </c>
      <c r="L33" s="92">
        <v>17000</v>
      </c>
      <c r="M33" s="17"/>
      <c r="N33" s="92">
        <f t="shared" si="2"/>
        <v>40400</v>
      </c>
      <c r="O33" s="72" t="s">
        <v>23</v>
      </c>
      <c r="P33" s="17"/>
      <c r="Q33" s="72" t="s">
        <v>40</v>
      </c>
      <c r="S33" s="17"/>
      <c r="U33" s="17"/>
      <c r="V33" s="17"/>
      <c r="W33" s="17"/>
      <c r="X33" s="17"/>
    </row>
    <row r="34" spans="1:24" s="20" customFormat="1">
      <c r="A34" s="199">
        <v>44224</v>
      </c>
      <c r="B34" s="72" t="s">
        <v>23</v>
      </c>
      <c r="C34" s="20" t="s">
        <v>1069</v>
      </c>
      <c r="D34" s="244" t="s">
        <v>1073</v>
      </c>
      <c r="E34" s="244" t="s">
        <v>1074</v>
      </c>
      <c r="F34" s="20" t="s">
        <v>1075</v>
      </c>
      <c r="G34" s="245">
        <v>1</v>
      </c>
      <c r="H34" s="20">
        <f>193000-74500</f>
        <v>118500</v>
      </c>
      <c r="I34" s="20">
        <f>193000-74500</f>
        <v>118500</v>
      </c>
      <c r="K34" s="244">
        <f>64000-40600</f>
        <v>23400</v>
      </c>
      <c r="L34" s="17"/>
      <c r="M34" s="17"/>
      <c r="N34" s="92">
        <f t="shared" si="2"/>
        <v>23400</v>
      </c>
      <c r="O34" s="72" t="s">
        <v>23</v>
      </c>
      <c r="P34" s="224"/>
      <c r="Q34" s="72" t="s">
        <v>40</v>
      </c>
      <c r="S34" s="225"/>
      <c r="U34" s="17"/>
      <c r="V34" s="17"/>
      <c r="W34" s="17"/>
      <c r="X34" s="17"/>
    </row>
    <row r="35" spans="1:24" s="20" customFormat="1">
      <c r="A35" s="199">
        <v>44224</v>
      </c>
      <c r="B35" s="72" t="s">
        <v>23</v>
      </c>
      <c r="C35" s="20" t="s">
        <v>1069</v>
      </c>
      <c r="D35" s="244" t="s">
        <v>1076</v>
      </c>
      <c r="E35" s="20" t="s">
        <v>1077</v>
      </c>
      <c r="F35" s="20" t="s">
        <v>1078</v>
      </c>
      <c r="G35" s="245">
        <v>1</v>
      </c>
      <c r="H35" s="244">
        <f>64000-40600</f>
        <v>23400</v>
      </c>
      <c r="I35" s="244">
        <f>64000-40600</f>
        <v>23400</v>
      </c>
      <c r="K35" s="244">
        <f>64000-40600</f>
        <v>23400</v>
      </c>
      <c r="L35" s="17"/>
      <c r="M35" s="17"/>
      <c r="N35" s="92">
        <f t="shared" si="2"/>
        <v>23400</v>
      </c>
      <c r="O35" s="72" t="s">
        <v>23</v>
      </c>
      <c r="P35" s="224"/>
      <c r="Q35" s="72" t="s">
        <v>40</v>
      </c>
      <c r="S35" s="225"/>
      <c r="U35" s="17"/>
      <c r="V35" s="17"/>
      <c r="W35" s="17"/>
      <c r="X35" s="17"/>
    </row>
    <row r="36" spans="1:24" s="20" customFormat="1" ht="15.6" hidden="1">
      <c r="A36" s="9">
        <v>44225</v>
      </c>
      <c r="B36" s="91" t="s">
        <v>43</v>
      </c>
      <c r="C36" s="91" t="s">
        <v>1079</v>
      </c>
      <c r="D36" s="228" t="s">
        <v>1080</v>
      </c>
      <c r="E36" s="98" t="s">
        <v>1081</v>
      </c>
      <c r="F36" s="98" t="s">
        <v>1082</v>
      </c>
      <c r="G36" s="174">
        <v>1</v>
      </c>
      <c r="H36" s="20">
        <v>88000</v>
      </c>
      <c r="I36" s="20">
        <f>H36*G36</f>
        <v>88000</v>
      </c>
      <c r="K36" s="20">
        <f>I36-J36</f>
        <v>88000</v>
      </c>
      <c r="L36" s="17">
        <v>10000</v>
      </c>
      <c r="M36" s="17">
        <v>-13856</v>
      </c>
      <c r="N36" s="92">
        <f>K36+L36+M36</f>
        <v>84144</v>
      </c>
      <c r="O36" s="91" t="s">
        <v>43</v>
      </c>
      <c r="P36" s="181" t="s">
        <v>1083</v>
      </c>
      <c r="Q36" s="91" t="s">
        <v>54</v>
      </c>
      <c r="S36" s="32" t="s">
        <v>1084</v>
      </c>
      <c r="U36" s="17"/>
      <c r="V36" s="17"/>
      <c r="W36" s="17"/>
    </row>
    <row r="37" spans="1:24" s="20" customFormat="1" ht="15.6" hidden="1">
      <c r="A37" s="9">
        <v>44225</v>
      </c>
      <c r="B37" s="91" t="s">
        <v>43</v>
      </c>
      <c r="C37" s="91" t="s">
        <v>1079</v>
      </c>
      <c r="D37" s="228" t="s">
        <v>1085</v>
      </c>
      <c r="E37" s="246" t="s">
        <v>1086</v>
      </c>
      <c r="F37" s="246" t="s">
        <v>1087</v>
      </c>
      <c r="G37" s="174">
        <v>1</v>
      </c>
      <c r="H37" s="20">
        <v>76000</v>
      </c>
      <c r="I37" s="20">
        <f t="shared" ref="I37:I100" si="3">H37*G37</f>
        <v>76000</v>
      </c>
      <c r="K37" s="20">
        <f t="shared" ref="K37:K100" si="4">I37-J37</f>
        <v>76000</v>
      </c>
      <c r="L37" s="17"/>
      <c r="M37" s="17"/>
      <c r="N37" s="92">
        <f t="shared" ref="N37:N100" si="5">K37+L37+M37</f>
        <v>76000</v>
      </c>
      <c r="O37" s="91" t="s">
        <v>43</v>
      </c>
      <c r="P37" s="181" t="s">
        <v>1083</v>
      </c>
      <c r="Q37" s="91" t="s">
        <v>54</v>
      </c>
      <c r="S37" s="32" t="s">
        <v>1084</v>
      </c>
      <c r="U37" s="17"/>
      <c r="V37" s="17"/>
      <c r="W37" s="17"/>
    </row>
    <row r="38" spans="1:24" s="20" customFormat="1" ht="15.6" hidden="1">
      <c r="A38" s="9">
        <v>44225</v>
      </c>
      <c r="B38" s="91" t="s">
        <v>43</v>
      </c>
      <c r="C38" s="91" t="s">
        <v>1079</v>
      </c>
      <c r="D38" s="228" t="s">
        <v>1088</v>
      </c>
      <c r="E38" s="246" t="s">
        <v>298</v>
      </c>
      <c r="F38" s="246" t="s">
        <v>299</v>
      </c>
      <c r="G38" s="174">
        <v>1</v>
      </c>
      <c r="H38" s="20">
        <v>83000</v>
      </c>
      <c r="I38" s="20">
        <f t="shared" si="3"/>
        <v>83000</v>
      </c>
      <c r="K38" s="20">
        <f t="shared" si="4"/>
        <v>83000</v>
      </c>
      <c r="L38" s="17"/>
      <c r="M38" s="17"/>
      <c r="N38" s="92">
        <f t="shared" si="5"/>
        <v>83000</v>
      </c>
      <c r="O38" s="91" t="s">
        <v>43</v>
      </c>
      <c r="P38" s="181" t="s">
        <v>1083</v>
      </c>
      <c r="Q38" s="91" t="s">
        <v>54</v>
      </c>
      <c r="S38" s="32" t="s">
        <v>1084</v>
      </c>
      <c r="U38" s="17"/>
      <c r="V38" s="17"/>
      <c r="W38" s="17"/>
    </row>
    <row r="39" spans="1:24" s="20" customFormat="1" ht="16.8" hidden="1">
      <c r="A39" s="9">
        <v>44225</v>
      </c>
      <c r="B39" s="91" t="s">
        <v>43</v>
      </c>
      <c r="C39" s="91" t="s">
        <v>1079</v>
      </c>
      <c r="D39" s="228" t="s">
        <v>1089</v>
      </c>
      <c r="E39" s="246" t="s">
        <v>1090</v>
      </c>
      <c r="F39" s="247" t="s">
        <v>1091</v>
      </c>
      <c r="G39" s="174">
        <v>1</v>
      </c>
      <c r="H39" s="20">
        <v>73000</v>
      </c>
      <c r="I39" s="20">
        <f t="shared" si="3"/>
        <v>73000</v>
      </c>
      <c r="K39" s="20">
        <f t="shared" si="4"/>
        <v>73000</v>
      </c>
      <c r="L39" s="17"/>
      <c r="M39" s="17"/>
      <c r="N39" s="92">
        <f t="shared" si="5"/>
        <v>73000</v>
      </c>
      <c r="O39" s="91" t="s">
        <v>43</v>
      </c>
      <c r="P39" s="239"/>
      <c r="Q39" s="91" t="s">
        <v>54</v>
      </c>
      <c r="S39" s="21"/>
      <c r="U39" s="17"/>
      <c r="V39" s="17"/>
      <c r="W39" s="17"/>
    </row>
    <row r="40" spans="1:24" s="20" customFormat="1" ht="15.6" hidden="1">
      <c r="A40" s="9">
        <v>44225</v>
      </c>
      <c r="B40" s="91" t="s">
        <v>206</v>
      </c>
      <c r="C40" s="123" t="s">
        <v>1092</v>
      </c>
      <c r="D40" s="228" t="s">
        <v>1093</v>
      </c>
      <c r="E40" s="22" t="s">
        <v>1094</v>
      </c>
      <c r="F40" s="22" t="s">
        <v>927</v>
      </c>
      <c r="G40" s="174">
        <v>1</v>
      </c>
      <c r="H40" s="20">
        <v>91500</v>
      </c>
      <c r="I40" s="20">
        <f t="shared" si="3"/>
        <v>91500</v>
      </c>
      <c r="K40" s="20">
        <f t="shared" si="4"/>
        <v>91500</v>
      </c>
      <c r="L40" s="17">
        <v>19500</v>
      </c>
      <c r="M40" s="17"/>
      <c r="N40" s="92">
        <f t="shared" si="5"/>
        <v>111000</v>
      </c>
      <c r="O40" s="91" t="s">
        <v>206</v>
      </c>
      <c r="P40" s="236" t="s">
        <v>1095</v>
      </c>
      <c r="Q40" s="91" t="s">
        <v>176</v>
      </c>
      <c r="S40" s="21">
        <v>473494002</v>
      </c>
      <c r="U40" s="17"/>
      <c r="V40" s="17"/>
      <c r="W40" s="17"/>
    </row>
    <row r="41" spans="1:24" s="20" customFormat="1" ht="15.6" hidden="1">
      <c r="A41" s="9">
        <v>44225</v>
      </c>
      <c r="B41" s="91" t="s">
        <v>206</v>
      </c>
      <c r="C41" s="91" t="s">
        <v>1096</v>
      </c>
      <c r="D41" s="228" t="s">
        <v>1097</v>
      </c>
      <c r="E41" s="22" t="s">
        <v>1098</v>
      </c>
      <c r="F41" s="22" t="s">
        <v>1099</v>
      </c>
      <c r="G41" s="174">
        <v>1</v>
      </c>
      <c r="H41" s="18">
        <v>158000</v>
      </c>
      <c r="I41" s="20">
        <f t="shared" si="3"/>
        <v>158000</v>
      </c>
      <c r="J41" s="17"/>
      <c r="K41" s="20">
        <f t="shared" si="4"/>
        <v>158000</v>
      </c>
      <c r="L41" s="17">
        <v>7700</v>
      </c>
      <c r="M41" s="17"/>
      <c r="N41" s="92">
        <f t="shared" si="5"/>
        <v>165700</v>
      </c>
      <c r="O41" s="91" t="s">
        <v>206</v>
      </c>
      <c r="P41" s="236" t="s">
        <v>1100</v>
      </c>
      <c r="Q41" s="91" t="s">
        <v>28</v>
      </c>
      <c r="S41" s="195" t="s">
        <v>1101</v>
      </c>
      <c r="U41" s="17"/>
      <c r="V41" s="17"/>
      <c r="W41" s="17"/>
    </row>
    <row r="42" spans="1:24" s="20" customFormat="1" hidden="1">
      <c r="A42" s="9">
        <v>44225</v>
      </c>
      <c r="B42" s="91" t="s">
        <v>177</v>
      </c>
      <c r="C42" s="91" t="s">
        <v>1102</v>
      </c>
      <c r="D42" s="228" t="s">
        <v>1103</v>
      </c>
      <c r="E42" s="91" t="s">
        <v>221</v>
      </c>
      <c r="F42" s="91" t="s">
        <v>222</v>
      </c>
      <c r="G42" s="174">
        <v>1</v>
      </c>
      <c r="H42" s="18">
        <v>44000</v>
      </c>
      <c r="I42" s="20">
        <f t="shared" si="3"/>
        <v>44000</v>
      </c>
      <c r="J42" s="17"/>
      <c r="K42" s="20">
        <f t="shared" si="4"/>
        <v>44000</v>
      </c>
      <c r="L42" s="17">
        <v>9000</v>
      </c>
      <c r="N42" s="92">
        <f t="shared" si="5"/>
        <v>53000</v>
      </c>
      <c r="O42" s="91" t="s">
        <v>177</v>
      </c>
      <c r="P42" s="248">
        <v>531632242520049</v>
      </c>
      <c r="Q42" s="91" t="s">
        <v>54</v>
      </c>
      <c r="S42" s="249" t="s">
        <v>1104</v>
      </c>
      <c r="U42" s="17"/>
      <c r="V42" s="17"/>
      <c r="W42" s="17"/>
    </row>
    <row r="43" spans="1:24" s="20" customFormat="1" ht="15.6" hidden="1">
      <c r="A43" s="9">
        <v>44225</v>
      </c>
      <c r="B43" s="91" t="s">
        <v>177</v>
      </c>
      <c r="C43" s="91" t="s">
        <v>1105</v>
      </c>
      <c r="D43" s="244" t="s">
        <v>1106</v>
      </c>
      <c r="E43" s="22" t="s">
        <v>1107</v>
      </c>
      <c r="F43" s="94" t="s">
        <v>1108</v>
      </c>
      <c r="G43" s="174">
        <v>1</v>
      </c>
      <c r="H43" s="18">
        <v>118000</v>
      </c>
      <c r="I43" s="20">
        <f t="shared" si="3"/>
        <v>118000</v>
      </c>
      <c r="J43" s="17"/>
      <c r="K43" s="20">
        <f t="shared" si="4"/>
        <v>118000</v>
      </c>
      <c r="L43" s="17">
        <v>17500</v>
      </c>
      <c r="N43" s="92">
        <f t="shared" si="5"/>
        <v>135500</v>
      </c>
      <c r="O43" s="91" t="s">
        <v>177</v>
      </c>
      <c r="P43" s="56">
        <v>536482731115183</v>
      </c>
      <c r="Q43" s="91" t="s">
        <v>54</v>
      </c>
      <c r="S43" s="21" t="s">
        <v>1109</v>
      </c>
      <c r="U43" s="17"/>
      <c r="V43" s="17"/>
      <c r="W43" s="17"/>
    </row>
    <row r="44" spans="1:24" s="20" customFormat="1">
      <c r="A44" s="9">
        <v>44225</v>
      </c>
      <c r="B44" s="91" t="s">
        <v>23</v>
      </c>
      <c r="C44" s="123" t="s">
        <v>1110</v>
      </c>
      <c r="D44" s="228" t="s">
        <v>1111</v>
      </c>
      <c r="E44" s="91" t="s">
        <v>1112</v>
      </c>
      <c r="F44" s="91" t="s">
        <v>1113</v>
      </c>
      <c r="G44" s="174">
        <v>1</v>
      </c>
      <c r="H44" s="18">
        <v>82500</v>
      </c>
      <c r="I44" s="20">
        <f t="shared" si="3"/>
        <v>82500</v>
      </c>
      <c r="J44" s="17"/>
      <c r="K44" s="20">
        <f t="shared" si="4"/>
        <v>82500</v>
      </c>
      <c r="L44" s="17">
        <v>10000</v>
      </c>
      <c r="N44" s="92">
        <f t="shared" si="5"/>
        <v>92500</v>
      </c>
      <c r="O44" s="91" t="s">
        <v>23</v>
      </c>
      <c r="P44" s="56"/>
      <c r="Q44" s="91" t="s">
        <v>28</v>
      </c>
      <c r="S44" s="17"/>
      <c r="U44" s="17"/>
      <c r="V44" s="17"/>
      <c r="W44" s="17"/>
    </row>
    <row r="45" spans="1:24" s="20" customFormat="1" ht="15.6">
      <c r="A45" s="9">
        <v>44225</v>
      </c>
      <c r="B45" s="91" t="s">
        <v>23</v>
      </c>
      <c r="C45" s="91" t="s">
        <v>1114</v>
      </c>
      <c r="D45" s="228" t="s">
        <v>1115</v>
      </c>
      <c r="E45" s="22" t="s">
        <v>1116</v>
      </c>
      <c r="F45" s="22" t="s">
        <v>1117</v>
      </c>
      <c r="G45" s="242">
        <v>1</v>
      </c>
      <c r="H45" s="18">
        <v>92000</v>
      </c>
      <c r="I45" s="20">
        <f t="shared" si="3"/>
        <v>92000</v>
      </c>
      <c r="J45" s="17"/>
      <c r="K45" s="20">
        <f t="shared" si="4"/>
        <v>92000</v>
      </c>
      <c r="L45" s="17">
        <f>16000-16000</f>
        <v>0</v>
      </c>
      <c r="N45" s="92">
        <f t="shared" si="5"/>
        <v>92000</v>
      </c>
      <c r="O45" s="91" t="s">
        <v>23</v>
      </c>
      <c r="P45" s="56"/>
      <c r="Q45" s="91" t="s">
        <v>40</v>
      </c>
      <c r="S45" s="17"/>
      <c r="U45" s="17"/>
      <c r="V45" s="17"/>
      <c r="W45" s="17"/>
    </row>
    <row r="46" spans="1:24" s="20" customFormat="1" hidden="1">
      <c r="A46" s="9">
        <v>44225</v>
      </c>
      <c r="B46" s="91" t="s">
        <v>206</v>
      </c>
      <c r="C46" s="91" t="s">
        <v>1118</v>
      </c>
      <c r="D46" s="228" t="s">
        <v>1119</v>
      </c>
      <c r="E46" s="91" t="s">
        <v>607</v>
      </c>
      <c r="F46" s="123" t="s">
        <v>1120</v>
      </c>
      <c r="G46" s="242">
        <v>1</v>
      </c>
      <c r="H46" s="18">
        <v>90000</v>
      </c>
      <c r="I46" s="20">
        <f t="shared" si="3"/>
        <v>90000</v>
      </c>
      <c r="J46" s="17"/>
      <c r="K46" s="20">
        <f t="shared" si="4"/>
        <v>90000</v>
      </c>
      <c r="L46" s="17">
        <v>39000</v>
      </c>
      <c r="N46" s="92">
        <f t="shared" si="5"/>
        <v>129000</v>
      </c>
      <c r="O46" s="91" t="s">
        <v>206</v>
      </c>
      <c r="P46" s="56" t="s">
        <v>1121</v>
      </c>
      <c r="Q46" s="91" t="s">
        <v>40</v>
      </c>
      <c r="S46" s="249" t="s">
        <v>1122</v>
      </c>
      <c r="U46" s="17"/>
      <c r="V46" s="17"/>
      <c r="W46" s="17"/>
    </row>
    <row r="47" spans="1:24" s="20" customFormat="1" ht="15.6" hidden="1">
      <c r="A47" s="9">
        <v>44225</v>
      </c>
      <c r="B47" s="91" t="s">
        <v>177</v>
      </c>
      <c r="C47" s="123" t="s">
        <v>1123</v>
      </c>
      <c r="D47" s="244" t="s">
        <v>1124</v>
      </c>
      <c r="E47" s="200" t="s">
        <v>1125</v>
      </c>
      <c r="F47" s="201" t="s">
        <v>1126</v>
      </c>
      <c r="G47" s="242">
        <v>1</v>
      </c>
      <c r="H47" s="18">
        <v>66000</v>
      </c>
      <c r="I47" s="20">
        <f t="shared" si="3"/>
        <v>66000</v>
      </c>
      <c r="J47" s="17"/>
      <c r="K47" s="20">
        <f t="shared" si="4"/>
        <v>66000</v>
      </c>
      <c r="L47" s="17">
        <v>8000</v>
      </c>
      <c r="N47" s="92">
        <f t="shared" si="5"/>
        <v>74000</v>
      </c>
      <c r="O47" s="91" t="s">
        <v>177</v>
      </c>
      <c r="P47" s="236">
        <v>532556677252349</v>
      </c>
      <c r="Q47" s="242" t="s">
        <v>54</v>
      </c>
      <c r="S47" s="21" t="s">
        <v>1127</v>
      </c>
      <c r="U47" s="17"/>
      <c r="V47" s="17"/>
      <c r="W47" s="17"/>
    </row>
    <row r="48" spans="1:24" s="20" customFormat="1" ht="15.6" hidden="1">
      <c r="A48" s="9">
        <v>44228</v>
      </c>
      <c r="B48" s="91" t="s">
        <v>43</v>
      </c>
      <c r="C48" s="123" t="s">
        <v>1128</v>
      </c>
      <c r="D48" s="228" t="s">
        <v>1129</v>
      </c>
      <c r="E48" s="14" t="s">
        <v>1130</v>
      </c>
      <c r="F48" s="22" t="s">
        <v>1131</v>
      </c>
      <c r="G48" s="174">
        <v>1</v>
      </c>
      <c r="H48" s="18">
        <v>80000</v>
      </c>
      <c r="I48" s="18">
        <f t="shared" si="3"/>
        <v>80000</v>
      </c>
      <c r="J48" s="17"/>
      <c r="K48" s="18">
        <f t="shared" si="4"/>
        <v>80000</v>
      </c>
      <c r="L48" s="17">
        <v>35000</v>
      </c>
      <c r="M48" s="20">
        <v>-3646</v>
      </c>
      <c r="N48" s="92">
        <f t="shared" si="5"/>
        <v>111354</v>
      </c>
      <c r="O48" s="91" t="s">
        <v>43</v>
      </c>
      <c r="P48" s="31" t="s">
        <v>1132</v>
      </c>
      <c r="Q48" s="91" t="s">
        <v>54</v>
      </c>
      <c r="S48" s="32" t="s">
        <v>1133</v>
      </c>
      <c r="U48" s="17"/>
      <c r="V48" s="17"/>
      <c r="W48" s="17"/>
    </row>
    <row r="49" spans="1:23" s="20" customFormat="1" ht="15.6" hidden="1">
      <c r="A49" s="9">
        <v>44228</v>
      </c>
      <c r="B49" s="91" t="s">
        <v>43</v>
      </c>
      <c r="C49" s="123" t="s">
        <v>1134</v>
      </c>
      <c r="D49" s="228" t="s">
        <v>1135</v>
      </c>
      <c r="E49" s="200" t="s">
        <v>908</v>
      </c>
      <c r="F49" s="128" t="s">
        <v>909</v>
      </c>
      <c r="G49" s="174">
        <v>1</v>
      </c>
      <c r="H49" s="18">
        <v>94000</v>
      </c>
      <c r="I49" s="18">
        <f t="shared" si="3"/>
        <v>94000</v>
      </c>
      <c r="J49" s="17"/>
      <c r="K49" s="18">
        <f t="shared" si="4"/>
        <v>94000</v>
      </c>
      <c r="L49" s="17">
        <v>13000</v>
      </c>
      <c r="M49" s="20">
        <v>-4070</v>
      </c>
      <c r="N49" s="92">
        <f t="shared" si="5"/>
        <v>102930</v>
      </c>
      <c r="O49" s="91" t="s">
        <v>43</v>
      </c>
      <c r="P49" s="56" t="s">
        <v>1136</v>
      </c>
      <c r="Q49" s="91" t="s">
        <v>54</v>
      </c>
      <c r="S49" s="244" t="s">
        <v>1137</v>
      </c>
      <c r="U49" s="17"/>
      <c r="V49" s="17"/>
      <c r="W49" s="17"/>
    </row>
    <row r="50" spans="1:23" s="20" customFormat="1" ht="15.6" hidden="1">
      <c r="A50" s="9">
        <v>44228</v>
      </c>
      <c r="B50" s="91" t="s">
        <v>43</v>
      </c>
      <c r="C50" s="91" t="s">
        <v>1138</v>
      </c>
      <c r="D50" s="250" t="s">
        <v>1139</v>
      </c>
      <c r="E50" s="200" t="s">
        <v>908</v>
      </c>
      <c r="F50" s="128" t="s">
        <v>909</v>
      </c>
      <c r="G50" s="174">
        <v>1</v>
      </c>
      <c r="H50" s="18">
        <v>94000</v>
      </c>
      <c r="I50" s="18">
        <f t="shared" si="3"/>
        <v>94000</v>
      </c>
      <c r="J50" s="17"/>
      <c r="K50" s="18">
        <f t="shared" si="4"/>
        <v>94000</v>
      </c>
      <c r="L50" s="17">
        <v>13000</v>
      </c>
      <c r="M50" s="20">
        <v>-4070</v>
      </c>
      <c r="N50" s="92">
        <f t="shared" si="5"/>
        <v>102930</v>
      </c>
      <c r="O50" s="91" t="s">
        <v>43</v>
      </c>
      <c r="P50" s="181" t="s">
        <v>1140</v>
      </c>
      <c r="Q50" s="91" t="s">
        <v>54</v>
      </c>
      <c r="S50" s="21" t="s">
        <v>1141</v>
      </c>
      <c r="U50" s="17"/>
      <c r="V50" s="17"/>
      <c r="W50" s="17"/>
    </row>
    <row r="51" spans="1:23" s="20" customFormat="1" ht="15.6" hidden="1">
      <c r="A51" s="9">
        <v>44228</v>
      </c>
      <c r="B51" s="91" t="s">
        <v>43</v>
      </c>
      <c r="C51" s="123" t="s">
        <v>1142</v>
      </c>
      <c r="D51" s="36" t="s">
        <v>1143</v>
      </c>
      <c r="E51" s="91" t="s">
        <v>365</v>
      </c>
      <c r="F51" s="22" t="s">
        <v>454</v>
      </c>
      <c r="G51" s="174">
        <v>1</v>
      </c>
      <c r="H51" s="18">
        <v>75000</v>
      </c>
      <c r="I51" s="18">
        <f t="shared" si="3"/>
        <v>75000</v>
      </c>
      <c r="J51" s="17"/>
      <c r="K51" s="18">
        <f t="shared" si="4"/>
        <v>75000</v>
      </c>
      <c r="L51" s="17">
        <v>17000</v>
      </c>
      <c r="M51" s="20">
        <v>-3248</v>
      </c>
      <c r="N51" s="92">
        <f t="shared" si="5"/>
        <v>88752</v>
      </c>
      <c r="O51" s="91" t="s">
        <v>43</v>
      </c>
      <c r="P51" s="236" t="s">
        <v>1144</v>
      </c>
      <c r="Q51" s="91" t="s">
        <v>54</v>
      </c>
      <c r="S51" s="21" t="s">
        <v>1145</v>
      </c>
      <c r="U51" s="17"/>
      <c r="V51" s="17"/>
      <c r="W51" s="17"/>
    </row>
    <row r="52" spans="1:23" s="20" customFormat="1" ht="15.6" hidden="1">
      <c r="A52" s="9">
        <v>44228</v>
      </c>
      <c r="B52" s="91" t="s">
        <v>170</v>
      </c>
      <c r="C52" s="91" t="s">
        <v>1146</v>
      </c>
      <c r="D52" s="228" t="s">
        <v>1147</v>
      </c>
      <c r="E52" s="200" t="s">
        <v>1148</v>
      </c>
      <c r="F52" s="128" t="s">
        <v>731</v>
      </c>
      <c r="G52" s="251">
        <v>1</v>
      </c>
      <c r="H52" s="18">
        <v>127000</v>
      </c>
      <c r="I52" s="18">
        <f t="shared" si="3"/>
        <v>127000</v>
      </c>
      <c r="J52" s="17"/>
      <c r="K52" s="18">
        <f t="shared" si="4"/>
        <v>127000</v>
      </c>
      <c r="L52" s="17">
        <f>13000-13000</f>
        <v>0</v>
      </c>
      <c r="N52" s="92">
        <f t="shared" si="5"/>
        <v>127000</v>
      </c>
      <c r="O52" s="91" t="s">
        <v>170</v>
      </c>
      <c r="P52" s="69" t="s">
        <v>1149</v>
      </c>
      <c r="Q52" s="91" t="s">
        <v>176</v>
      </c>
      <c r="S52" s="238" t="s">
        <v>1149</v>
      </c>
      <c r="U52" s="17"/>
      <c r="V52" s="17"/>
      <c r="W52" s="17"/>
    </row>
    <row r="53" spans="1:23" s="20" customFormat="1" ht="15.6" hidden="1">
      <c r="A53" s="9">
        <v>44228</v>
      </c>
      <c r="B53" s="91" t="s">
        <v>170</v>
      </c>
      <c r="C53" s="91" t="s">
        <v>1150</v>
      </c>
      <c r="D53" s="244" t="s">
        <v>1151</v>
      </c>
      <c r="E53" s="200" t="s">
        <v>1152</v>
      </c>
      <c r="F53" s="201" t="s">
        <v>1153</v>
      </c>
      <c r="G53" s="174">
        <v>1</v>
      </c>
      <c r="H53" s="18">
        <v>70500</v>
      </c>
      <c r="I53" s="18">
        <f t="shared" si="3"/>
        <v>70500</v>
      </c>
      <c r="J53" s="17"/>
      <c r="K53" s="18">
        <f t="shared" si="4"/>
        <v>70500</v>
      </c>
      <c r="L53" s="17">
        <f>25000-25000</f>
        <v>0</v>
      </c>
      <c r="N53" s="92">
        <f t="shared" si="5"/>
        <v>70500</v>
      </c>
      <c r="O53" s="91" t="s">
        <v>170</v>
      </c>
      <c r="P53" s="72" t="s">
        <v>1154</v>
      </c>
      <c r="Q53" s="91" t="s">
        <v>54</v>
      </c>
      <c r="S53" s="244" t="s">
        <v>1154</v>
      </c>
      <c r="U53" s="17"/>
      <c r="V53" s="17"/>
      <c r="W53" s="17"/>
    </row>
    <row r="54" spans="1:23" s="20" customFormat="1" ht="13.5" hidden="1" customHeight="1">
      <c r="A54" s="9">
        <v>44228</v>
      </c>
      <c r="B54" s="91" t="s">
        <v>177</v>
      </c>
      <c r="C54" s="91" t="s">
        <v>1155</v>
      </c>
      <c r="D54" s="244" t="s">
        <v>1156</v>
      </c>
      <c r="E54" s="91" t="s">
        <v>471</v>
      </c>
      <c r="F54" s="91" t="s">
        <v>472</v>
      </c>
      <c r="G54" s="252">
        <v>1</v>
      </c>
      <c r="H54" s="18">
        <v>111000</v>
      </c>
      <c r="I54" s="18">
        <f t="shared" si="3"/>
        <v>111000</v>
      </c>
      <c r="J54" s="17"/>
      <c r="K54" s="18">
        <f t="shared" si="4"/>
        <v>111000</v>
      </c>
      <c r="L54" s="17">
        <v>9500</v>
      </c>
      <c r="N54" s="92">
        <f t="shared" si="5"/>
        <v>120500</v>
      </c>
      <c r="O54" s="91" t="s">
        <v>177</v>
      </c>
      <c r="P54" s="69">
        <v>533418221852354</v>
      </c>
      <c r="Q54" s="91" t="s">
        <v>54</v>
      </c>
      <c r="S54" s="233" t="s">
        <v>1157</v>
      </c>
      <c r="U54" s="17"/>
      <c r="V54" s="17"/>
      <c r="W54" s="17"/>
    </row>
    <row r="55" spans="1:23" s="20" customFormat="1" ht="15" hidden="1" customHeight="1">
      <c r="A55" s="9">
        <v>44228</v>
      </c>
      <c r="B55" s="91" t="s">
        <v>177</v>
      </c>
      <c r="C55" s="123" t="s">
        <v>1158</v>
      </c>
      <c r="D55" s="244" t="s">
        <v>1159</v>
      </c>
      <c r="E55" s="91" t="s">
        <v>221</v>
      </c>
      <c r="F55" s="91" t="s">
        <v>222</v>
      </c>
      <c r="G55" s="174">
        <v>1</v>
      </c>
      <c r="H55" s="18">
        <v>44000</v>
      </c>
      <c r="I55" s="18">
        <f t="shared" si="3"/>
        <v>44000</v>
      </c>
      <c r="J55" s="17"/>
      <c r="K55" s="18">
        <f t="shared" si="4"/>
        <v>44000</v>
      </c>
      <c r="L55" s="17">
        <v>80000</v>
      </c>
      <c r="N55" s="92">
        <f t="shared" si="5"/>
        <v>124000</v>
      </c>
      <c r="O55" s="91" t="s">
        <v>177</v>
      </c>
      <c r="P55" s="72">
        <v>537248157702519</v>
      </c>
      <c r="Q55" s="91" t="s">
        <v>54</v>
      </c>
      <c r="S55" s="204" t="s">
        <v>1160</v>
      </c>
      <c r="U55" s="17"/>
      <c r="V55" s="17"/>
      <c r="W55" s="17"/>
    </row>
    <row r="56" spans="1:23" s="20" customFormat="1" ht="15.6">
      <c r="A56" s="9">
        <v>44228</v>
      </c>
      <c r="B56" s="91" t="s">
        <v>23</v>
      </c>
      <c r="C56" s="123" t="s">
        <v>1161</v>
      </c>
      <c r="D56" s="228" t="s">
        <v>1162</v>
      </c>
      <c r="E56" s="22" t="s">
        <v>1163</v>
      </c>
      <c r="F56" s="22" t="s">
        <v>1164</v>
      </c>
      <c r="G56" s="174">
        <v>9</v>
      </c>
      <c r="H56" s="18">
        <v>155000</v>
      </c>
      <c r="I56" s="18">
        <f t="shared" si="3"/>
        <v>1395000</v>
      </c>
      <c r="J56" s="17">
        <f>I56*25%</f>
        <v>348750</v>
      </c>
      <c r="K56" s="18">
        <f t="shared" si="4"/>
        <v>1046250</v>
      </c>
      <c r="L56" s="17">
        <v>102000</v>
      </c>
      <c r="N56" s="92">
        <f t="shared" si="5"/>
        <v>1148250</v>
      </c>
      <c r="O56" s="91" t="s">
        <v>23</v>
      </c>
      <c r="P56" s="72"/>
      <c r="Q56" s="91" t="s">
        <v>28</v>
      </c>
      <c r="S56" s="17"/>
      <c r="U56" s="17"/>
      <c r="V56" s="17"/>
      <c r="W56" s="17"/>
    </row>
    <row r="57" spans="1:23" s="20" customFormat="1" ht="17.25" hidden="1" customHeight="1">
      <c r="A57" s="9">
        <v>44228</v>
      </c>
      <c r="B57" s="91" t="s">
        <v>43</v>
      </c>
      <c r="C57" s="123" t="s">
        <v>1165</v>
      </c>
      <c r="D57" s="253" t="s">
        <v>1166</v>
      </c>
      <c r="E57" s="90" t="s">
        <v>1024</v>
      </c>
      <c r="F57" s="123" t="s">
        <v>1025</v>
      </c>
      <c r="G57" s="242">
        <v>1</v>
      </c>
      <c r="H57" s="18">
        <v>58500</v>
      </c>
      <c r="I57" s="18">
        <f t="shared" si="3"/>
        <v>58500</v>
      </c>
      <c r="J57" s="17"/>
      <c r="K57" s="18">
        <f t="shared" si="4"/>
        <v>58500</v>
      </c>
      <c r="L57" s="17">
        <v>57000</v>
      </c>
      <c r="M57" s="20">
        <v>-2534</v>
      </c>
      <c r="N57" s="92">
        <f t="shared" si="5"/>
        <v>112966</v>
      </c>
      <c r="O57" s="91" t="s">
        <v>43</v>
      </c>
      <c r="P57" s="192" t="s">
        <v>1167</v>
      </c>
      <c r="Q57" s="91" t="s">
        <v>54</v>
      </c>
      <c r="S57" s="253" t="s">
        <v>1167</v>
      </c>
      <c r="U57" s="17"/>
      <c r="V57" s="17"/>
      <c r="W57" s="17"/>
    </row>
    <row r="58" spans="1:23" s="20" customFormat="1">
      <c r="A58" s="9">
        <v>44229</v>
      </c>
      <c r="B58" s="10" t="s">
        <v>23</v>
      </c>
      <c r="C58" s="11" t="s">
        <v>1168</v>
      </c>
      <c r="D58" s="254" t="s">
        <v>1169</v>
      </c>
      <c r="E58" s="48" t="s">
        <v>1170</v>
      </c>
      <c r="F58" s="48" t="s">
        <v>1171</v>
      </c>
      <c r="G58" s="30">
        <v>1</v>
      </c>
      <c r="H58" s="18">
        <v>81000</v>
      </c>
      <c r="I58" s="18">
        <f t="shared" si="3"/>
        <v>81000</v>
      </c>
      <c r="J58" s="17"/>
      <c r="K58" s="18">
        <f t="shared" si="4"/>
        <v>81000</v>
      </c>
      <c r="L58" s="17">
        <v>45500</v>
      </c>
      <c r="N58" s="92">
        <f t="shared" si="5"/>
        <v>126500</v>
      </c>
      <c r="O58" s="10" t="s">
        <v>23</v>
      </c>
      <c r="P58" s="236"/>
      <c r="Q58" s="10" t="s">
        <v>40</v>
      </c>
      <c r="S58" s="21"/>
      <c r="U58" s="17"/>
      <c r="V58" s="17"/>
      <c r="W58" s="17"/>
    </row>
    <row r="59" spans="1:23" s="20" customFormat="1" ht="15.6">
      <c r="A59" s="9">
        <v>44229</v>
      </c>
      <c r="B59" s="10" t="s">
        <v>23</v>
      </c>
      <c r="C59" s="11" t="s">
        <v>1168</v>
      </c>
      <c r="D59" s="254" t="s">
        <v>1169</v>
      </c>
      <c r="E59" s="46" t="s">
        <v>553</v>
      </c>
      <c r="F59" s="46" t="s">
        <v>554</v>
      </c>
      <c r="G59" s="30">
        <v>1</v>
      </c>
      <c r="H59" s="18">
        <v>65500</v>
      </c>
      <c r="I59" s="18">
        <f t="shared" si="3"/>
        <v>65500</v>
      </c>
      <c r="J59" s="17"/>
      <c r="K59" s="18">
        <f t="shared" si="4"/>
        <v>65500</v>
      </c>
      <c r="L59" s="17"/>
      <c r="N59" s="92">
        <f t="shared" si="5"/>
        <v>65500</v>
      </c>
      <c r="O59" s="10" t="s">
        <v>23</v>
      </c>
      <c r="P59" s="19"/>
      <c r="Q59" s="10" t="s">
        <v>40</v>
      </c>
      <c r="S59" s="21"/>
      <c r="U59" s="17"/>
      <c r="V59" s="17"/>
      <c r="W59" s="17"/>
    </row>
    <row r="60" spans="1:23" s="20" customFormat="1" ht="15.6" hidden="1">
      <c r="A60" s="9">
        <v>44229</v>
      </c>
      <c r="B60" s="10" t="s">
        <v>1172</v>
      </c>
      <c r="C60" s="11" t="s">
        <v>1173</v>
      </c>
      <c r="D60" s="18" t="s">
        <v>1174</v>
      </c>
      <c r="E60" s="255" t="s">
        <v>797</v>
      </c>
      <c r="F60" s="256" t="s">
        <v>586</v>
      </c>
      <c r="G60" s="30">
        <v>1</v>
      </c>
      <c r="H60" s="18">
        <v>68500</v>
      </c>
      <c r="I60" s="18">
        <f t="shared" si="3"/>
        <v>68500</v>
      </c>
      <c r="J60" s="17">
        <f>I60*35%</f>
        <v>23975</v>
      </c>
      <c r="K60" s="18">
        <f t="shared" si="4"/>
        <v>44525</v>
      </c>
      <c r="L60" s="17">
        <v>5000</v>
      </c>
      <c r="M60" s="17"/>
      <c r="N60" s="92">
        <f t="shared" si="5"/>
        <v>49525</v>
      </c>
      <c r="O60" s="10" t="s">
        <v>1172</v>
      </c>
      <c r="P60" s="236"/>
      <c r="Q60" s="10" t="s">
        <v>28</v>
      </c>
      <c r="S60" s="21"/>
      <c r="U60" s="17"/>
      <c r="V60" s="17"/>
      <c r="W60" s="17"/>
    </row>
    <row r="61" spans="1:23" s="20" customFormat="1" ht="15.6" hidden="1">
      <c r="A61" s="9">
        <v>44229</v>
      </c>
      <c r="B61" s="10" t="s">
        <v>1172</v>
      </c>
      <c r="C61" s="11" t="s">
        <v>1173</v>
      </c>
      <c r="D61" s="18" t="s">
        <v>1174</v>
      </c>
      <c r="E61" s="87" t="s">
        <v>1175</v>
      </c>
      <c r="F61" s="88" t="s">
        <v>1176</v>
      </c>
      <c r="G61" s="30">
        <v>1</v>
      </c>
      <c r="H61" s="18">
        <v>100500</v>
      </c>
      <c r="I61" s="18">
        <f t="shared" si="3"/>
        <v>100500</v>
      </c>
      <c r="J61" s="17">
        <f t="shared" ref="J61:J71" si="6">I61*35%</f>
        <v>35175</v>
      </c>
      <c r="K61" s="18">
        <f t="shared" si="4"/>
        <v>65325</v>
      </c>
      <c r="L61" s="17"/>
      <c r="M61" s="17"/>
      <c r="N61" s="92">
        <f t="shared" si="5"/>
        <v>65325</v>
      </c>
      <c r="O61" s="10" t="s">
        <v>1172</v>
      </c>
      <c r="P61" s="236"/>
      <c r="Q61" s="10" t="s">
        <v>28</v>
      </c>
      <c r="S61" s="21"/>
      <c r="U61" s="17"/>
      <c r="V61" s="17"/>
      <c r="W61" s="17"/>
    </row>
    <row r="62" spans="1:23" s="20" customFormat="1" ht="15.6" hidden="1">
      <c r="A62" s="9">
        <v>44229</v>
      </c>
      <c r="B62" s="10" t="s">
        <v>1172</v>
      </c>
      <c r="C62" s="11" t="s">
        <v>1177</v>
      </c>
      <c r="D62" s="254" t="s">
        <v>31</v>
      </c>
      <c r="E62" s="257" t="s">
        <v>1178</v>
      </c>
      <c r="F62" s="38" t="s">
        <v>1179</v>
      </c>
      <c r="G62" s="30">
        <v>1</v>
      </c>
      <c r="H62" s="18">
        <v>73500</v>
      </c>
      <c r="I62" s="18">
        <f t="shared" si="3"/>
        <v>73500</v>
      </c>
      <c r="J62" s="17">
        <f t="shared" si="6"/>
        <v>25725</v>
      </c>
      <c r="K62" s="18">
        <f t="shared" si="4"/>
        <v>47775</v>
      </c>
      <c r="L62" s="17"/>
      <c r="M62" s="17"/>
      <c r="N62" s="92">
        <f t="shared" si="5"/>
        <v>47775</v>
      </c>
      <c r="O62" s="10" t="s">
        <v>1172</v>
      </c>
      <c r="P62" s="236"/>
      <c r="Q62" s="10" t="s">
        <v>434</v>
      </c>
      <c r="S62" s="21"/>
      <c r="U62" s="17"/>
      <c r="V62" s="17"/>
      <c r="W62" s="17"/>
    </row>
    <row r="63" spans="1:23" s="20" customFormat="1" ht="15.6" hidden="1">
      <c r="A63" s="9">
        <v>44229</v>
      </c>
      <c r="B63" s="10" t="s">
        <v>1172</v>
      </c>
      <c r="C63" s="11" t="s">
        <v>1180</v>
      </c>
      <c r="D63" s="254" t="s">
        <v>1181</v>
      </c>
      <c r="E63" s="257" t="s">
        <v>1182</v>
      </c>
      <c r="F63" s="38" t="s">
        <v>1183</v>
      </c>
      <c r="G63" s="30">
        <v>1</v>
      </c>
      <c r="H63" s="18">
        <v>223000</v>
      </c>
      <c r="I63" s="18">
        <f t="shared" si="3"/>
        <v>223000</v>
      </c>
      <c r="J63" s="17">
        <f t="shared" si="6"/>
        <v>78050</v>
      </c>
      <c r="K63" s="18">
        <f t="shared" si="4"/>
        <v>144950</v>
      </c>
      <c r="L63" s="17">
        <v>21000</v>
      </c>
      <c r="M63" s="17"/>
      <c r="N63" s="92">
        <f t="shared" si="5"/>
        <v>165950</v>
      </c>
      <c r="O63" s="10" t="s">
        <v>1172</v>
      </c>
      <c r="P63" s="236"/>
      <c r="Q63" s="10" t="s">
        <v>40</v>
      </c>
      <c r="S63" s="21"/>
      <c r="U63" s="17"/>
      <c r="V63" s="17"/>
      <c r="W63" s="17"/>
    </row>
    <row r="64" spans="1:23" s="20" customFormat="1" ht="15.6" hidden="1">
      <c r="A64" s="9">
        <v>44229</v>
      </c>
      <c r="B64" s="10" t="s">
        <v>1172</v>
      </c>
      <c r="C64" s="11" t="s">
        <v>1184</v>
      </c>
      <c r="D64" s="254" t="s">
        <v>1185</v>
      </c>
      <c r="E64" s="38" t="s">
        <v>797</v>
      </c>
      <c r="F64" s="38" t="s">
        <v>586</v>
      </c>
      <c r="G64" s="30">
        <v>1</v>
      </c>
      <c r="H64" s="18">
        <v>68500</v>
      </c>
      <c r="I64" s="18">
        <f t="shared" si="3"/>
        <v>68500</v>
      </c>
      <c r="J64" s="17">
        <f t="shared" si="6"/>
        <v>23975</v>
      </c>
      <c r="K64" s="18">
        <f t="shared" si="4"/>
        <v>44525</v>
      </c>
      <c r="L64" s="17">
        <v>15000</v>
      </c>
      <c r="M64" s="258"/>
      <c r="N64" s="92">
        <f t="shared" si="5"/>
        <v>59525</v>
      </c>
      <c r="O64" s="10" t="s">
        <v>1172</v>
      </c>
      <c r="P64" s="75"/>
      <c r="Q64" s="10" t="s">
        <v>40</v>
      </c>
      <c r="S64" s="238"/>
      <c r="U64" s="17"/>
      <c r="V64" s="17"/>
      <c r="W64" s="17"/>
    </row>
    <row r="65" spans="1:23" s="20" customFormat="1" ht="15.6" hidden="1">
      <c r="A65" s="9">
        <v>44229</v>
      </c>
      <c r="B65" s="10" t="s">
        <v>1172</v>
      </c>
      <c r="C65" s="11" t="s">
        <v>1186</v>
      </c>
      <c r="D65" s="254" t="s">
        <v>1187</v>
      </c>
      <c r="E65" s="64" t="s">
        <v>1188</v>
      </c>
      <c r="F65" s="64" t="s">
        <v>1179</v>
      </c>
      <c r="G65" s="30">
        <v>1</v>
      </c>
      <c r="H65" s="18">
        <v>97000</v>
      </c>
      <c r="I65" s="18">
        <f t="shared" si="3"/>
        <v>97000</v>
      </c>
      <c r="J65" s="17">
        <f t="shared" si="6"/>
        <v>33950</v>
      </c>
      <c r="K65" s="18">
        <f t="shared" si="4"/>
        <v>63050</v>
      </c>
      <c r="L65" s="17">
        <v>14000</v>
      </c>
      <c r="M65" s="17"/>
      <c r="N65" s="92">
        <f t="shared" si="5"/>
        <v>77050</v>
      </c>
      <c r="O65" s="10" t="s">
        <v>1172</v>
      </c>
      <c r="P65" s="259"/>
      <c r="Q65" s="10" t="s">
        <v>28</v>
      </c>
      <c r="S65" s="238"/>
      <c r="U65" s="17"/>
      <c r="V65" s="17"/>
      <c r="W65" s="17"/>
    </row>
    <row r="66" spans="1:23" s="20" customFormat="1" ht="16.8" hidden="1">
      <c r="A66" s="9">
        <v>44229</v>
      </c>
      <c r="B66" s="10" t="s">
        <v>1172</v>
      </c>
      <c r="C66" s="11" t="s">
        <v>1186</v>
      </c>
      <c r="D66" s="254" t="s">
        <v>1187</v>
      </c>
      <c r="E66" s="260" t="s">
        <v>1189</v>
      </c>
      <c r="F66" s="261" t="s">
        <v>1190</v>
      </c>
      <c r="G66" s="30">
        <v>1</v>
      </c>
      <c r="H66" s="18">
        <v>100000</v>
      </c>
      <c r="I66" s="18">
        <f t="shared" si="3"/>
        <v>100000</v>
      </c>
      <c r="J66" s="17">
        <f t="shared" si="6"/>
        <v>35000</v>
      </c>
      <c r="K66" s="18">
        <f t="shared" si="4"/>
        <v>65000</v>
      </c>
      <c r="L66" s="17"/>
      <c r="M66" s="17"/>
      <c r="N66" s="92">
        <f t="shared" si="5"/>
        <v>65000</v>
      </c>
      <c r="O66" s="10" t="s">
        <v>1172</v>
      </c>
      <c r="P66" s="239"/>
      <c r="Q66" s="10" t="s">
        <v>28</v>
      </c>
      <c r="S66" s="262"/>
      <c r="U66" s="17"/>
      <c r="V66" s="17"/>
      <c r="W66" s="17"/>
    </row>
    <row r="67" spans="1:23" s="20" customFormat="1" ht="15.6" hidden="1">
      <c r="A67" s="9">
        <v>44229</v>
      </c>
      <c r="B67" s="10" t="s">
        <v>1172</v>
      </c>
      <c r="C67" s="11" t="s">
        <v>1186</v>
      </c>
      <c r="D67" s="254" t="s">
        <v>1191</v>
      </c>
      <c r="E67" s="263" t="s">
        <v>186</v>
      </c>
      <c r="F67" s="264" t="s">
        <v>187</v>
      </c>
      <c r="G67" s="30">
        <v>1</v>
      </c>
      <c r="H67" s="18">
        <v>84000</v>
      </c>
      <c r="I67" s="18">
        <f t="shared" si="3"/>
        <v>84000</v>
      </c>
      <c r="J67" s="17">
        <f t="shared" si="6"/>
        <v>29399.999999999996</v>
      </c>
      <c r="K67" s="18">
        <f t="shared" si="4"/>
        <v>54600</v>
      </c>
      <c r="L67" s="17"/>
      <c r="M67" s="17"/>
      <c r="N67" s="92">
        <f t="shared" si="5"/>
        <v>54600</v>
      </c>
      <c r="O67" s="10" t="s">
        <v>1172</v>
      </c>
      <c r="P67" s="265"/>
      <c r="Q67" s="10" t="s">
        <v>28</v>
      </c>
      <c r="S67" s="17"/>
      <c r="U67" s="17"/>
      <c r="V67" s="17"/>
      <c r="W67" s="17"/>
    </row>
    <row r="68" spans="1:23" s="20" customFormat="1" ht="15.6" hidden="1">
      <c r="A68" s="9">
        <v>44229</v>
      </c>
      <c r="B68" s="10" t="s">
        <v>1172</v>
      </c>
      <c r="C68" s="11" t="s">
        <v>1192</v>
      </c>
      <c r="D68" s="254" t="s">
        <v>1193</v>
      </c>
      <c r="E68" s="266" t="s">
        <v>1194</v>
      </c>
      <c r="F68" s="266" t="s">
        <v>1195</v>
      </c>
      <c r="G68" s="30">
        <v>1</v>
      </c>
      <c r="H68" s="18">
        <v>144000</v>
      </c>
      <c r="I68" s="18">
        <f t="shared" si="3"/>
        <v>144000</v>
      </c>
      <c r="J68" s="17">
        <f t="shared" si="6"/>
        <v>50400</v>
      </c>
      <c r="K68" s="18">
        <f t="shared" si="4"/>
        <v>93600</v>
      </c>
      <c r="L68" s="17"/>
      <c r="M68" s="17"/>
      <c r="N68" s="92">
        <f t="shared" si="5"/>
        <v>93600</v>
      </c>
      <c r="O68" s="10" t="s">
        <v>1172</v>
      </c>
      <c r="P68" s="265"/>
      <c r="Q68" s="10" t="s">
        <v>40</v>
      </c>
      <c r="S68" s="17"/>
      <c r="U68" s="17"/>
      <c r="V68" s="17"/>
      <c r="W68" s="17"/>
    </row>
    <row r="69" spans="1:23" s="20" customFormat="1" ht="15.6" hidden="1">
      <c r="A69" s="9">
        <v>44229</v>
      </c>
      <c r="B69" s="10" t="s">
        <v>1172</v>
      </c>
      <c r="C69" s="11" t="s">
        <v>1192</v>
      </c>
      <c r="D69" s="254" t="s">
        <v>1196</v>
      </c>
      <c r="E69" s="266" t="s">
        <v>1197</v>
      </c>
      <c r="F69" s="266" t="s">
        <v>1195</v>
      </c>
      <c r="G69" s="30">
        <v>1</v>
      </c>
      <c r="H69" s="18">
        <v>133000</v>
      </c>
      <c r="I69" s="18">
        <f t="shared" si="3"/>
        <v>133000</v>
      </c>
      <c r="J69" s="17">
        <f t="shared" si="6"/>
        <v>46550</v>
      </c>
      <c r="K69" s="18">
        <f t="shared" si="4"/>
        <v>86450</v>
      </c>
      <c r="L69" s="17"/>
      <c r="M69" s="17"/>
      <c r="N69" s="92">
        <f t="shared" si="5"/>
        <v>86450</v>
      </c>
      <c r="O69" s="10" t="s">
        <v>1172</v>
      </c>
      <c r="P69" s="72"/>
      <c r="Q69" s="10" t="s">
        <v>40</v>
      </c>
      <c r="S69" s="17"/>
      <c r="U69" s="17"/>
      <c r="V69" s="17"/>
      <c r="W69" s="17"/>
    </row>
    <row r="70" spans="1:23" s="20" customFormat="1" ht="15.6" hidden="1">
      <c r="A70" s="9">
        <v>44229</v>
      </c>
      <c r="B70" s="10" t="s">
        <v>1172</v>
      </c>
      <c r="C70" s="11" t="s">
        <v>1192</v>
      </c>
      <c r="D70" s="254" t="s">
        <v>1198</v>
      </c>
      <c r="E70" s="266" t="s">
        <v>1199</v>
      </c>
      <c r="F70" s="266" t="s">
        <v>1195</v>
      </c>
      <c r="G70" s="30">
        <v>1</v>
      </c>
      <c r="H70" s="18">
        <v>125500</v>
      </c>
      <c r="I70" s="18">
        <f t="shared" si="3"/>
        <v>125500</v>
      </c>
      <c r="J70" s="17">
        <f t="shared" si="6"/>
        <v>43925</v>
      </c>
      <c r="K70" s="18">
        <f t="shared" si="4"/>
        <v>81575</v>
      </c>
      <c r="L70" s="17">
        <v>28000</v>
      </c>
      <c r="M70" s="17"/>
      <c r="N70" s="92">
        <f t="shared" si="5"/>
        <v>109575</v>
      </c>
      <c r="O70" s="10" t="s">
        <v>1172</v>
      </c>
      <c r="P70" s="72"/>
      <c r="Q70" s="10" t="s">
        <v>40</v>
      </c>
      <c r="S70" s="17"/>
      <c r="U70" s="17"/>
      <c r="V70" s="17"/>
      <c r="W70" s="17"/>
    </row>
    <row r="71" spans="1:23" s="20" customFormat="1" ht="15.6" hidden="1">
      <c r="A71" s="9">
        <v>44229</v>
      </c>
      <c r="B71" s="10" t="s">
        <v>1172</v>
      </c>
      <c r="C71" s="10" t="s">
        <v>1200</v>
      </c>
      <c r="D71" s="254" t="s">
        <v>1201</v>
      </c>
      <c r="E71" s="38" t="s">
        <v>1202</v>
      </c>
      <c r="F71" s="38" t="s">
        <v>1203</v>
      </c>
      <c r="G71" s="30">
        <v>1</v>
      </c>
      <c r="H71" s="18">
        <v>76000</v>
      </c>
      <c r="I71" s="18">
        <f t="shared" si="3"/>
        <v>76000</v>
      </c>
      <c r="J71" s="92">
        <f t="shared" si="6"/>
        <v>26600</v>
      </c>
      <c r="K71" s="18">
        <f t="shared" si="4"/>
        <v>49400</v>
      </c>
      <c r="L71" s="17">
        <v>16000</v>
      </c>
      <c r="M71" s="17"/>
      <c r="N71" s="92">
        <f t="shared" si="5"/>
        <v>65400</v>
      </c>
      <c r="O71" s="10" t="s">
        <v>1172</v>
      </c>
      <c r="P71" s="72"/>
      <c r="Q71" s="10" t="s">
        <v>54</v>
      </c>
      <c r="S71" s="17"/>
      <c r="U71" s="17"/>
      <c r="V71" s="17"/>
      <c r="W71" s="17"/>
    </row>
    <row r="72" spans="1:23" s="20" customFormat="1" ht="15.6">
      <c r="A72" s="9">
        <v>44229</v>
      </c>
      <c r="B72" s="10" t="s">
        <v>23</v>
      </c>
      <c r="C72" s="11" t="s">
        <v>1204</v>
      </c>
      <c r="D72" s="254" t="s">
        <v>1205</v>
      </c>
      <c r="E72" s="22" t="s">
        <v>993</v>
      </c>
      <c r="F72" s="94" t="s">
        <v>994</v>
      </c>
      <c r="G72" s="30">
        <v>1</v>
      </c>
      <c r="H72" s="18">
        <v>63000</v>
      </c>
      <c r="I72" s="18">
        <f t="shared" si="3"/>
        <v>63000</v>
      </c>
      <c r="J72" s="92"/>
      <c r="K72" s="18">
        <f t="shared" si="4"/>
        <v>63000</v>
      </c>
      <c r="L72" s="17">
        <v>45000</v>
      </c>
      <c r="M72" s="17"/>
      <c r="N72" s="92">
        <f t="shared" si="5"/>
        <v>108000</v>
      </c>
      <c r="O72" s="10" t="s">
        <v>23</v>
      </c>
      <c r="Q72" s="10" t="s">
        <v>40</v>
      </c>
      <c r="S72" s="17"/>
      <c r="U72" s="17"/>
      <c r="V72" s="17"/>
      <c r="W72" s="17"/>
    </row>
    <row r="73" spans="1:23" s="20" customFormat="1" ht="15.6">
      <c r="A73" s="9">
        <v>44229</v>
      </c>
      <c r="B73" s="10" t="s">
        <v>23</v>
      </c>
      <c r="C73" s="11" t="s">
        <v>1206</v>
      </c>
      <c r="D73" s="254" t="s">
        <v>1207</v>
      </c>
      <c r="E73" s="257" t="s">
        <v>1208</v>
      </c>
      <c r="F73" s="58" t="s">
        <v>1209</v>
      </c>
      <c r="G73" s="30">
        <v>1</v>
      </c>
      <c r="H73" s="18">
        <v>136000</v>
      </c>
      <c r="I73" s="18">
        <f t="shared" si="3"/>
        <v>136000</v>
      </c>
      <c r="J73" s="29"/>
      <c r="K73" s="18">
        <f t="shared" si="4"/>
        <v>136000</v>
      </c>
      <c r="L73" s="17">
        <v>26000</v>
      </c>
      <c r="M73" s="17"/>
      <c r="N73" s="92">
        <f t="shared" si="5"/>
        <v>162000</v>
      </c>
      <c r="O73" s="10" t="s">
        <v>23</v>
      </c>
      <c r="P73" s="236"/>
      <c r="Q73" s="10" t="s">
        <v>40</v>
      </c>
      <c r="S73" s="21"/>
      <c r="U73" s="17"/>
      <c r="V73" s="17"/>
      <c r="W73" s="17"/>
    </row>
    <row r="74" spans="1:23" s="20" customFormat="1" ht="15.6" hidden="1">
      <c r="A74" s="9">
        <v>44229</v>
      </c>
      <c r="B74" s="10" t="s">
        <v>313</v>
      </c>
      <c r="C74" s="11" t="s">
        <v>1210</v>
      </c>
      <c r="D74" s="254" t="s">
        <v>1211</v>
      </c>
      <c r="E74" s="15" t="s">
        <v>1212</v>
      </c>
      <c r="F74" s="15" t="s">
        <v>1213</v>
      </c>
      <c r="G74" s="30">
        <v>1</v>
      </c>
      <c r="H74" s="18">
        <v>74000</v>
      </c>
      <c r="I74" s="18">
        <f t="shared" si="3"/>
        <v>74000</v>
      </c>
      <c r="K74" s="18">
        <f t="shared" si="4"/>
        <v>74000</v>
      </c>
      <c r="L74" s="17">
        <v>24062</v>
      </c>
      <c r="M74" s="17"/>
      <c r="N74" s="92">
        <f t="shared" si="5"/>
        <v>98062</v>
      </c>
      <c r="O74" s="10" t="s">
        <v>313</v>
      </c>
      <c r="P74" s="236"/>
      <c r="Q74" s="10" t="s">
        <v>40</v>
      </c>
      <c r="S74" s="267"/>
      <c r="U74" s="17"/>
      <c r="V74" s="17"/>
      <c r="W74" s="17"/>
    </row>
    <row r="75" spans="1:23" s="20" customFormat="1" ht="17.25" customHeight="1">
      <c r="A75" s="9">
        <v>44229</v>
      </c>
      <c r="B75" s="10" t="s">
        <v>23</v>
      </c>
      <c r="C75" s="11" t="s">
        <v>1214</v>
      </c>
      <c r="D75" s="254" t="s">
        <v>1215</v>
      </c>
      <c r="E75" s="268" t="s">
        <v>1216</v>
      </c>
      <c r="F75" s="268" t="s">
        <v>1217</v>
      </c>
      <c r="G75" s="30">
        <v>1</v>
      </c>
      <c r="H75" s="18">
        <v>76000</v>
      </c>
      <c r="I75" s="18">
        <f t="shared" si="3"/>
        <v>76000</v>
      </c>
      <c r="K75" s="18">
        <f t="shared" si="4"/>
        <v>76000</v>
      </c>
      <c r="L75" s="17">
        <f>45000-45000</f>
        <v>0</v>
      </c>
      <c r="M75" s="17"/>
      <c r="N75" s="92">
        <f t="shared" si="5"/>
        <v>76000</v>
      </c>
      <c r="O75" s="10" t="s">
        <v>23</v>
      </c>
      <c r="Q75" s="10" t="s">
        <v>40</v>
      </c>
      <c r="S75" s="204"/>
      <c r="T75" s="17"/>
      <c r="U75" s="17"/>
      <c r="V75" s="17"/>
      <c r="W75" s="17"/>
    </row>
    <row r="76" spans="1:23" s="20" customFormat="1" ht="15.6">
      <c r="A76" s="9">
        <v>44229</v>
      </c>
      <c r="B76" s="10" t="s">
        <v>23</v>
      </c>
      <c r="C76" s="11" t="s">
        <v>1214</v>
      </c>
      <c r="D76" s="254" t="s">
        <v>1215</v>
      </c>
      <c r="E76" s="269" t="s">
        <v>1218</v>
      </c>
      <c r="F76" s="270" t="s">
        <v>1219</v>
      </c>
      <c r="G76" s="30">
        <v>1</v>
      </c>
      <c r="H76" s="18">
        <v>94500</v>
      </c>
      <c r="I76" s="18">
        <f t="shared" si="3"/>
        <v>94500</v>
      </c>
      <c r="J76" s="20">
        <f>I76*35%</f>
        <v>33075</v>
      </c>
      <c r="K76" s="18">
        <f t="shared" si="4"/>
        <v>61425</v>
      </c>
      <c r="L76" s="17"/>
      <c r="M76" s="17"/>
      <c r="N76" s="92">
        <f t="shared" si="5"/>
        <v>61425</v>
      </c>
      <c r="O76" s="10" t="s">
        <v>23</v>
      </c>
      <c r="P76" s="259"/>
      <c r="Q76" s="10" t="s">
        <v>40</v>
      </c>
      <c r="S76" s="13"/>
      <c r="T76" s="17"/>
      <c r="U76" s="17"/>
      <c r="V76" s="17"/>
      <c r="W76" s="17"/>
    </row>
    <row r="77" spans="1:23" s="20" customFormat="1">
      <c r="A77" s="9">
        <v>44229</v>
      </c>
      <c r="B77" s="10" t="s">
        <v>23</v>
      </c>
      <c r="C77" s="11" t="s">
        <v>1214</v>
      </c>
      <c r="D77" s="254" t="s">
        <v>1215</v>
      </c>
      <c r="E77" s="268" t="s">
        <v>1220</v>
      </c>
      <c r="F77" s="268" t="s">
        <v>1221</v>
      </c>
      <c r="G77" s="30">
        <v>1</v>
      </c>
      <c r="H77" s="18">
        <v>53000</v>
      </c>
      <c r="I77" s="18">
        <f t="shared" si="3"/>
        <v>53000</v>
      </c>
      <c r="K77" s="18">
        <f t="shared" si="4"/>
        <v>53000</v>
      </c>
      <c r="L77" s="17"/>
      <c r="M77" s="17"/>
      <c r="N77" s="92">
        <f t="shared" si="5"/>
        <v>53000</v>
      </c>
      <c r="O77" s="10" t="s">
        <v>23</v>
      </c>
      <c r="P77" s="271"/>
      <c r="Q77" s="10" t="s">
        <v>40</v>
      </c>
      <c r="S77" s="13"/>
      <c r="T77" s="17"/>
      <c r="U77" s="17"/>
      <c r="V77" s="17"/>
      <c r="W77" s="17"/>
    </row>
    <row r="78" spans="1:23" s="20" customFormat="1" ht="15.6">
      <c r="A78" s="9">
        <v>44229</v>
      </c>
      <c r="B78" s="10" t="s">
        <v>23</v>
      </c>
      <c r="C78" s="10" t="s">
        <v>431</v>
      </c>
      <c r="D78" s="254" t="s">
        <v>31</v>
      </c>
      <c r="E78" s="39" t="s">
        <v>1222</v>
      </c>
      <c r="F78" s="39" t="s">
        <v>1223</v>
      </c>
      <c r="G78" s="30">
        <v>1</v>
      </c>
      <c r="H78" s="84">
        <v>196500</v>
      </c>
      <c r="I78" s="18">
        <f t="shared" si="3"/>
        <v>196500</v>
      </c>
      <c r="J78" s="20">
        <f>I78*25%</f>
        <v>49125</v>
      </c>
      <c r="K78" s="18">
        <f t="shared" si="4"/>
        <v>147375</v>
      </c>
      <c r="L78" s="17">
        <v>-45000</v>
      </c>
      <c r="M78" s="17"/>
      <c r="N78" s="92">
        <f t="shared" si="5"/>
        <v>102375</v>
      </c>
      <c r="O78" s="10" t="s">
        <v>23</v>
      </c>
      <c r="P78" s="271"/>
      <c r="Q78" s="10" t="s">
        <v>434</v>
      </c>
      <c r="S78" s="13"/>
      <c r="T78" s="17"/>
      <c r="U78" s="17"/>
      <c r="V78" s="17"/>
      <c r="W78" s="17"/>
    </row>
    <row r="79" spans="1:23" s="20" customFormat="1" ht="15.6">
      <c r="A79" s="9">
        <v>44229</v>
      </c>
      <c r="B79" s="10" t="s">
        <v>23</v>
      </c>
      <c r="C79" s="10" t="s">
        <v>431</v>
      </c>
      <c r="D79" s="254" t="s">
        <v>31</v>
      </c>
      <c r="E79" s="39" t="s">
        <v>1224</v>
      </c>
      <c r="F79" s="39" t="s">
        <v>1225</v>
      </c>
      <c r="G79" s="30">
        <v>1</v>
      </c>
      <c r="H79" s="84">
        <v>62000</v>
      </c>
      <c r="I79" s="18">
        <f t="shared" si="3"/>
        <v>62000</v>
      </c>
      <c r="J79" s="20">
        <f t="shared" ref="J79:J80" si="7">I79*25%</f>
        <v>15500</v>
      </c>
      <c r="K79" s="18">
        <f t="shared" si="4"/>
        <v>46500</v>
      </c>
      <c r="L79" s="17"/>
      <c r="M79" s="17"/>
      <c r="N79" s="92">
        <f t="shared" si="5"/>
        <v>46500</v>
      </c>
      <c r="O79" s="10" t="s">
        <v>23</v>
      </c>
      <c r="Q79" s="10" t="s">
        <v>434</v>
      </c>
      <c r="S79" s="17"/>
      <c r="T79" s="17"/>
      <c r="U79" s="17"/>
      <c r="V79" s="17"/>
      <c r="W79" s="17"/>
    </row>
    <row r="80" spans="1:23" s="20" customFormat="1" ht="15.6">
      <c r="A80" s="9">
        <v>44229</v>
      </c>
      <c r="B80" s="10" t="s">
        <v>23</v>
      </c>
      <c r="C80" s="10" t="s">
        <v>431</v>
      </c>
      <c r="D80" s="254" t="s">
        <v>31</v>
      </c>
      <c r="E80" s="39" t="s">
        <v>1226</v>
      </c>
      <c r="F80" s="39" t="s">
        <v>1227</v>
      </c>
      <c r="G80" s="30">
        <v>1</v>
      </c>
      <c r="H80" s="84">
        <v>192000</v>
      </c>
      <c r="I80" s="18">
        <f t="shared" si="3"/>
        <v>192000</v>
      </c>
      <c r="J80" s="20">
        <f t="shared" si="7"/>
        <v>48000</v>
      </c>
      <c r="K80" s="18">
        <f t="shared" si="4"/>
        <v>144000</v>
      </c>
      <c r="L80" s="17"/>
      <c r="M80" s="17"/>
      <c r="N80" s="92">
        <f t="shared" si="5"/>
        <v>144000</v>
      </c>
      <c r="O80" s="10" t="s">
        <v>23</v>
      </c>
      <c r="Q80" s="10" t="s">
        <v>434</v>
      </c>
      <c r="S80" s="26"/>
      <c r="T80" s="17"/>
      <c r="U80" s="17"/>
      <c r="V80" s="17"/>
      <c r="W80" s="17"/>
    </row>
    <row r="81" spans="1:23" s="20" customFormat="1" ht="15.6">
      <c r="A81" s="9">
        <v>44229</v>
      </c>
      <c r="B81" s="10" t="s">
        <v>23</v>
      </c>
      <c r="C81" s="11" t="s">
        <v>1228</v>
      </c>
      <c r="D81" s="254" t="s">
        <v>1229</v>
      </c>
      <c r="E81" s="272" t="s">
        <v>1230</v>
      </c>
      <c r="F81" s="15" t="s">
        <v>1231</v>
      </c>
      <c r="G81" s="242">
        <v>1</v>
      </c>
      <c r="H81" s="119">
        <v>128000</v>
      </c>
      <c r="I81" s="18">
        <f t="shared" si="3"/>
        <v>128000</v>
      </c>
      <c r="K81" s="18">
        <f t="shared" si="4"/>
        <v>128000</v>
      </c>
      <c r="L81" s="17">
        <v>10000</v>
      </c>
      <c r="M81" s="17"/>
      <c r="N81" s="92">
        <f t="shared" si="5"/>
        <v>138000</v>
      </c>
      <c r="O81" s="10" t="s">
        <v>23</v>
      </c>
      <c r="P81" s="17"/>
      <c r="Q81" s="10" t="s">
        <v>40</v>
      </c>
      <c r="R81" s="17"/>
      <c r="S81" s="17"/>
      <c r="T81" s="17"/>
      <c r="U81" s="17"/>
      <c r="V81" s="17"/>
      <c r="W81" s="17"/>
    </row>
    <row r="82" spans="1:23" s="20" customFormat="1" ht="15.6">
      <c r="A82" s="9">
        <v>44229</v>
      </c>
      <c r="B82" s="10" t="s">
        <v>23</v>
      </c>
      <c r="C82" s="11" t="s">
        <v>1232</v>
      </c>
      <c r="D82" s="254" t="s">
        <v>1233</v>
      </c>
      <c r="E82" s="71" t="s">
        <v>830</v>
      </c>
      <c r="F82" s="273" t="s">
        <v>831</v>
      </c>
      <c r="G82" s="242">
        <v>1</v>
      </c>
      <c r="H82" s="86">
        <v>89000</v>
      </c>
      <c r="I82" s="18">
        <f t="shared" si="3"/>
        <v>89000</v>
      </c>
      <c r="K82" s="18">
        <f t="shared" si="4"/>
        <v>89000</v>
      </c>
      <c r="L82" s="17">
        <v>28000</v>
      </c>
      <c r="M82" s="17"/>
      <c r="N82" s="92">
        <f t="shared" si="5"/>
        <v>117000</v>
      </c>
      <c r="O82" s="10" t="s">
        <v>23</v>
      </c>
      <c r="P82" s="17"/>
      <c r="Q82" s="10" t="s">
        <v>54</v>
      </c>
      <c r="R82" s="17"/>
      <c r="S82" s="17"/>
      <c r="T82" s="17"/>
      <c r="U82" s="17"/>
      <c r="V82" s="17"/>
      <c r="W82" s="17"/>
    </row>
    <row r="83" spans="1:23" s="275" customFormat="1" ht="15.6">
      <c r="A83" s="9">
        <v>44229</v>
      </c>
      <c r="B83" s="10" t="s">
        <v>23</v>
      </c>
      <c r="C83" s="11" t="s">
        <v>1234</v>
      </c>
      <c r="D83" s="254" t="s">
        <v>1235</v>
      </c>
      <c r="E83" s="15" t="s">
        <v>1236</v>
      </c>
      <c r="F83" s="15" t="s">
        <v>1237</v>
      </c>
      <c r="G83" s="242">
        <v>1</v>
      </c>
      <c r="H83" s="86">
        <v>100000</v>
      </c>
      <c r="I83" s="18">
        <f t="shared" si="3"/>
        <v>100000</v>
      </c>
      <c r="J83" s="20"/>
      <c r="K83" s="18">
        <f t="shared" si="4"/>
        <v>100000</v>
      </c>
      <c r="L83" s="17">
        <v>24000</v>
      </c>
      <c r="M83" s="17"/>
      <c r="N83" s="92">
        <f t="shared" si="5"/>
        <v>124000</v>
      </c>
      <c r="O83" s="10" t="s">
        <v>23</v>
      </c>
      <c r="P83" s="17"/>
      <c r="Q83" s="10" t="s">
        <v>40</v>
      </c>
      <c r="R83" s="17"/>
      <c r="S83" s="17"/>
      <c r="T83" s="274"/>
      <c r="U83" s="274"/>
      <c r="V83" s="274"/>
      <c r="W83" s="274"/>
    </row>
    <row r="84" spans="1:23" s="275" customFormat="1" ht="16.8" hidden="1">
      <c r="A84" s="9">
        <v>44229</v>
      </c>
      <c r="B84" s="10" t="s">
        <v>313</v>
      </c>
      <c r="C84" s="70" t="s">
        <v>1238</v>
      </c>
      <c r="D84" s="254" t="s">
        <v>1239</v>
      </c>
      <c r="E84" s="230" t="s">
        <v>1240</v>
      </c>
      <c r="F84" s="91" t="s">
        <v>1241</v>
      </c>
      <c r="G84" s="242">
        <v>1</v>
      </c>
      <c r="H84" s="86">
        <v>113000</v>
      </c>
      <c r="I84" s="18">
        <f t="shared" si="3"/>
        <v>113000</v>
      </c>
      <c r="J84" s="20"/>
      <c r="K84" s="18">
        <f t="shared" si="4"/>
        <v>113000</v>
      </c>
      <c r="L84" s="17">
        <v>17074</v>
      </c>
      <c r="M84" s="17"/>
      <c r="N84" s="92">
        <f t="shared" si="5"/>
        <v>130074</v>
      </c>
      <c r="O84" s="10" t="s">
        <v>313</v>
      </c>
      <c r="P84" s="181"/>
      <c r="Q84" s="10" t="s">
        <v>40</v>
      </c>
      <c r="R84" s="20"/>
      <c r="S84" s="21"/>
      <c r="T84" s="274"/>
      <c r="U84" s="274"/>
      <c r="V84" s="274"/>
      <c r="W84" s="274"/>
    </row>
    <row r="85" spans="1:23" s="275" customFormat="1" ht="15.6" hidden="1">
      <c r="A85" s="9">
        <v>44230</v>
      </c>
      <c r="B85" s="10" t="s">
        <v>43</v>
      </c>
      <c r="C85" s="10" t="s">
        <v>1242</v>
      </c>
      <c r="D85" s="254" t="s">
        <v>1243</v>
      </c>
      <c r="E85" s="276" t="s">
        <v>1244</v>
      </c>
      <c r="F85" s="276" t="s">
        <v>1245</v>
      </c>
      <c r="G85" s="242">
        <v>1</v>
      </c>
      <c r="H85" s="86">
        <v>57000</v>
      </c>
      <c r="I85" s="18">
        <f t="shared" si="3"/>
        <v>57000</v>
      </c>
      <c r="J85" s="20"/>
      <c r="K85" s="18">
        <f t="shared" si="4"/>
        <v>57000</v>
      </c>
      <c r="L85" s="17"/>
      <c r="M85" s="17">
        <v>-2468</v>
      </c>
      <c r="N85" s="92">
        <f t="shared" si="5"/>
        <v>54532</v>
      </c>
      <c r="O85" s="10" t="s">
        <v>43</v>
      </c>
      <c r="P85" s="181" t="s">
        <v>1246</v>
      </c>
      <c r="Q85" s="10" t="s">
        <v>54</v>
      </c>
      <c r="R85" s="17"/>
      <c r="S85" s="21" t="s">
        <v>1247</v>
      </c>
      <c r="T85" s="274"/>
      <c r="U85" s="274"/>
      <c r="V85" s="274"/>
      <c r="W85" s="274"/>
    </row>
    <row r="86" spans="1:23" s="280" customFormat="1" ht="15.6" hidden="1">
      <c r="A86" s="9">
        <v>44230</v>
      </c>
      <c r="B86" s="10" t="s">
        <v>170</v>
      </c>
      <c r="C86" s="11" t="s">
        <v>1248</v>
      </c>
      <c r="D86" s="228" t="s">
        <v>1249</v>
      </c>
      <c r="E86" s="276" t="s">
        <v>908</v>
      </c>
      <c r="F86" s="276" t="s">
        <v>909</v>
      </c>
      <c r="G86" s="277">
        <v>1</v>
      </c>
      <c r="H86" s="86">
        <v>100000</v>
      </c>
      <c r="I86" s="86">
        <f t="shared" si="3"/>
        <v>100000</v>
      </c>
      <c r="J86" s="29"/>
      <c r="K86" s="18">
        <f t="shared" si="4"/>
        <v>100000</v>
      </c>
      <c r="L86" s="86">
        <f>27000-27000</f>
        <v>0</v>
      </c>
      <c r="M86" s="86"/>
      <c r="N86" s="92">
        <f t="shared" si="5"/>
        <v>100000</v>
      </c>
      <c r="O86" s="10" t="s">
        <v>170</v>
      </c>
      <c r="P86" s="278" t="s">
        <v>1250</v>
      </c>
      <c r="Q86" s="10" t="s">
        <v>478</v>
      </c>
      <c r="R86" s="92"/>
      <c r="S86" s="238" t="s">
        <v>1250</v>
      </c>
      <c r="T86" s="279"/>
      <c r="U86" s="279"/>
      <c r="V86" s="279"/>
      <c r="W86" s="279"/>
    </row>
    <row r="87" spans="1:23" s="280" customFormat="1" ht="15.6" hidden="1">
      <c r="A87" s="9">
        <v>44230</v>
      </c>
      <c r="B87" s="10" t="s">
        <v>177</v>
      </c>
      <c r="C87" s="11" t="s">
        <v>1251</v>
      </c>
      <c r="D87" s="228" t="s">
        <v>1252</v>
      </c>
      <c r="E87" s="281" t="s">
        <v>1253</v>
      </c>
      <c r="F87" s="281" t="s">
        <v>1254</v>
      </c>
      <c r="G87" s="242">
        <v>1</v>
      </c>
      <c r="H87" s="86">
        <v>44500</v>
      </c>
      <c r="I87" s="86">
        <f t="shared" si="3"/>
        <v>44500</v>
      </c>
      <c r="J87" s="29">
        <v>8900</v>
      </c>
      <c r="K87" s="18">
        <f t="shared" si="4"/>
        <v>35600</v>
      </c>
      <c r="L87" s="86">
        <v>28000</v>
      </c>
      <c r="M87" s="86"/>
      <c r="N87" s="92">
        <f t="shared" si="5"/>
        <v>63600</v>
      </c>
      <c r="O87" s="10" t="s">
        <v>177</v>
      </c>
      <c r="P87" s="236">
        <v>62082287911520</v>
      </c>
      <c r="Q87" s="10" t="s">
        <v>54</v>
      </c>
      <c r="R87" s="92"/>
      <c r="S87" s="21"/>
      <c r="T87" s="279"/>
      <c r="U87" s="279"/>
      <c r="V87" s="279"/>
      <c r="W87" s="279"/>
    </row>
    <row r="88" spans="1:23" s="280" customFormat="1" ht="15.6">
      <c r="A88" s="9">
        <v>44230</v>
      </c>
      <c r="B88" s="10" t="s">
        <v>23</v>
      </c>
      <c r="C88" s="11" t="s">
        <v>1255</v>
      </c>
      <c r="D88" s="228" t="s">
        <v>1256</v>
      </c>
      <c r="E88" s="281" t="s">
        <v>441</v>
      </c>
      <c r="F88" s="281" t="s">
        <v>1257</v>
      </c>
      <c r="G88" s="242">
        <v>1</v>
      </c>
      <c r="H88" s="86">
        <v>113500</v>
      </c>
      <c r="I88" s="86">
        <f t="shared" si="3"/>
        <v>113500</v>
      </c>
      <c r="J88" s="29"/>
      <c r="K88" s="18">
        <f t="shared" si="4"/>
        <v>113500</v>
      </c>
      <c r="L88" s="86">
        <v>41000</v>
      </c>
      <c r="M88" s="92"/>
      <c r="N88" s="92">
        <f t="shared" si="5"/>
        <v>154500</v>
      </c>
      <c r="O88" s="10" t="s">
        <v>23</v>
      </c>
      <c r="P88" s="236"/>
      <c r="Q88" s="10" t="s">
        <v>28</v>
      </c>
      <c r="R88" s="92"/>
      <c r="S88" s="21"/>
      <c r="T88" s="279"/>
      <c r="U88" s="279"/>
      <c r="V88" s="279"/>
      <c r="W88" s="279"/>
    </row>
    <row r="89" spans="1:23" s="29" customFormat="1">
      <c r="A89" s="9">
        <v>44230</v>
      </c>
      <c r="B89" s="10" t="s">
        <v>23</v>
      </c>
      <c r="C89" s="11" t="s">
        <v>1258</v>
      </c>
      <c r="D89" s="228" t="s">
        <v>1259</v>
      </c>
      <c r="E89" s="282" t="s">
        <v>1260</v>
      </c>
      <c r="F89" s="283" t="s">
        <v>1261</v>
      </c>
      <c r="G89" s="242">
        <v>1</v>
      </c>
      <c r="H89" s="86">
        <v>84000</v>
      </c>
      <c r="I89" s="86">
        <f t="shared" si="3"/>
        <v>84000</v>
      </c>
      <c r="K89" s="18">
        <f t="shared" si="4"/>
        <v>84000</v>
      </c>
      <c r="L89" s="86">
        <v>15000</v>
      </c>
      <c r="M89" s="92"/>
      <c r="N89" s="92">
        <f t="shared" si="5"/>
        <v>99000</v>
      </c>
      <c r="O89" s="10" t="s">
        <v>23</v>
      </c>
      <c r="P89" s="236"/>
      <c r="Q89" s="10" t="s">
        <v>40</v>
      </c>
      <c r="R89" s="92"/>
      <c r="S89" s="21"/>
      <c r="T89" s="92"/>
      <c r="U89" s="92"/>
      <c r="V89" s="92"/>
      <c r="W89" s="92"/>
    </row>
    <row r="90" spans="1:23" s="280" customFormat="1" ht="16.8">
      <c r="A90" s="9">
        <v>44230</v>
      </c>
      <c r="B90" s="10" t="s">
        <v>23</v>
      </c>
      <c r="C90" s="10" t="s">
        <v>1262</v>
      </c>
      <c r="D90" s="228" t="s">
        <v>1263</v>
      </c>
      <c r="E90" s="281" t="s">
        <v>190</v>
      </c>
      <c r="F90" s="281" t="s">
        <v>191</v>
      </c>
      <c r="G90" s="242">
        <v>1</v>
      </c>
      <c r="H90" s="86">
        <v>92000</v>
      </c>
      <c r="I90" s="86">
        <f t="shared" si="3"/>
        <v>92000</v>
      </c>
      <c r="J90" s="29"/>
      <c r="K90" s="18">
        <f t="shared" si="4"/>
        <v>92000</v>
      </c>
      <c r="L90" s="86">
        <v>35000</v>
      </c>
      <c r="M90" s="92"/>
      <c r="N90" s="92">
        <f t="shared" si="5"/>
        <v>127000</v>
      </c>
      <c r="O90" s="10" t="s">
        <v>23</v>
      </c>
      <c r="P90" s="239"/>
      <c r="Q90" s="10" t="s">
        <v>54</v>
      </c>
      <c r="R90" s="92"/>
      <c r="S90" s="262"/>
      <c r="T90" s="279"/>
      <c r="U90" s="279"/>
      <c r="V90" s="279"/>
      <c r="W90" s="279"/>
    </row>
    <row r="91" spans="1:23" s="29" customFormat="1" ht="15.6">
      <c r="A91" s="9">
        <v>44230</v>
      </c>
      <c r="B91" s="10" t="s">
        <v>23</v>
      </c>
      <c r="C91" s="11" t="s">
        <v>1264</v>
      </c>
      <c r="D91" s="228" t="s">
        <v>1265</v>
      </c>
      <c r="E91" s="284" t="s">
        <v>276</v>
      </c>
      <c r="F91" s="284" t="s">
        <v>1266</v>
      </c>
      <c r="G91" s="242">
        <v>1</v>
      </c>
      <c r="H91" s="86">
        <v>101000</v>
      </c>
      <c r="I91" s="86">
        <f t="shared" si="3"/>
        <v>101000</v>
      </c>
      <c r="J91" s="29">
        <f>I91*20%</f>
        <v>20200</v>
      </c>
      <c r="K91" s="18">
        <f t="shared" si="4"/>
        <v>80800</v>
      </c>
      <c r="L91" s="86">
        <v>57000</v>
      </c>
      <c r="M91" s="92"/>
      <c r="N91" s="92">
        <f t="shared" si="5"/>
        <v>137800</v>
      </c>
      <c r="O91" s="10" t="s">
        <v>23</v>
      </c>
      <c r="P91" s="93"/>
      <c r="Q91" s="10" t="s">
        <v>40</v>
      </c>
      <c r="R91" s="92"/>
      <c r="S91" s="93"/>
      <c r="T91" s="92"/>
      <c r="U91" s="92"/>
      <c r="V91" s="92"/>
      <c r="W91" s="92"/>
    </row>
    <row r="92" spans="1:23" s="29" customFormat="1" ht="15.6">
      <c r="A92" s="9">
        <v>44230</v>
      </c>
      <c r="B92" s="10" t="s">
        <v>23</v>
      </c>
      <c r="C92" s="11" t="s">
        <v>1264</v>
      </c>
      <c r="D92" s="228" t="s">
        <v>1265</v>
      </c>
      <c r="E92" s="284" t="s">
        <v>1267</v>
      </c>
      <c r="F92" s="284" t="s">
        <v>1268</v>
      </c>
      <c r="G92" s="242">
        <v>1</v>
      </c>
      <c r="H92" s="86">
        <v>88000</v>
      </c>
      <c r="I92" s="86">
        <f t="shared" si="3"/>
        <v>88000</v>
      </c>
      <c r="J92" s="29">
        <f t="shared" ref="J92:J95" si="8">I92*20%</f>
        <v>17600</v>
      </c>
      <c r="K92" s="18">
        <f t="shared" si="4"/>
        <v>70400</v>
      </c>
      <c r="L92" s="92"/>
      <c r="M92" s="92"/>
      <c r="N92" s="92">
        <f t="shared" si="5"/>
        <v>70400</v>
      </c>
      <c r="O92" s="10" t="s">
        <v>23</v>
      </c>
      <c r="P92" s="95"/>
      <c r="Q92" s="10" t="s">
        <v>40</v>
      </c>
      <c r="R92" s="92"/>
      <c r="S92" s="12"/>
      <c r="T92" s="92"/>
      <c r="U92" s="92"/>
      <c r="V92" s="92"/>
      <c r="W92" s="92"/>
    </row>
    <row r="93" spans="1:23" s="280" customFormat="1">
      <c r="A93" s="9">
        <v>44230</v>
      </c>
      <c r="B93" s="10" t="s">
        <v>23</v>
      </c>
      <c r="C93" s="11" t="s">
        <v>1264</v>
      </c>
      <c r="D93" s="228" t="s">
        <v>1265</v>
      </c>
      <c r="E93" s="285" t="s">
        <v>1269</v>
      </c>
      <c r="F93" s="285" t="s">
        <v>1270</v>
      </c>
      <c r="G93" s="242">
        <v>1</v>
      </c>
      <c r="H93" s="86">
        <v>67000</v>
      </c>
      <c r="I93" s="86">
        <f t="shared" si="3"/>
        <v>67000</v>
      </c>
      <c r="J93" s="29">
        <f t="shared" si="8"/>
        <v>13400</v>
      </c>
      <c r="K93" s="18">
        <f t="shared" si="4"/>
        <v>53600</v>
      </c>
      <c r="L93" s="92"/>
      <c r="M93" s="92"/>
      <c r="N93" s="92">
        <f t="shared" si="5"/>
        <v>53600</v>
      </c>
      <c r="O93" s="10" t="s">
        <v>23</v>
      </c>
      <c r="P93" s="96"/>
      <c r="Q93" s="10" t="s">
        <v>40</v>
      </c>
      <c r="R93" s="92"/>
      <c r="S93" s="92"/>
      <c r="T93" s="279"/>
      <c r="U93" s="279"/>
      <c r="V93" s="279"/>
      <c r="W93" s="279"/>
    </row>
    <row r="94" spans="1:23" s="280" customFormat="1" ht="15.6" hidden="1">
      <c r="A94" s="9">
        <v>44230</v>
      </c>
      <c r="B94" s="10" t="s">
        <v>29</v>
      </c>
      <c r="C94" s="10" t="s">
        <v>1271</v>
      </c>
      <c r="D94" s="228" t="s">
        <v>31</v>
      </c>
      <c r="E94" s="22" t="s">
        <v>1272</v>
      </c>
      <c r="F94" s="94" t="s">
        <v>1273</v>
      </c>
      <c r="G94" s="242">
        <v>1</v>
      </c>
      <c r="H94" s="86">
        <v>50000</v>
      </c>
      <c r="I94" s="86">
        <f t="shared" si="3"/>
        <v>50000</v>
      </c>
      <c r="J94" s="29">
        <f t="shared" si="8"/>
        <v>10000</v>
      </c>
      <c r="K94" s="18">
        <f t="shared" si="4"/>
        <v>40000</v>
      </c>
      <c r="L94" s="92"/>
      <c r="M94" s="92"/>
      <c r="N94" s="92">
        <f t="shared" si="5"/>
        <v>40000</v>
      </c>
      <c r="O94" s="10" t="s">
        <v>29</v>
      </c>
      <c r="P94" s="236"/>
      <c r="Q94" s="242" t="s">
        <v>35</v>
      </c>
      <c r="R94" s="92"/>
      <c r="S94" s="21"/>
      <c r="T94" s="279"/>
      <c r="U94" s="279"/>
      <c r="V94" s="279"/>
      <c r="W94" s="279"/>
    </row>
    <row r="95" spans="1:23" s="280" customFormat="1" ht="15.6">
      <c r="A95" s="9">
        <v>44230</v>
      </c>
      <c r="B95" s="10" t="s">
        <v>23</v>
      </c>
      <c r="C95" s="10" t="s">
        <v>1274</v>
      </c>
      <c r="D95" s="228" t="s">
        <v>31</v>
      </c>
      <c r="E95" s="91" t="s">
        <v>1275</v>
      </c>
      <c r="F95" s="22" t="s">
        <v>68</v>
      </c>
      <c r="G95" s="242">
        <v>1</v>
      </c>
      <c r="H95" s="86">
        <v>65000</v>
      </c>
      <c r="I95" s="86">
        <f t="shared" si="3"/>
        <v>65000</v>
      </c>
      <c r="J95" s="29">
        <f t="shared" si="8"/>
        <v>13000</v>
      </c>
      <c r="K95" s="18">
        <f t="shared" si="4"/>
        <v>52000</v>
      </c>
      <c r="L95" s="92"/>
      <c r="M95" s="92"/>
      <c r="N95" s="92">
        <f t="shared" si="5"/>
        <v>52000</v>
      </c>
      <c r="O95" s="10" t="s">
        <v>23</v>
      </c>
      <c r="P95" s="236"/>
      <c r="Q95" s="242" t="s">
        <v>35</v>
      </c>
      <c r="R95" s="92"/>
      <c r="S95" s="21"/>
      <c r="T95" s="279"/>
      <c r="U95" s="279"/>
      <c r="V95" s="279"/>
      <c r="W95" s="279"/>
    </row>
    <row r="96" spans="1:23" s="280" customFormat="1" ht="15.6" hidden="1">
      <c r="A96" s="9">
        <v>44230</v>
      </c>
      <c r="B96" s="91" t="s">
        <v>313</v>
      </c>
      <c r="C96" s="286" t="s">
        <v>1276</v>
      </c>
      <c r="D96" s="228" t="s">
        <v>1277</v>
      </c>
      <c r="E96" s="22" t="s">
        <v>1278</v>
      </c>
      <c r="F96" s="22" t="s">
        <v>1279</v>
      </c>
      <c r="G96" s="242">
        <v>1</v>
      </c>
      <c r="H96" s="86">
        <v>142000</v>
      </c>
      <c r="I96" s="86">
        <f t="shared" si="3"/>
        <v>142000</v>
      </c>
      <c r="J96" s="29"/>
      <c r="K96" s="18">
        <f t="shared" si="4"/>
        <v>142000</v>
      </c>
      <c r="L96" s="92">
        <v>15031</v>
      </c>
      <c r="M96" s="92"/>
      <c r="N96" s="92">
        <f t="shared" si="5"/>
        <v>157031</v>
      </c>
      <c r="O96" s="91" t="s">
        <v>313</v>
      </c>
      <c r="P96" s="236"/>
      <c r="Q96" s="242" t="s">
        <v>40</v>
      </c>
      <c r="R96" s="92"/>
      <c r="S96" s="93"/>
      <c r="T96" s="279"/>
      <c r="U96" s="279"/>
      <c r="V96" s="279"/>
      <c r="W96" s="279"/>
    </row>
    <row r="97" spans="1:23" s="275" customFormat="1" ht="15" customHeight="1">
      <c r="A97" s="9">
        <v>44230</v>
      </c>
      <c r="B97" s="91" t="s">
        <v>23</v>
      </c>
      <c r="C97" s="287" t="s">
        <v>1280</v>
      </c>
      <c r="D97" s="228" t="s">
        <v>1281</v>
      </c>
      <c r="E97" s="161" t="s">
        <v>1282</v>
      </c>
      <c r="F97" s="223" t="s">
        <v>1283</v>
      </c>
      <c r="G97" s="242">
        <v>1</v>
      </c>
      <c r="H97" s="86">
        <v>71000</v>
      </c>
      <c r="I97" s="86">
        <f t="shared" si="3"/>
        <v>71000</v>
      </c>
      <c r="J97" s="20"/>
      <c r="K97" s="18">
        <f t="shared" si="4"/>
        <v>71000</v>
      </c>
      <c r="L97" s="92">
        <v>17000</v>
      </c>
      <c r="M97" s="17"/>
      <c r="N97" s="92">
        <f t="shared" si="5"/>
        <v>88000</v>
      </c>
      <c r="O97" s="91" t="s">
        <v>23</v>
      </c>
      <c r="P97" s="236"/>
      <c r="Q97" s="242" t="s">
        <v>40</v>
      </c>
      <c r="R97" s="17"/>
      <c r="S97" s="21"/>
      <c r="T97" s="274"/>
      <c r="U97" s="274"/>
      <c r="V97" s="274"/>
      <c r="W97" s="274"/>
    </row>
    <row r="98" spans="1:23" s="275" customFormat="1" ht="15.6" hidden="1">
      <c r="A98" s="9">
        <v>44231</v>
      </c>
      <c r="B98" s="10" t="s">
        <v>43</v>
      </c>
      <c r="C98" s="11" t="s">
        <v>1284</v>
      </c>
      <c r="D98" s="228" t="s">
        <v>1285</v>
      </c>
      <c r="E98" s="160" t="s">
        <v>1286</v>
      </c>
      <c r="F98" s="223" t="s">
        <v>1287</v>
      </c>
      <c r="G98" s="245">
        <v>1</v>
      </c>
      <c r="H98" s="86">
        <v>73500</v>
      </c>
      <c r="I98" s="86">
        <f t="shared" si="3"/>
        <v>73500</v>
      </c>
      <c r="J98" s="20"/>
      <c r="K98" s="18">
        <f t="shared" si="4"/>
        <v>73500</v>
      </c>
      <c r="L98" s="86">
        <v>28000</v>
      </c>
      <c r="M98" s="17">
        <v>-3183</v>
      </c>
      <c r="N98" s="92">
        <f t="shared" si="5"/>
        <v>98317</v>
      </c>
      <c r="O98" s="10" t="s">
        <v>43</v>
      </c>
      <c r="P98" s="278">
        <v>85349396126</v>
      </c>
      <c r="Q98" s="10" t="s">
        <v>54</v>
      </c>
      <c r="R98" s="17"/>
      <c r="S98" s="177" t="s">
        <v>1288</v>
      </c>
      <c r="T98" s="274"/>
      <c r="U98" s="274"/>
      <c r="V98" s="274"/>
      <c r="W98" s="274"/>
    </row>
    <row r="99" spans="1:23" s="275" customFormat="1" ht="15.6" hidden="1">
      <c r="A99" s="9">
        <v>44231</v>
      </c>
      <c r="B99" s="10" t="s">
        <v>177</v>
      </c>
      <c r="C99" s="10" t="s">
        <v>1289</v>
      </c>
      <c r="D99" s="244" t="s">
        <v>1252</v>
      </c>
      <c r="E99" s="14" t="s">
        <v>1290</v>
      </c>
      <c r="F99" s="94" t="s">
        <v>1291</v>
      </c>
      <c r="G99" s="245">
        <v>1</v>
      </c>
      <c r="H99" s="86">
        <v>44500</v>
      </c>
      <c r="I99" s="86">
        <f t="shared" si="3"/>
        <v>44500</v>
      </c>
      <c r="J99" s="20">
        <f>I99*20%</f>
        <v>8900</v>
      </c>
      <c r="K99" s="288">
        <f t="shared" si="4"/>
        <v>35600</v>
      </c>
      <c r="L99" s="86">
        <v>28000</v>
      </c>
      <c r="M99" s="17"/>
      <c r="N99" s="92">
        <f t="shared" si="5"/>
        <v>63600</v>
      </c>
      <c r="O99" s="10" t="s">
        <v>177</v>
      </c>
      <c r="P99" s="278">
        <v>62082287911520</v>
      </c>
      <c r="Q99" s="10" t="s">
        <v>54</v>
      </c>
      <c r="R99" s="17"/>
      <c r="S99" s="21" t="s">
        <v>1292</v>
      </c>
      <c r="T99" s="274"/>
      <c r="U99" s="274"/>
      <c r="V99" s="274"/>
      <c r="W99" s="274"/>
    </row>
    <row r="100" spans="1:23" s="275" customFormat="1" ht="15.6" hidden="1">
      <c r="A100" s="9">
        <v>44231</v>
      </c>
      <c r="B100" s="10" t="s">
        <v>206</v>
      </c>
      <c r="C100" s="11" t="s">
        <v>1293</v>
      </c>
      <c r="D100" s="228" t="s">
        <v>1294</v>
      </c>
      <c r="E100" s="98" t="s">
        <v>1295</v>
      </c>
      <c r="F100" s="98" t="s">
        <v>1296</v>
      </c>
      <c r="G100" s="245">
        <v>1</v>
      </c>
      <c r="H100" s="86">
        <v>84000</v>
      </c>
      <c r="I100" s="86">
        <f t="shared" si="3"/>
        <v>84000</v>
      </c>
      <c r="J100" s="20"/>
      <c r="K100" s="288">
        <f t="shared" si="4"/>
        <v>84000</v>
      </c>
      <c r="L100" s="86">
        <v>16000</v>
      </c>
      <c r="M100" s="17"/>
      <c r="N100" s="92">
        <f t="shared" si="5"/>
        <v>100000</v>
      </c>
      <c r="O100" s="10" t="s">
        <v>206</v>
      </c>
      <c r="P100" s="236" t="s">
        <v>1297</v>
      </c>
      <c r="Q100" s="10" t="s">
        <v>40</v>
      </c>
      <c r="R100" s="17"/>
      <c r="S100" s="21"/>
      <c r="T100" s="274"/>
      <c r="U100" s="274"/>
      <c r="V100" s="274"/>
      <c r="W100" s="274"/>
    </row>
    <row r="101" spans="1:23" s="275" customFormat="1" ht="15.6" hidden="1">
      <c r="A101" s="9">
        <v>44231</v>
      </c>
      <c r="B101" s="10" t="s">
        <v>206</v>
      </c>
      <c r="C101" s="11" t="s">
        <v>1293</v>
      </c>
      <c r="D101" s="228" t="s">
        <v>1294</v>
      </c>
      <c r="E101" s="98" t="s">
        <v>1298</v>
      </c>
      <c r="F101" s="98" t="s">
        <v>1299</v>
      </c>
      <c r="G101" s="245">
        <v>1</v>
      </c>
      <c r="H101" s="86">
        <v>59500</v>
      </c>
      <c r="I101" s="86">
        <f t="shared" ref="I101:I129" si="9">H101*G101</f>
        <v>59500</v>
      </c>
      <c r="J101" s="20"/>
      <c r="K101" s="288">
        <f t="shared" ref="K101:K164" si="10">I101-J101</f>
        <v>59500</v>
      </c>
      <c r="L101" s="17"/>
      <c r="M101" s="17"/>
      <c r="N101" s="92">
        <f t="shared" ref="N101:N164" si="11">K101+L101+M101</f>
        <v>59500</v>
      </c>
      <c r="O101" s="10" t="s">
        <v>206</v>
      </c>
      <c r="P101" s="17"/>
      <c r="Q101" s="10" t="s">
        <v>40</v>
      </c>
      <c r="R101" s="17"/>
      <c r="S101" s="17"/>
      <c r="T101" s="274"/>
      <c r="U101" s="274"/>
      <c r="V101" s="274"/>
      <c r="W101" s="274"/>
    </row>
    <row r="102" spans="1:23" s="275" customFormat="1" ht="15.6" hidden="1">
      <c r="A102" s="9">
        <v>44231</v>
      </c>
      <c r="B102" s="10" t="s">
        <v>43</v>
      </c>
      <c r="C102" s="11" t="s">
        <v>1300</v>
      </c>
      <c r="D102" s="244" t="s">
        <v>1301</v>
      </c>
      <c r="E102" s="289" t="s">
        <v>1302</v>
      </c>
      <c r="F102" s="71" t="s">
        <v>1303</v>
      </c>
      <c r="G102" s="245">
        <v>1</v>
      </c>
      <c r="H102" s="86">
        <v>219500</v>
      </c>
      <c r="I102" s="86">
        <f t="shared" si="9"/>
        <v>219500</v>
      </c>
      <c r="J102" s="20"/>
      <c r="K102" s="288">
        <f t="shared" si="10"/>
        <v>219500</v>
      </c>
      <c r="L102" s="17">
        <v>27000</v>
      </c>
      <c r="M102" s="17">
        <v>-9505</v>
      </c>
      <c r="N102" s="92">
        <f t="shared" si="11"/>
        <v>236995</v>
      </c>
      <c r="O102" s="10" t="s">
        <v>43</v>
      </c>
      <c r="P102" s="236" t="s">
        <v>1304</v>
      </c>
      <c r="Q102" s="10" t="s">
        <v>54</v>
      </c>
      <c r="R102" s="17"/>
      <c r="S102" s="21" t="s">
        <v>1305</v>
      </c>
      <c r="T102" s="274"/>
      <c r="U102" s="274"/>
      <c r="V102" s="274"/>
      <c r="W102" s="274"/>
    </row>
    <row r="103" spans="1:23" s="275" customFormat="1" ht="15.6" hidden="1">
      <c r="A103" s="290">
        <v>44232</v>
      </c>
      <c r="B103" s="10" t="s">
        <v>43</v>
      </c>
      <c r="C103" s="11" t="s">
        <v>1306</v>
      </c>
      <c r="D103" s="228" t="s">
        <v>1307</v>
      </c>
      <c r="E103" s="57" t="s">
        <v>162</v>
      </c>
      <c r="F103" s="38" t="s">
        <v>163</v>
      </c>
      <c r="G103" s="245">
        <v>1</v>
      </c>
      <c r="H103" s="86">
        <v>95000</v>
      </c>
      <c r="I103" s="86">
        <f t="shared" si="9"/>
        <v>95000</v>
      </c>
      <c r="J103" s="20"/>
      <c r="K103" s="291">
        <f t="shared" si="10"/>
        <v>95000</v>
      </c>
      <c r="L103" s="17">
        <v>3000</v>
      </c>
      <c r="M103" s="17">
        <v>-4114</v>
      </c>
      <c r="N103" s="92">
        <f t="shared" si="11"/>
        <v>93886</v>
      </c>
      <c r="O103" s="10" t="s">
        <v>43</v>
      </c>
      <c r="P103" s="236" t="s">
        <v>1308</v>
      </c>
      <c r="Q103" s="10" t="s">
        <v>54</v>
      </c>
      <c r="R103" s="17"/>
      <c r="S103" s="21" t="s">
        <v>1309</v>
      </c>
      <c r="T103" s="274"/>
      <c r="U103" s="274"/>
      <c r="V103" s="274"/>
      <c r="W103" s="274"/>
    </row>
    <row r="104" spans="1:23" s="275" customFormat="1" hidden="1">
      <c r="A104" s="290">
        <v>44232</v>
      </c>
      <c r="B104" s="10" t="s">
        <v>313</v>
      </c>
      <c r="C104" s="10" t="s">
        <v>1310</v>
      </c>
      <c r="D104" s="228" t="s">
        <v>1311</v>
      </c>
      <c r="E104" s="61" t="s">
        <v>1312</v>
      </c>
      <c r="F104" s="292" t="s">
        <v>1313</v>
      </c>
      <c r="G104" s="245">
        <v>1</v>
      </c>
      <c r="H104" s="86">
        <v>88000</v>
      </c>
      <c r="I104" s="86">
        <f t="shared" si="9"/>
        <v>88000</v>
      </c>
      <c r="J104" s="20"/>
      <c r="K104" s="18">
        <f t="shared" si="10"/>
        <v>88000</v>
      </c>
      <c r="L104" s="17">
        <v>21076</v>
      </c>
      <c r="M104" s="17"/>
      <c r="N104" s="92">
        <f t="shared" si="11"/>
        <v>109076</v>
      </c>
      <c r="O104" s="10" t="s">
        <v>313</v>
      </c>
      <c r="P104" s="17"/>
      <c r="Q104" s="10" t="s">
        <v>40</v>
      </c>
      <c r="R104" s="17"/>
      <c r="S104" s="17"/>
      <c r="T104" s="274"/>
      <c r="U104" s="274"/>
      <c r="V104" s="274"/>
      <c r="W104" s="274"/>
    </row>
    <row r="105" spans="1:23" s="275" customFormat="1" hidden="1">
      <c r="A105" s="290">
        <v>44232</v>
      </c>
      <c r="B105" s="10" t="s">
        <v>313</v>
      </c>
      <c r="C105" s="10" t="s">
        <v>1310</v>
      </c>
      <c r="D105" s="228" t="s">
        <v>1311</v>
      </c>
      <c r="E105" s="61" t="s">
        <v>1314</v>
      </c>
      <c r="F105" s="292" t="s">
        <v>1315</v>
      </c>
      <c r="G105" s="245">
        <v>1</v>
      </c>
      <c r="H105" s="86">
        <v>76000</v>
      </c>
      <c r="I105" s="86">
        <f t="shared" si="9"/>
        <v>76000</v>
      </c>
      <c r="J105" s="20"/>
      <c r="K105" s="291">
        <f t="shared" si="10"/>
        <v>76000</v>
      </c>
      <c r="L105" s="17"/>
      <c r="M105" s="17"/>
      <c r="N105" s="92">
        <f t="shared" si="11"/>
        <v>76000</v>
      </c>
      <c r="O105" s="10" t="s">
        <v>313</v>
      </c>
      <c r="P105" s="17"/>
      <c r="Q105" s="10" t="s">
        <v>40</v>
      </c>
      <c r="R105" s="17"/>
      <c r="S105" s="17"/>
      <c r="T105" s="274"/>
      <c r="U105" s="274"/>
      <c r="V105" s="274"/>
      <c r="W105" s="274"/>
    </row>
    <row r="106" spans="1:23" s="275" customFormat="1" ht="15.6" hidden="1">
      <c r="A106" s="290">
        <v>44232</v>
      </c>
      <c r="B106" s="10" t="s">
        <v>177</v>
      </c>
      <c r="C106" s="10" t="s">
        <v>1316</v>
      </c>
      <c r="D106" s="228" t="s">
        <v>1317</v>
      </c>
      <c r="E106" s="293" t="s">
        <v>1318</v>
      </c>
      <c r="F106" s="293" t="s">
        <v>1319</v>
      </c>
      <c r="G106" s="245">
        <v>1</v>
      </c>
      <c r="H106" s="86">
        <v>97000</v>
      </c>
      <c r="I106" s="86">
        <f t="shared" si="9"/>
        <v>97000</v>
      </c>
      <c r="J106" s="20"/>
      <c r="K106" s="291">
        <f t="shared" si="10"/>
        <v>97000</v>
      </c>
      <c r="L106" s="17">
        <v>42000</v>
      </c>
      <c r="M106" s="20"/>
      <c r="N106" s="92">
        <f t="shared" si="11"/>
        <v>139000</v>
      </c>
      <c r="O106" s="10" t="s">
        <v>177</v>
      </c>
      <c r="P106" s="236">
        <v>537106034147824</v>
      </c>
      <c r="Q106" s="10" t="s">
        <v>54</v>
      </c>
      <c r="R106" s="17"/>
      <c r="S106" s="21" t="s">
        <v>1320</v>
      </c>
      <c r="T106" s="274"/>
      <c r="U106" s="274"/>
      <c r="V106" s="274"/>
      <c r="W106" s="274"/>
    </row>
    <row r="107" spans="1:23" s="275" customFormat="1" ht="15.6" hidden="1">
      <c r="A107" s="290">
        <v>44232</v>
      </c>
      <c r="B107" s="10" t="s">
        <v>177</v>
      </c>
      <c r="C107" s="10" t="s">
        <v>1316</v>
      </c>
      <c r="D107" s="228" t="s">
        <v>1317</v>
      </c>
      <c r="E107" s="294" t="s">
        <v>471</v>
      </c>
      <c r="F107" s="294" t="s">
        <v>472</v>
      </c>
      <c r="G107" s="245">
        <v>1</v>
      </c>
      <c r="H107" s="86">
        <v>88000</v>
      </c>
      <c r="I107" s="86">
        <f t="shared" si="9"/>
        <v>88000</v>
      </c>
      <c r="J107" s="20"/>
      <c r="K107" s="291">
        <f t="shared" si="10"/>
        <v>88000</v>
      </c>
      <c r="L107" s="17"/>
      <c r="M107" s="17"/>
      <c r="N107" s="92">
        <f t="shared" si="11"/>
        <v>88000</v>
      </c>
      <c r="O107" s="10" t="s">
        <v>177</v>
      </c>
      <c r="P107" s="236">
        <v>537106034147824</v>
      </c>
      <c r="Q107" s="10" t="s">
        <v>54</v>
      </c>
      <c r="R107" s="17"/>
      <c r="S107" s="197" t="s">
        <v>1320</v>
      </c>
      <c r="T107" s="274"/>
      <c r="U107" s="274"/>
      <c r="V107" s="274"/>
      <c r="W107" s="274"/>
    </row>
    <row r="108" spans="1:23" s="275" customFormat="1" ht="13.8" customHeight="1">
      <c r="A108" s="290">
        <v>44232</v>
      </c>
      <c r="B108" s="10" t="s">
        <v>23</v>
      </c>
      <c r="C108" s="11" t="s">
        <v>1321</v>
      </c>
      <c r="D108" s="1091" t="s">
        <v>9407</v>
      </c>
      <c r="E108" s="22" t="s">
        <v>1322</v>
      </c>
      <c r="F108" s="22" t="s">
        <v>1323</v>
      </c>
      <c r="G108" s="245">
        <v>1</v>
      </c>
      <c r="H108" s="86">
        <v>99500</v>
      </c>
      <c r="I108" s="86">
        <f t="shared" si="9"/>
        <v>99500</v>
      </c>
      <c r="J108" s="20"/>
      <c r="K108" s="291">
        <f t="shared" si="10"/>
        <v>99500</v>
      </c>
      <c r="L108" s="17">
        <v>19000</v>
      </c>
      <c r="M108" s="17"/>
      <c r="N108" s="92">
        <f t="shared" si="11"/>
        <v>118500</v>
      </c>
      <c r="O108" s="10" t="s">
        <v>23</v>
      </c>
      <c r="P108" s="236"/>
      <c r="Q108" s="10" t="s">
        <v>40</v>
      </c>
      <c r="R108" s="17"/>
      <c r="S108" s="21"/>
      <c r="T108" s="274"/>
      <c r="U108" s="274"/>
      <c r="V108" s="274"/>
      <c r="W108" s="274"/>
    </row>
    <row r="109" spans="1:23" s="275" customFormat="1" ht="15.6" hidden="1">
      <c r="A109" s="290">
        <v>44232</v>
      </c>
      <c r="B109" s="10" t="s">
        <v>206</v>
      </c>
      <c r="C109" s="11" t="s">
        <v>562</v>
      </c>
      <c r="D109" s="228" t="s">
        <v>563</v>
      </c>
      <c r="E109" s="14" t="s">
        <v>186</v>
      </c>
      <c r="F109" s="94" t="s">
        <v>187</v>
      </c>
      <c r="G109" s="245">
        <v>1</v>
      </c>
      <c r="H109" s="86">
        <v>84000</v>
      </c>
      <c r="I109" s="86">
        <f t="shared" si="9"/>
        <v>84000</v>
      </c>
      <c r="J109" s="20"/>
      <c r="K109" s="291">
        <f t="shared" si="10"/>
        <v>84000</v>
      </c>
      <c r="L109" s="17">
        <v>38000</v>
      </c>
      <c r="M109" s="17"/>
      <c r="N109" s="92">
        <f t="shared" si="11"/>
        <v>122000</v>
      </c>
      <c r="O109" s="10" t="s">
        <v>206</v>
      </c>
      <c r="P109" s="236" t="s">
        <v>1324</v>
      </c>
      <c r="Q109" s="10" t="s">
        <v>40</v>
      </c>
      <c r="R109" s="17"/>
      <c r="S109" s="21" t="s">
        <v>1325</v>
      </c>
      <c r="T109" s="274"/>
      <c r="U109" s="274"/>
      <c r="V109" s="274"/>
      <c r="W109" s="274"/>
    </row>
    <row r="110" spans="1:23" s="275" customFormat="1" ht="15.6">
      <c r="A110" s="290">
        <v>44232</v>
      </c>
      <c r="B110" s="10" t="s">
        <v>23</v>
      </c>
      <c r="C110" s="10" t="s">
        <v>1326</v>
      </c>
      <c r="D110" s="228" t="s">
        <v>1327</v>
      </c>
      <c r="E110" s="295" t="s">
        <v>1328</v>
      </c>
      <c r="F110" s="295" t="s">
        <v>1329</v>
      </c>
      <c r="G110" s="245">
        <v>1</v>
      </c>
      <c r="H110" s="86">
        <v>78000</v>
      </c>
      <c r="I110" s="86">
        <f t="shared" si="9"/>
        <v>78000</v>
      </c>
      <c r="J110" s="20"/>
      <c r="K110" s="291">
        <f t="shared" si="10"/>
        <v>78000</v>
      </c>
      <c r="L110" s="17">
        <v>28000</v>
      </c>
      <c r="M110" s="17"/>
      <c r="N110" s="92">
        <f t="shared" si="11"/>
        <v>106000</v>
      </c>
      <c r="O110" s="10" t="s">
        <v>23</v>
      </c>
      <c r="P110" s="236"/>
      <c r="Q110" s="10" t="s">
        <v>54</v>
      </c>
      <c r="R110" s="17"/>
      <c r="S110" s="21"/>
      <c r="T110" s="274"/>
      <c r="U110" s="274"/>
      <c r="V110" s="274"/>
      <c r="W110" s="274"/>
    </row>
    <row r="111" spans="1:23" s="275" customFormat="1" ht="15.6">
      <c r="A111" s="290">
        <v>44232</v>
      </c>
      <c r="B111" s="10" t="s">
        <v>23</v>
      </c>
      <c r="C111" s="10" t="s">
        <v>1326</v>
      </c>
      <c r="D111" s="228" t="s">
        <v>1327</v>
      </c>
      <c r="E111" s="49" t="s">
        <v>1330</v>
      </c>
      <c r="F111" s="49" t="s">
        <v>1331</v>
      </c>
      <c r="G111" s="245">
        <v>1</v>
      </c>
      <c r="H111" s="86">
        <v>113000</v>
      </c>
      <c r="I111" s="86">
        <f t="shared" si="9"/>
        <v>113000</v>
      </c>
      <c r="J111" s="20"/>
      <c r="K111" s="291">
        <f t="shared" si="10"/>
        <v>113000</v>
      </c>
      <c r="L111" s="17"/>
      <c r="M111" s="17"/>
      <c r="N111" s="92">
        <f t="shared" si="11"/>
        <v>113000</v>
      </c>
      <c r="O111" s="10" t="s">
        <v>23</v>
      </c>
      <c r="P111" s="236"/>
      <c r="Q111" s="10" t="s">
        <v>54</v>
      </c>
      <c r="R111" s="17"/>
      <c r="S111" s="238"/>
      <c r="T111" s="274"/>
      <c r="U111" s="274"/>
      <c r="V111" s="274"/>
      <c r="W111" s="274"/>
    </row>
    <row r="112" spans="1:23" s="275" customFormat="1">
      <c r="A112" s="290">
        <v>44232</v>
      </c>
      <c r="B112" s="10" t="s">
        <v>23</v>
      </c>
      <c r="C112" s="10" t="s">
        <v>1326</v>
      </c>
      <c r="D112" s="228" t="s">
        <v>1327</v>
      </c>
      <c r="E112" s="296" t="s">
        <v>1332</v>
      </c>
      <c r="F112" s="297" t="s">
        <v>1333</v>
      </c>
      <c r="G112" s="245">
        <v>1</v>
      </c>
      <c r="H112" s="86">
        <v>82500</v>
      </c>
      <c r="I112" s="86">
        <f t="shared" si="9"/>
        <v>82500</v>
      </c>
      <c r="J112" s="20"/>
      <c r="K112" s="291">
        <f t="shared" si="10"/>
        <v>82500</v>
      </c>
      <c r="L112" s="18"/>
      <c r="M112" s="17"/>
      <c r="N112" s="92">
        <f t="shared" si="11"/>
        <v>82500</v>
      </c>
      <c r="O112" s="10" t="s">
        <v>23</v>
      </c>
      <c r="P112" s="181"/>
      <c r="Q112" s="10" t="s">
        <v>54</v>
      </c>
      <c r="R112" s="17"/>
      <c r="S112" s="204"/>
      <c r="T112" s="274"/>
      <c r="U112" s="274"/>
      <c r="V112" s="274"/>
      <c r="W112" s="274"/>
    </row>
    <row r="113" spans="1:23" s="20" customFormat="1" ht="15.6">
      <c r="A113" s="290">
        <v>44232</v>
      </c>
      <c r="B113" s="10" t="s">
        <v>23</v>
      </c>
      <c r="C113" s="10" t="s">
        <v>1334</v>
      </c>
      <c r="D113" s="228" t="s">
        <v>1335</v>
      </c>
      <c r="E113" s="62" t="s">
        <v>1218</v>
      </c>
      <c r="F113" s="63" t="s">
        <v>1219</v>
      </c>
      <c r="G113" s="245">
        <v>1</v>
      </c>
      <c r="H113" s="86">
        <v>94500</v>
      </c>
      <c r="I113" s="86">
        <f t="shared" si="9"/>
        <v>94500</v>
      </c>
      <c r="J113" s="20">
        <f>I113*35%</f>
        <v>33075</v>
      </c>
      <c r="K113" s="291">
        <f t="shared" si="10"/>
        <v>61425</v>
      </c>
      <c r="L113" s="18">
        <v>17000</v>
      </c>
      <c r="M113" s="17"/>
      <c r="N113" s="92">
        <f t="shared" si="11"/>
        <v>78425</v>
      </c>
      <c r="O113" s="10" t="s">
        <v>23</v>
      </c>
      <c r="P113" s="278"/>
      <c r="Q113" s="10" t="s">
        <v>40</v>
      </c>
      <c r="R113" s="17"/>
      <c r="S113" s="238"/>
      <c r="T113" s="17"/>
      <c r="U113" s="17"/>
      <c r="V113" s="17"/>
      <c r="W113" s="17"/>
    </row>
    <row r="114" spans="1:23" s="275" customFormat="1">
      <c r="A114" s="290">
        <v>44232</v>
      </c>
      <c r="B114" s="10" t="s">
        <v>23</v>
      </c>
      <c r="C114" s="10" t="s">
        <v>1334</v>
      </c>
      <c r="D114" s="228" t="s">
        <v>1335</v>
      </c>
      <c r="E114" s="298" t="s">
        <v>1336</v>
      </c>
      <c r="F114" s="298" t="s">
        <v>1217</v>
      </c>
      <c r="G114" s="245">
        <v>1</v>
      </c>
      <c r="H114" s="86">
        <v>76000</v>
      </c>
      <c r="I114" s="86">
        <f t="shared" si="9"/>
        <v>76000</v>
      </c>
      <c r="J114" s="20"/>
      <c r="K114" s="291">
        <f t="shared" si="10"/>
        <v>76000</v>
      </c>
      <c r="L114" s="20"/>
      <c r="M114" s="17"/>
      <c r="N114" s="92">
        <f t="shared" si="11"/>
        <v>76000</v>
      </c>
      <c r="O114" s="10" t="s">
        <v>23</v>
      </c>
      <c r="P114" s="236"/>
      <c r="Q114" s="10" t="s">
        <v>40</v>
      </c>
      <c r="R114" s="17"/>
      <c r="S114" s="21"/>
      <c r="T114" s="274"/>
      <c r="U114" s="274"/>
      <c r="V114" s="274"/>
      <c r="W114" s="274"/>
    </row>
    <row r="115" spans="1:23" s="20" customFormat="1" ht="15.6">
      <c r="A115" s="290">
        <v>44232</v>
      </c>
      <c r="B115" s="10" t="s">
        <v>23</v>
      </c>
      <c r="C115" s="10" t="s">
        <v>1334</v>
      </c>
      <c r="D115" s="228" t="s">
        <v>1335</v>
      </c>
      <c r="E115" s="62" t="s">
        <v>1337</v>
      </c>
      <c r="F115" s="63" t="s">
        <v>1338</v>
      </c>
      <c r="G115" s="245">
        <v>1</v>
      </c>
      <c r="H115" s="86">
        <v>97000</v>
      </c>
      <c r="I115" s="86">
        <f t="shared" si="9"/>
        <v>97000</v>
      </c>
      <c r="K115" s="291">
        <f t="shared" si="10"/>
        <v>97000</v>
      </c>
      <c r="M115" s="17"/>
      <c r="N115" s="92">
        <f t="shared" si="11"/>
        <v>97000</v>
      </c>
      <c r="O115" s="10" t="s">
        <v>23</v>
      </c>
      <c r="P115" s="95"/>
      <c r="Q115" s="10" t="s">
        <v>40</v>
      </c>
      <c r="R115" s="17"/>
      <c r="S115" s="249"/>
      <c r="T115" s="17"/>
      <c r="U115" s="17"/>
      <c r="V115" s="17"/>
      <c r="W115" s="17"/>
    </row>
    <row r="116" spans="1:23" s="275" customFormat="1">
      <c r="A116" s="290">
        <v>44232</v>
      </c>
      <c r="B116" s="10" t="s">
        <v>23</v>
      </c>
      <c r="C116" s="10" t="s">
        <v>1334</v>
      </c>
      <c r="D116" s="228" t="s">
        <v>1335</v>
      </c>
      <c r="E116" s="20" t="s">
        <v>1339</v>
      </c>
      <c r="F116" s="244" t="s">
        <v>1340</v>
      </c>
      <c r="G116" s="245">
        <v>1</v>
      </c>
      <c r="H116" s="86">
        <v>16500</v>
      </c>
      <c r="I116" s="86">
        <f t="shared" si="9"/>
        <v>16500</v>
      </c>
      <c r="J116" s="20"/>
      <c r="K116" s="291">
        <f t="shared" si="10"/>
        <v>16500</v>
      </c>
      <c r="L116" s="20"/>
      <c r="M116" s="20"/>
      <c r="N116" s="92">
        <f t="shared" si="11"/>
        <v>16500</v>
      </c>
      <c r="O116" s="72" t="s">
        <v>23</v>
      </c>
      <c r="P116" s="236"/>
      <c r="Q116" s="254" t="s">
        <v>40</v>
      </c>
      <c r="R116" s="17"/>
      <c r="S116" s="21"/>
      <c r="T116" s="274"/>
      <c r="U116" s="274"/>
      <c r="V116" s="274"/>
      <c r="W116" s="274"/>
    </row>
    <row r="117" spans="1:23" s="29" customFormat="1" ht="15.6" hidden="1">
      <c r="A117" s="9">
        <v>44235</v>
      </c>
      <c r="B117" s="10" t="s">
        <v>43</v>
      </c>
      <c r="C117" s="11" t="s">
        <v>1341</v>
      </c>
      <c r="D117" s="228" t="s">
        <v>1342</v>
      </c>
      <c r="E117" s="15" t="s">
        <v>553</v>
      </c>
      <c r="F117" s="33" t="s">
        <v>554</v>
      </c>
      <c r="G117" s="56">
        <v>1</v>
      </c>
      <c r="H117" s="183">
        <v>65500</v>
      </c>
      <c r="I117" s="86">
        <f t="shared" si="9"/>
        <v>65500</v>
      </c>
      <c r="K117" s="320">
        <f t="shared" si="10"/>
        <v>65500</v>
      </c>
      <c r="L117" s="29">
        <v>15000</v>
      </c>
      <c r="M117" s="29">
        <v>-2837</v>
      </c>
      <c r="N117" s="92">
        <f t="shared" si="11"/>
        <v>77663</v>
      </c>
      <c r="O117" s="10" t="s">
        <v>43</v>
      </c>
      <c r="P117" s="228" t="s">
        <v>1343</v>
      </c>
      <c r="Q117" s="10" t="s">
        <v>40</v>
      </c>
      <c r="R117" s="92"/>
      <c r="S117" s="37" t="s">
        <v>1344</v>
      </c>
      <c r="T117" s="92"/>
      <c r="U117" s="92"/>
      <c r="V117" s="92"/>
      <c r="W117" s="92"/>
    </row>
    <row r="118" spans="1:23" s="280" customFormat="1" ht="15.6" hidden="1">
      <c r="A118" s="9">
        <v>44235</v>
      </c>
      <c r="B118" s="10" t="s">
        <v>43</v>
      </c>
      <c r="C118" s="10" t="s">
        <v>1345</v>
      </c>
      <c r="D118" s="228" t="s">
        <v>1346</v>
      </c>
      <c r="E118" s="14" t="s">
        <v>345</v>
      </c>
      <c r="F118" s="22" t="s">
        <v>346</v>
      </c>
      <c r="G118" s="56">
        <v>1</v>
      </c>
      <c r="H118" s="72">
        <v>66000</v>
      </c>
      <c r="I118" s="86">
        <f t="shared" si="9"/>
        <v>66000</v>
      </c>
      <c r="J118" s="29"/>
      <c r="K118" s="320">
        <f t="shared" si="10"/>
        <v>66000</v>
      </c>
      <c r="L118" s="29"/>
      <c r="M118" s="29">
        <v>-2858</v>
      </c>
      <c r="N118" s="92">
        <f t="shared" si="11"/>
        <v>63142</v>
      </c>
      <c r="O118" s="10" t="s">
        <v>43</v>
      </c>
      <c r="P118" s="100" t="s">
        <v>1347</v>
      </c>
      <c r="Q118" s="10" t="s">
        <v>54</v>
      </c>
      <c r="R118" s="92"/>
      <c r="S118" s="37" t="s">
        <v>1348</v>
      </c>
      <c r="T118" s="279"/>
      <c r="U118" s="279"/>
      <c r="V118" s="279"/>
      <c r="W118" s="279"/>
    </row>
    <row r="119" spans="1:23" s="280" customFormat="1" ht="15.6" hidden="1">
      <c r="A119" s="9">
        <v>44235</v>
      </c>
      <c r="B119" s="10" t="s">
        <v>43</v>
      </c>
      <c r="C119" s="11" t="s">
        <v>1349</v>
      </c>
      <c r="D119" s="228" t="s">
        <v>1350</v>
      </c>
      <c r="E119" s="78" t="s">
        <v>1351</v>
      </c>
      <c r="F119" s="74" t="s">
        <v>1352</v>
      </c>
      <c r="G119" s="56">
        <v>1</v>
      </c>
      <c r="H119" s="183">
        <v>41000</v>
      </c>
      <c r="I119" s="86">
        <f t="shared" si="9"/>
        <v>41000</v>
      </c>
      <c r="J119" s="29"/>
      <c r="K119" s="119">
        <f t="shared" si="10"/>
        <v>41000</v>
      </c>
      <c r="L119" s="29">
        <v>52000</v>
      </c>
      <c r="M119" s="29">
        <v>-1775</v>
      </c>
      <c r="N119" s="92">
        <f t="shared" si="11"/>
        <v>91225</v>
      </c>
      <c r="O119" s="10" t="s">
        <v>43</v>
      </c>
      <c r="P119" s="106" t="s">
        <v>1353</v>
      </c>
      <c r="Q119" s="10" t="s">
        <v>54</v>
      </c>
      <c r="R119" s="92"/>
      <c r="S119" s="23" t="s">
        <v>1354</v>
      </c>
      <c r="T119" s="279"/>
      <c r="U119" s="279"/>
      <c r="V119" s="279"/>
      <c r="W119" s="279"/>
    </row>
    <row r="120" spans="1:23" s="280" customFormat="1" ht="15.6" hidden="1">
      <c r="A120" s="9">
        <v>44235</v>
      </c>
      <c r="B120" s="10" t="s">
        <v>43</v>
      </c>
      <c r="C120" s="11" t="s">
        <v>1355</v>
      </c>
      <c r="D120" s="228" t="s">
        <v>1356</v>
      </c>
      <c r="E120" s="57" t="s">
        <v>1357</v>
      </c>
      <c r="F120" s="299" t="s">
        <v>1358</v>
      </c>
      <c r="G120" s="56">
        <v>1</v>
      </c>
      <c r="H120" s="183">
        <v>102000</v>
      </c>
      <c r="I120" s="86">
        <f t="shared" si="9"/>
        <v>102000</v>
      </c>
      <c r="J120" s="29"/>
      <c r="K120" s="119">
        <f t="shared" si="10"/>
        <v>102000</v>
      </c>
      <c r="L120" s="29">
        <v>23000</v>
      </c>
      <c r="M120" s="29">
        <v>-4417</v>
      </c>
      <c r="N120" s="92">
        <f t="shared" si="11"/>
        <v>120583</v>
      </c>
      <c r="O120" s="10" t="s">
        <v>43</v>
      </c>
      <c r="P120" s="228" t="s">
        <v>1359</v>
      </c>
      <c r="Q120" s="10" t="s">
        <v>54</v>
      </c>
      <c r="R120" s="92"/>
      <c r="S120" s="72" t="s">
        <v>1360</v>
      </c>
      <c r="T120" s="279"/>
      <c r="U120" s="279"/>
      <c r="V120" s="279"/>
      <c r="W120" s="279"/>
    </row>
    <row r="121" spans="1:23" s="29" customFormat="1" ht="15.6" hidden="1">
      <c r="A121" s="9">
        <v>44235</v>
      </c>
      <c r="B121" s="10" t="s">
        <v>43</v>
      </c>
      <c r="C121" s="11" t="s">
        <v>1361</v>
      </c>
      <c r="D121" s="228" t="s">
        <v>1362</v>
      </c>
      <c r="E121" s="57" t="s">
        <v>152</v>
      </c>
      <c r="F121" s="57" t="s">
        <v>153</v>
      </c>
      <c r="G121" s="56">
        <v>1</v>
      </c>
      <c r="H121" s="183">
        <v>62500</v>
      </c>
      <c r="I121" s="86">
        <f t="shared" si="9"/>
        <v>62500</v>
      </c>
      <c r="K121" s="119">
        <f t="shared" si="10"/>
        <v>62500</v>
      </c>
      <c r="L121" s="29">
        <v>17000</v>
      </c>
      <c r="M121" s="29">
        <v>-2707</v>
      </c>
      <c r="N121" s="92">
        <f t="shared" si="11"/>
        <v>76793</v>
      </c>
      <c r="O121" s="10" t="s">
        <v>43</v>
      </c>
      <c r="P121" s="96" t="s">
        <v>1363</v>
      </c>
      <c r="Q121" s="10" t="s">
        <v>54</v>
      </c>
      <c r="R121" s="92"/>
      <c r="S121" s="37" t="s">
        <v>1364</v>
      </c>
      <c r="T121" s="92"/>
      <c r="U121" s="92"/>
      <c r="V121" s="92"/>
      <c r="W121" s="92"/>
    </row>
    <row r="122" spans="1:23" s="29" customFormat="1" ht="15.6" hidden="1">
      <c r="A122" s="9">
        <v>44235</v>
      </c>
      <c r="B122" s="10" t="s">
        <v>43</v>
      </c>
      <c r="C122" s="11" t="s">
        <v>1365</v>
      </c>
      <c r="D122" s="228" t="s">
        <v>1366</v>
      </c>
      <c r="E122" s="74" t="s">
        <v>355</v>
      </c>
      <c r="F122" s="74" t="s">
        <v>356</v>
      </c>
      <c r="G122" s="56">
        <v>1</v>
      </c>
      <c r="H122" s="183">
        <v>186000</v>
      </c>
      <c r="I122" s="86">
        <f t="shared" si="9"/>
        <v>186000</v>
      </c>
      <c r="K122" s="119">
        <f t="shared" si="10"/>
        <v>186000</v>
      </c>
      <c r="L122" s="29">
        <v>46000</v>
      </c>
      <c r="M122" s="29">
        <v>-8024</v>
      </c>
      <c r="N122" s="92">
        <f t="shared" si="11"/>
        <v>223976</v>
      </c>
      <c r="O122" s="10" t="s">
        <v>43</v>
      </c>
      <c r="P122" s="105" t="s">
        <v>1367</v>
      </c>
      <c r="Q122" s="10" t="s">
        <v>54</v>
      </c>
      <c r="R122" s="92"/>
      <c r="S122" s="23" t="s">
        <v>1368</v>
      </c>
      <c r="T122" s="92"/>
      <c r="U122" s="92"/>
      <c r="V122" s="92"/>
      <c r="W122" s="92"/>
    </row>
    <row r="123" spans="1:23" s="29" customFormat="1" ht="15.6" hidden="1">
      <c r="A123" s="9">
        <v>44235</v>
      </c>
      <c r="B123" s="10" t="s">
        <v>43</v>
      </c>
      <c r="C123" s="10" t="s">
        <v>1369</v>
      </c>
      <c r="D123" s="228" t="s">
        <v>1370</v>
      </c>
      <c r="E123" s="14" t="s">
        <v>1371</v>
      </c>
      <c r="F123" s="14" t="s">
        <v>1372</v>
      </c>
      <c r="G123" s="56">
        <v>1</v>
      </c>
      <c r="H123" s="183">
        <v>98000</v>
      </c>
      <c r="I123" s="86">
        <f t="shared" si="9"/>
        <v>98000</v>
      </c>
      <c r="K123" s="119">
        <f t="shared" si="10"/>
        <v>98000</v>
      </c>
      <c r="L123" s="29">
        <v>71000</v>
      </c>
      <c r="M123" s="29">
        <v>-4234</v>
      </c>
      <c r="N123" s="92">
        <f t="shared" si="11"/>
        <v>164766</v>
      </c>
      <c r="O123" s="10" t="s">
        <v>43</v>
      </c>
      <c r="P123" s="105" t="s">
        <v>1373</v>
      </c>
      <c r="Q123" s="10" t="s">
        <v>54</v>
      </c>
      <c r="R123" s="12"/>
      <c r="S123" s="23" t="s">
        <v>1374</v>
      </c>
      <c r="T123" s="92"/>
      <c r="U123" s="92"/>
      <c r="V123" s="92"/>
      <c r="W123" s="92"/>
    </row>
    <row r="124" spans="1:23" s="29" customFormat="1" ht="15.6" hidden="1">
      <c r="A124" s="9">
        <v>44235</v>
      </c>
      <c r="B124" s="10" t="s">
        <v>43</v>
      </c>
      <c r="C124" s="11" t="s">
        <v>1375</v>
      </c>
      <c r="D124" s="228" t="s">
        <v>1376</v>
      </c>
      <c r="E124" s="74" t="s">
        <v>71</v>
      </c>
      <c r="F124" s="74" t="s">
        <v>835</v>
      </c>
      <c r="G124" s="56">
        <v>1</v>
      </c>
      <c r="H124" s="183">
        <v>96000</v>
      </c>
      <c r="I124" s="86">
        <f t="shared" si="9"/>
        <v>96000</v>
      </c>
      <c r="K124" s="119">
        <f t="shared" si="10"/>
        <v>96000</v>
      </c>
      <c r="L124" s="29">
        <v>10000</v>
      </c>
      <c r="M124" s="29">
        <v>-4157</v>
      </c>
      <c r="N124" s="92">
        <f t="shared" si="11"/>
        <v>101843</v>
      </c>
      <c r="O124" s="10" t="s">
        <v>43</v>
      </c>
      <c r="P124" s="100" t="s">
        <v>1377</v>
      </c>
      <c r="Q124" s="10" t="s">
        <v>54</v>
      </c>
      <c r="R124" s="89"/>
      <c r="S124" s="37" t="s">
        <v>1378</v>
      </c>
      <c r="T124" s="92"/>
      <c r="U124" s="92"/>
      <c r="V124" s="92"/>
      <c r="W124" s="92"/>
    </row>
    <row r="125" spans="1:23" s="29" customFormat="1" ht="15.6" hidden="1">
      <c r="A125" s="9">
        <v>44235</v>
      </c>
      <c r="B125" s="10" t="s">
        <v>43</v>
      </c>
      <c r="C125" s="10" t="s">
        <v>1379</v>
      </c>
      <c r="D125" s="228" t="s">
        <v>1380</v>
      </c>
      <c r="E125" s="57" t="s">
        <v>1381</v>
      </c>
      <c r="F125" s="57" t="s">
        <v>1382</v>
      </c>
      <c r="G125" s="56">
        <v>1</v>
      </c>
      <c r="H125" s="183">
        <v>63000</v>
      </c>
      <c r="I125" s="86">
        <f t="shared" si="9"/>
        <v>63000</v>
      </c>
      <c r="K125" s="119">
        <f t="shared" si="10"/>
        <v>63000</v>
      </c>
      <c r="L125" s="29">
        <v>13000</v>
      </c>
      <c r="M125" s="29">
        <v>-2728</v>
      </c>
      <c r="N125" s="92">
        <f t="shared" si="11"/>
        <v>73272</v>
      </c>
      <c r="O125" s="10" t="s">
        <v>43</v>
      </c>
      <c r="P125" s="101" t="s">
        <v>1383</v>
      </c>
      <c r="Q125" s="10" t="s">
        <v>54</v>
      </c>
      <c r="R125" s="92"/>
      <c r="S125" s="23" t="s">
        <v>1384</v>
      </c>
      <c r="T125" s="92"/>
      <c r="U125" s="92"/>
      <c r="V125" s="92"/>
      <c r="W125" s="92"/>
    </row>
    <row r="126" spans="1:23" s="29" customFormat="1" ht="15.6" hidden="1">
      <c r="A126" s="9">
        <v>44235</v>
      </c>
      <c r="B126" s="10" t="s">
        <v>177</v>
      </c>
      <c r="C126" s="11" t="s">
        <v>1385</v>
      </c>
      <c r="D126" s="228" t="s">
        <v>1386</v>
      </c>
      <c r="E126" s="55" t="s">
        <v>1387</v>
      </c>
      <c r="F126" s="55" t="s">
        <v>1388</v>
      </c>
      <c r="G126" s="56">
        <v>1</v>
      </c>
      <c r="H126" s="183">
        <v>79000</v>
      </c>
      <c r="I126" s="86">
        <f t="shared" si="9"/>
        <v>79000</v>
      </c>
      <c r="J126" s="29">
        <f>I126*20%</f>
        <v>15800</v>
      </c>
      <c r="K126" s="119">
        <f t="shared" si="10"/>
        <v>63200</v>
      </c>
      <c r="L126" s="29">
        <v>8000</v>
      </c>
      <c r="N126" s="92">
        <f t="shared" si="11"/>
        <v>71200</v>
      </c>
      <c r="O126" s="10" t="s">
        <v>177</v>
      </c>
      <c r="P126" s="29">
        <v>541824511703402</v>
      </c>
      <c r="Q126" s="10" t="s">
        <v>54</v>
      </c>
      <c r="S126" s="23" t="s">
        <v>1389</v>
      </c>
      <c r="V126" s="92"/>
      <c r="W126" s="92"/>
    </row>
    <row r="127" spans="1:23" s="29" customFormat="1" ht="15.6" hidden="1">
      <c r="A127" s="9">
        <v>44235</v>
      </c>
      <c r="B127" s="10" t="s">
        <v>177</v>
      </c>
      <c r="C127" s="11" t="s">
        <v>1385</v>
      </c>
      <c r="D127" s="228" t="s">
        <v>1386</v>
      </c>
      <c r="E127" s="255" t="s">
        <v>1390</v>
      </c>
      <c r="F127" s="255" t="s">
        <v>1391</v>
      </c>
      <c r="G127" s="56">
        <v>2</v>
      </c>
      <c r="H127" s="165">
        <v>59500</v>
      </c>
      <c r="I127" s="86">
        <f t="shared" si="9"/>
        <v>119000</v>
      </c>
      <c r="J127" s="29">
        <f>I127*20%</f>
        <v>23800</v>
      </c>
      <c r="K127" s="119">
        <f t="shared" si="10"/>
        <v>95200</v>
      </c>
      <c r="N127" s="92">
        <f t="shared" si="11"/>
        <v>95200</v>
      </c>
      <c r="O127" s="10" t="s">
        <v>177</v>
      </c>
      <c r="P127" s="29">
        <v>541824511703402</v>
      </c>
      <c r="Q127" s="10" t="s">
        <v>54</v>
      </c>
      <c r="S127" s="23" t="s">
        <v>1389</v>
      </c>
      <c r="V127" s="92"/>
      <c r="W127" s="92"/>
    </row>
    <row r="128" spans="1:23" s="29" customFormat="1" ht="15.6" hidden="1">
      <c r="A128" s="9">
        <v>44235</v>
      </c>
      <c r="B128" s="10" t="s">
        <v>177</v>
      </c>
      <c r="C128" s="11" t="s">
        <v>1392</v>
      </c>
      <c r="D128" s="228" t="s">
        <v>1393</v>
      </c>
      <c r="E128" s="15" t="s">
        <v>1394</v>
      </c>
      <c r="F128" s="15" t="s">
        <v>1395</v>
      </c>
      <c r="G128" s="56">
        <v>1</v>
      </c>
      <c r="H128" s="165">
        <v>63000</v>
      </c>
      <c r="I128" s="86">
        <f t="shared" si="9"/>
        <v>63000</v>
      </c>
      <c r="J128" s="29">
        <f>I128*20%</f>
        <v>12600</v>
      </c>
      <c r="K128" s="119">
        <f t="shared" si="10"/>
        <v>50400</v>
      </c>
      <c r="L128" s="29">
        <v>8000</v>
      </c>
      <c r="N128" s="92">
        <f t="shared" si="11"/>
        <v>58400</v>
      </c>
      <c r="O128" s="10" t="s">
        <v>177</v>
      </c>
      <c r="P128" s="29">
        <v>537358030167031</v>
      </c>
      <c r="Q128" s="10" t="s">
        <v>54</v>
      </c>
      <c r="S128" s="23" t="s">
        <v>1396</v>
      </c>
      <c r="V128" s="92"/>
      <c r="W128" s="92"/>
    </row>
    <row r="129" spans="1:23" s="29" customFormat="1" ht="15.6" hidden="1">
      <c r="A129" s="9">
        <v>44235</v>
      </c>
      <c r="B129" s="10" t="s">
        <v>177</v>
      </c>
      <c r="C129" s="11" t="s">
        <v>1397</v>
      </c>
      <c r="D129" s="228" t="s">
        <v>1398</v>
      </c>
      <c r="E129" s="94" t="s">
        <v>1399</v>
      </c>
      <c r="F129" s="94" t="s">
        <v>1400</v>
      </c>
      <c r="G129" s="56">
        <v>1</v>
      </c>
      <c r="H129" s="165">
        <v>99000</v>
      </c>
      <c r="I129" s="86">
        <f t="shared" si="9"/>
        <v>99000</v>
      </c>
      <c r="J129" s="29">
        <f>I129*20%</f>
        <v>19800</v>
      </c>
      <c r="K129" s="119">
        <f t="shared" si="10"/>
        <v>79200</v>
      </c>
      <c r="L129" s="29">
        <v>3000</v>
      </c>
      <c r="N129" s="92">
        <f t="shared" si="11"/>
        <v>82200</v>
      </c>
      <c r="O129" s="10" t="s">
        <v>177</v>
      </c>
      <c r="P129" s="29">
        <v>541881184138114</v>
      </c>
      <c r="Q129" s="10" t="s">
        <v>54</v>
      </c>
      <c r="S129" s="23" t="s">
        <v>1401</v>
      </c>
      <c r="V129" s="92"/>
      <c r="W129" s="92"/>
    </row>
    <row r="130" spans="1:23" s="29" customFormat="1" ht="15.6">
      <c r="A130" s="9">
        <v>44235</v>
      </c>
      <c r="B130" s="282" t="s">
        <v>23</v>
      </c>
      <c r="C130" s="282" t="s">
        <v>1402</v>
      </c>
      <c r="D130" s="228" t="s">
        <v>31</v>
      </c>
      <c r="E130" s="300" t="s">
        <v>1403</v>
      </c>
      <c r="F130" s="301" t="s">
        <v>1404</v>
      </c>
      <c r="G130" s="56">
        <v>2</v>
      </c>
      <c r="H130" s="321">
        <v>143000</v>
      </c>
      <c r="I130" s="86">
        <f>G130*H130</f>
        <v>286000</v>
      </c>
      <c r="J130" s="29">
        <f>I130*30%</f>
        <v>85800</v>
      </c>
      <c r="K130" s="86">
        <f t="shared" si="10"/>
        <v>200200</v>
      </c>
      <c r="N130" s="92">
        <f t="shared" si="11"/>
        <v>200200</v>
      </c>
      <c r="O130" s="282" t="s">
        <v>23</v>
      </c>
      <c r="Q130" s="228" t="s">
        <v>1405</v>
      </c>
      <c r="S130" s="23"/>
      <c r="V130" s="92"/>
      <c r="W130" s="92"/>
    </row>
    <row r="131" spans="1:23" s="29" customFormat="1" ht="15.6">
      <c r="A131" s="9">
        <v>44235</v>
      </c>
      <c r="B131" s="282" t="s">
        <v>23</v>
      </c>
      <c r="C131" s="282" t="s">
        <v>1402</v>
      </c>
      <c r="D131" s="228" t="s">
        <v>31</v>
      </c>
      <c r="E131" s="300" t="s">
        <v>1406</v>
      </c>
      <c r="F131" s="300" t="s">
        <v>1407</v>
      </c>
      <c r="G131" s="56">
        <v>2</v>
      </c>
      <c r="H131" s="321">
        <v>83000</v>
      </c>
      <c r="I131" s="86">
        <f t="shared" ref="I131:I215" si="12">G131*H131</f>
        <v>166000</v>
      </c>
      <c r="J131" s="29">
        <f t="shared" ref="J131:J193" si="13">I131*30%</f>
        <v>49800</v>
      </c>
      <c r="K131" s="86">
        <f t="shared" si="10"/>
        <v>116200</v>
      </c>
      <c r="N131" s="92">
        <f t="shared" si="11"/>
        <v>116200</v>
      </c>
      <c r="O131" s="282" t="s">
        <v>23</v>
      </c>
      <c r="P131" s="95"/>
      <c r="Q131" s="228" t="s">
        <v>1405</v>
      </c>
      <c r="V131" s="92"/>
      <c r="W131" s="92"/>
    </row>
    <row r="132" spans="1:23" s="29" customFormat="1" ht="15.6">
      <c r="A132" s="9">
        <v>44235</v>
      </c>
      <c r="B132" s="282" t="s">
        <v>23</v>
      </c>
      <c r="C132" s="282" t="s">
        <v>1402</v>
      </c>
      <c r="D132" s="228" t="s">
        <v>31</v>
      </c>
      <c r="E132" s="300" t="s">
        <v>598</v>
      </c>
      <c r="F132" s="301" t="s">
        <v>599</v>
      </c>
      <c r="G132" s="56">
        <v>2</v>
      </c>
      <c r="H132" s="321">
        <v>106000</v>
      </c>
      <c r="I132" s="86">
        <f t="shared" si="12"/>
        <v>212000</v>
      </c>
      <c r="J132" s="29">
        <f t="shared" si="13"/>
        <v>63600</v>
      </c>
      <c r="K132" s="86">
        <f t="shared" si="10"/>
        <v>148400</v>
      </c>
      <c r="L132" s="322"/>
      <c r="N132" s="92">
        <f t="shared" si="11"/>
        <v>148400</v>
      </c>
      <c r="O132" s="282" t="s">
        <v>23</v>
      </c>
      <c r="P132" s="95"/>
      <c r="Q132" s="228" t="s">
        <v>1405</v>
      </c>
      <c r="S132" s="12"/>
      <c r="V132" s="92"/>
      <c r="W132" s="92"/>
    </row>
    <row r="133" spans="1:23" s="29" customFormat="1" ht="15.6">
      <c r="A133" s="9">
        <v>44235</v>
      </c>
      <c r="B133" s="282" t="s">
        <v>23</v>
      </c>
      <c r="C133" s="282" t="s">
        <v>1402</v>
      </c>
      <c r="D133" s="228" t="s">
        <v>31</v>
      </c>
      <c r="E133" s="300" t="s">
        <v>1408</v>
      </c>
      <c r="F133" s="300" t="s">
        <v>1409</v>
      </c>
      <c r="G133" s="56">
        <v>2</v>
      </c>
      <c r="H133" s="321">
        <v>92000</v>
      </c>
      <c r="I133" s="86">
        <f t="shared" si="12"/>
        <v>184000</v>
      </c>
      <c r="J133" s="29">
        <f t="shared" si="13"/>
        <v>55200</v>
      </c>
      <c r="K133" s="86">
        <f t="shared" si="10"/>
        <v>128800</v>
      </c>
      <c r="N133" s="92">
        <f t="shared" si="11"/>
        <v>128800</v>
      </c>
      <c r="O133" s="282" t="s">
        <v>23</v>
      </c>
      <c r="P133" s="95"/>
      <c r="Q133" s="228" t="s">
        <v>1405</v>
      </c>
      <c r="S133" s="12"/>
      <c r="V133" s="92"/>
      <c r="W133" s="92"/>
    </row>
    <row r="134" spans="1:23" s="29" customFormat="1" ht="15" customHeight="1">
      <c r="A134" s="9">
        <v>44235</v>
      </c>
      <c r="B134" s="282" t="s">
        <v>23</v>
      </c>
      <c r="C134" s="282" t="s">
        <v>1402</v>
      </c>
      <c r="D134" s="228" t="s">
        <v>31</v>
      </c>
      <c r="E134" s="302" t="s">
        <v>1410</v>
      </c>
      <c r="F134" s="301" t="s">
        <v>106</v>
      </c>
      <c r="G134" s="56">
        <v>2</v>
      </c>
      <c r="H134" s="321">
        <v>56000</v>
      </c>
      <c r="I134" s="86">
        <f t="shared" si="12"/>
        <v>112000</v>
      </c>
      <c r="J134" s="29">
        <f t="shared" si="13"/>
        <v>33600</v>
      </c>
      <c r="K134" s="86">
        <f t="shared" si="10"/>
        <v>78400</v>
      </c>
      <c r="N134" s="92">
        <f t="shared" si="11"/>
        <v>78400</v>
      </c>
      <c r="O134" s="282" t="s">
        <v>23</v>
      </c>
      <c r="P134" s="95"/>
      <c r="Q134" s="228" t="s">
        <v>1405</v>
      </c>
      <c r="S134" s="12"/>
      <c r="V134" s="92"/>
      <c r="W134" s="92"/>
    </row>
    <row r="135" spans="1:23" s="29" customFormat="1" ht="15.6">
      <c r="A135" s="9">
        <v>44235</v>
      </c>
      <c r="B135" s="282" t="s">
        <v>23</v>
      </c>
      <c r="C135" s="282" t="s">
        <v>1402</v>
      </c>
      <c r="D135" s="228" t="s">
        <v>31</v>
      </c>
      <c r="E135" s="300" t="s">
        <v>1411</v>
      </c>
      <c r="F135" s="301" t="s">
        <v>1412</v>
      </c>
      <c r="G135" s="56">
        <v>2</v>
      </c>
      <c r="H135" s="321">
        <v>76000</v>
      </c>
      <c r="I135" s="86">
        <f t="shared" si="12"/>
        <v>152000</v>
      </c>
      <c r="J135" s="29">
        <f t="shared" si="13"/>
        <v>45600</v>
      </c>
      <c r="K135" s="86">
        <f t="shared" si="10"/>
        <v>106400</v>
      </c>
      <c r="N135" s="92">
        <f t="shared" si="11"/>
        <v>106400</v>
      </c>
      <c r="O135" s="282" t="s">
        <v>23</v>
      </c>
      <c r="P135" s="95"/>
      <c r="Q135" s="228" t="s">
        <v>1405</v>
      </c>
      <c r="S135" s="12"/>
      <c r="V135" s="92"/>
      <c r="W135" s="92"/>
    </row>
    <row r="136" spans="1:23" s="29" customFormat="1" ht="15.6">
      <c r="A136" s="9">
        <v>44235</v>
      </c>
      <c r="B136" s="282" t="s">
        <v>23</v>
      </c>
      <c r="C136" s="282" t="s">
        <v>1402</v>
      </c>
      <c r="D136" s="228" t="s">
        <v>31</v>
      </c>
      <c r="E136" s="300" t="s">
        <v>1413</v>
      </c>
      <c r="F136" s="301" t="s">
        <v>1414</v>
      </c>
      <c r="G136" s="56">
        <v>2</v>
      </c>
      <c r="H136" s="321">
        <v>81000</v>
      </c>
      <c r="I136" s="86">
        <f t="shared" si="12"/>
        <v>162000</v>
      </c>
      <c r="J136" s="29">
        <f t="shared" si="13"/>
        <v>48600</v>
      </c>
      <c r="K136" s="86">
        <f t="shared" si="10"/>
        <v>113400</v>
      </c>
      <c r="L136" s="92"/>
      <c r="M136" s="92"/>
      <c r="N136" s="92">
        <f t="shared" si="11"/>
        <v>113400</v>
      </c>
      <c r="O136" s="282" t="s">
        <v>23</v>
      </c>
      <c r="Q136" s="228" t="s">
        <v>1405</v>
      </c>
      <c r="S136" s="110"/>
      <c r="V136" s="92"/>
      <c r="W136" s="92"/>
    </row>
    <row r="137" spans="1:23" s="29" customFormat="1" ht="15.6">
      <c r="A137" s="9">
        <v>44235</v>
      </c>
      <c r="B137" s="282" t="s">
        <v>23</v>
      </c>
      <c r="C137" s="282" t="s">
        <v>1402</v>
      </c>
      <c r="D137" s="228" t="s">
        <v>31</v>
      </c>
      <c r="E137" s="300" t="s">
        <v>1415</v>
      </c>
      <c r="F137" s="300" t="s">
        <v>1416</v>
      </c>
      <c r="G137" s="56">
        <v>2</v>
      </c>
      <c r="H137" s="323">
        <v>105000</v>
      </c>
      <c r="I137" s="86">
        <f t="shared" si="12"/>
        <v>210000</v>
      </c>
      <c r="J137" s="29">
        <f t="shared" si="13"/>
        <v>63000</v>
      </c>
      <c r="K137" s="86">
        <f t="shared" si="10"/>
        <v>147000</v>
      </c>
      <c r="L137" s="92"/>
      <c r="M137" s="92"/>
      <c r="N137" s="92">
        <f t="shared" si="11"/>
        <v>147000</v>
      </c>
      <c r="O137" s="282" t="s">
        <v>23</v>
      </c>
      <c r="Q137" s="228" t="s">
        <v>1405</v>
      </c>
      <c r="V137" s="92"/>
      <c r="W137" s="92"/>
    </row>
    <row r="138" spans="1:23" s="29" customFormat="1" ht="15.6">
      <c r="A138" s="9">
        <v>44235</v>
      </c>
      <c r="B138" s="282" t="s">
        <v>23</v>
      </c>
      <c r="C138" s="282" t="s">
        <v>1402</v>
      </c>
      <c r="D138" s="228" t="s">
        <v>31</v>
      </c>
      <c r="E138" s="300" t="s">
        <v>82</v>
      </c>
      <c r="F138" s="301" t="s">
        <v>106</v>
      </c>
      <c r="G138" s="56">
        <v>2</v>
      </c>
      <c r="H138" s="323">
        <v>60000</v>
      </c>
      <c r="I138" s="86">
        <f t="shared" si="12"/>
        <v>120000</v>
      </c>
      <c r="J138" s="29">
        <f t="shared" si="13"/>
        <v>36000</v>
      </c>
      <c r="K138" s="86">
        <f t="shared" si="10"/>
        <v>84000</v>
      </c>
      <c r="L138" s="92"/>
      <c r="M138" s="92"/>
      <c r="N138" s="92">
        <f t="shared" si="11"/>
        <v>84000</v>
      </c>
      <c r="O138" s="282" t="s">
        <v>23</v>
      </c>
      <c r="P138" s="324"/>
      <c r="Q138" s="228" t="s">
        <v>1405</v>
      </c>
      <c r="R138" s="324"/>
      <c r="S138" s="12"/>
      <c r="V138" s="92"/>
      <c r="W138" s="92"/>
    </row>
    <row r="139" spans="1:23" s="29" customFormat="1" ht="15.6">
      <c r="A139" s="9">
        <v>44235</v>
      </c>
      <c r="B139" s="282" t="s">
        <v>23</v>
      </c>
      <c r="C139" s="282" t="s">
        <v>1402</v>
      </c>
      <c r="D139" s="228" t="s">
        <v>31</v>
      </c>
      <c r="E139" s="300" t="s">
        <v>87</v>
      </c>
      <c r="F139" s="301" t="s">
        <v>110</v>
      </c>
      <c r="G139" s="56">
        <v>2</v>
      </c>
      <c r="H139" s="321">
        <v>75000</v>
      </c>
      <c r="I139" s="86">
        <f t="shared" si="12"/>
        <v>150000</v>
      </c>
      <c r="J139" s="29">
        <f t="shared" si="13"/>
        <v>45000</v>
      </c>
      <c r="K139" s="86">
        <f t="shared" si="10"/>
        <v>105000</v>
      </c>
      <c r="L139" s="92"/>
      <c r="M139" s="92"/>
      <c r="N139" s="92">
        <f t="shared" si="11"/>
        <v>105000</v>
      </c>
      <c r="O139" s="282" t="s">
        <v>23</v>
      </c>
      <c r="Q139" s="228" t="s">
        <v>1405</v>
      </c>
      <c r="V139" s="92"/>
      <c r="W139" s="92"/>
    </row>
    <row r="140" spans="1:23" s="29" customFormat="1" ht="15.6">
      <c r="A140" s="9">
        <v>44235</v>
      </c>
      <c r="B140" s="282" t="s">
        <v>23</v>
      </c>
      <c r="C140" s="282" t="s">
        <v>1402</v>
      </c>
      <c r="D140" s="228" t="s">
        <v>31</v>
      </c>
      <c r="E140" s="300" t="s">
        <v>84</v>
      </c>
      <c r="F140" s="301" t="s">
        <v>107</v>
      </c>
      <c r="G140" s="56">
        <v>2</v>
      </c>
      <c r="H140" s="321">
        <v>107000</v>
      </c>
      <c r="I140" s="86">
        <f t="shared" si="12"/>
        <v>214000</v>
      </c>
      <c r="J140" s="29">
        <f t="shared" si="13"/>
        <v>64200</v>
      </c>
      <c r="K140" s="86">
        <f t="shared" si="10"/>
        <v>149800</v>
      </c>
      <c r="L140" s="92"/>
      <c r="M140" s="92"/>
      <c r="N140" s="92">
        <f t="shared" si="11"/>
        <v>149800</v>
      </c>
      <c r="O140" s="282" t="s">
        <v>23</v>
      </c>
      <c r="P140" s="167"/>
      <c r="Q140" s="228" t="s">
        <v>1405</v>
      </c>
      <c r="S140" s="167"/>
      <c r="V140" s="92"/>
      <c r="W140" s="92"/>
    </row>
    <row r="141" spans="1:23" s="29" customFormat="1" ht="15.6">
      <c r="A141" s="9">
        <v>44235</v>
      </c>
      <c r="B141" s="282" t="s">
        <v>23</v>
      </c>
      <c r="C141" s="282" t="s">
        <v>1402</v>
      </c>
      <c r="D141" s="228" t="s">
        <v>31</v>
      </c>
      <c r="E141" s="303" t="s">
        <v>1417</v>
      </c>
      <c r="F141" s="304" t="s">
        <v>1418</v>
      </c>
      <c r="G141" s="56">
        <v>2</v>
      </c>
      <c r="H141" s="321">
        <v>106000</v>
      </c>
      <c r="I141" s="86">
        <f t="shared" si="12"/>
        <v>212000</v>
      </c>
      <c r="J141" s="29">
        <f t="shared" si="13"/>
        <v>63600</v>
      </c>
      <c r="K141" s="86">
        <f t="shared" si="10"/>
        <v>148400</v>
      </c>
      <c r="L141" s="86"/>
      <c r="M141" s="92"/>
      <c r="N141" s="92">
        <f t="shared" si="11"/>
        <v>148400</v>
      </c>
      <c r="O141" s="282" t="s">
        <v>23</v>
      </c>
      <c r="P141" s="168"/>
      <c r="Q141" s="228" t="s">
        <v>1405</v>
      </c>
      <c r="S141" s="169"/>
      <c r="V141" s="92"/>
      <c r="W141" s="92"/>
    </row>
    <row r="142" spans="1:23" s="29" customFormat="1">
      <c r="A142" s="9">
        <v>44235</v>
      </c>
      <c r="B142" s="282" t="s">
        <v>23</v>
      </c>
      <c r="C142" s="282" t="s">
        <v>1402</v>
      </c>
      <c r="D142" s="228" t="s">
        <v>31</v>
      </c>
      <c r="E142" s="305" t="s">
        <v>1419</v>
      </c>
      <c r="F142" s="306" t="s">
        <v>1420</v>
      </c>
      <c r="G142" s="56">
        <v>2</v>
      </c>
      <c r="H142" s="321">
        <v>132000</v>
      </c>
      <c r="I142" s="86">
        <f t="shared" si="12"/>
        <v>264000</v>
      </c>
      <c r="J142" s="29">
        <f t="shared" si="13"/>
        <v>79200</v>
      </c>
      <c r="K142" s="86">
        <f t="shared" si="10"/>
        <v>184800</v>
      </c>
      <c r="L142" s="170"/>
      <c r="M142" s="92"/>
      <c r="N142" s="92">
        <f t="shared" si="11"/>
        <v>184800</v>
      </c>
      <c r="O142" s="282" t="s">
        <v>23</v>
      </c>
      <c r="Q142" s="228" t="s">
        <v>1405</v>
      </c>
      <c r="V142" s="92"/>
      <c r="W142" s="92"/>
    </row>
    <row r="143" spans="1:23" s="29" customFormat="1" ht="15.6">
      <c r="A143" s="9">
        <v>44235</v>
      </c>
      <c r="B143" s="282" t="s">
        <v>23</v>
      </c>
      <c r="C143" s="282" t="s">
        <v>1402</v>
      </c>
      <c r="D143" s="228" t="s">
        <v>31</v>
      </c>
      <c r="E143" s="303" t="s">
        <v>100</v>
      </c>
      <c r="F143" s="304" t="s">
        <v>120</v>
      </c>
      <c r="G143" s="56">
        <v>2</v>
      </c>
      <c r="H143" s="321">
        <v>123000</v>
      </c>
      <c r="I143" s="86">
        <f t="shared" si="12"/>
        <v>246000</v>
      </c>
      <c r="J143" s="29">
        <f t="shared" si="13"/>
        <v>73800</v>
      </c>
      <c r="K143" s="86">
        <f t="shared" si="10"/>
        <v>172200</v>
      </c>
      <c r="L143" s="86"/>
      <c r="M143" s="92"/>
      <c r="N143" s="92">
        <f t="shared" si="11"/>
        <v>172200</v>
      </c>
      <c r="O143" s="282" t="s">
        <v>23</v>
      </c>
      <c r="Q143" s="228" t="s">
        <v>1405</v>
      </c>
      <c r="V143" s="92"/>
      <c r="W143" s="92"/>
    </row>
    <row r="144" spans="1:23" s="29" customFormat="1" ht="15.6">
      <c r="A144" s="9">
        <v>44235</v>
      </c>
      <c r="B144" s="282" t="s">
        <v>23</v>
      </c>
      <c r="C144" s="282" t="s">
        <v>1402</v>
      </c>
      <c r="D144" s="228" t="s">
        <v>31</v>
      </c>
      <c r="E144" s="303" t="s">
        <v>90</v>
      </c>
      <c r="F144" s="304" t="s">
        <v>112</v>
      </c>
      <c r="G144" s="56">
        <v>2</v>
      </c>
      <c r="H144" s="321">
        <v>77000</v>
      </c>
      <c r="I144" s="86">
        <f t="shared" si="12"/>
        <v>154000</v>
      </c>
      <c r="J144" s="29">
        <f t="shared" si="13"/>
        <v>46200</v>
      </c>
      <c r="K144" s="86">
        <f t="shared" si="10"/>
        <v>107800</v>
      </c>
      <c r="L144" s="92"/>
      <c r="M144" s="92"/>
      <c r="N144" s="92">
        <f t="shared" si="11"/>
        <v>107800</v>
      </c>
      <c r="O144" s="282" t="s">
        <v>23</v>
      </c>
      <c r="P144" s="325"/>
      <c r="Q144" s="228" t="s">
        <v>1405</v>
      </c>
      <c r="R144" s="326"/>
      <c r="V144" s="92"/>
      <c r="W144" s="92"/>
    </row>
    <row r="145" spans="1:23" s="29" customFormat="1" ht="15.6">
      <c r="A145" s="9">
        <v>44235</v>
      </c>
      <c r="B145" s="282" t="s">
        <v>23</v>
      </c>
      <c r="C145" s="282" t="s">
        <v>1402</v>
      </c>
      <c r="D145" s="228" t="s">
        <v>31</v>
      </c>
      <c r="E145" s="303" t="s">
        <v>98</v>
      </c>
      <c r="F145" s="303" t="s">
        <v>119</v>
      </c>
      <c r="G145" s="56">
        <v>2</v>
      </c>
      <c r="H145" s="323">
        <v>60000</v>
      </c>
      <c r="I145" s="86">
        <f t="shared" si="12"/>
        <v>120000</v>
      </c>
      <c r="J145" s="29">
        <f t="shared" si="13"/>
        <v>36000</v>
      </c>
      <c r="K145" s="86">
        <f t="shared" si="10"/>
        <v>84000</v>
      </c>
      <c r="L145" s="92"/>
      <c r="M145" s="92"/>
      <c r="N145" s="92">
        <f t="shared" si="11"/>
        <v>84000</v>
      </c>
      <c r="O145" s="282" t="s">
        <v>23</v>
      </c>
      <c r="P145" s="325"/>
      <c r="Q145" s="228" t="s">
        <v>1405</v>
      </c>
      <c r="R145" s="326"/>
      <c r="V145" s="92"/>
      <c r="W145" s="92"/>
    </row>
    <row r="146" spans="1:23" s="29" customFormat="1" ht="15.6">
      <c r="A146" s="9">
        <v>44235</v>
      </c>
      <c r="B146" s="282" t="s">
        <v>23</v>
      </c>
      <c r="C146" s="282" t="s">
        <v>1402</v>
      </c>
      <c r="D146" s="228" t="s">
        <v>31</v>
      </c>
      <c r="E146" s="303" t="s">
        <v>1421</v>
      </c>
      <c r="F146" s="304" t="s">
        <v>1422</v>
      </c>
      <c r="G146" s="56">
        <v>2</v>
      </c>
      <c r="H146" s="321">
        <v>133000</v>
      </c>
      <c r="I146" s="86">
        <f t="shared" si="12"/>
        <v>266000</v>
      </c>
      <c r="J146" s="29">
        <f t="shared" si="13"/>
        <v>79800</v>
      </c>
      <c r="K146" s="86">
        <f t="shared" si="10"/>
        <v>186200</v>
      </c>
      <c r="L146" s="92"/>
      <c r="M146" s="92"/>
      <c r="N146" s="92">
        <f t="shared" si="11"/>
        <v>186200</v>
      </c>
      <c r="O146" s="282" t="s">
        <v>23</v>
      </c>
      <c r="P146" s="325"/>
      <c r="Q146" s="228" t="s">
        <v>1405</v>
      </c>
      <c r="R146" s="326"/>
      <c r="V146" s="92"/>
      <c r="W146" s="92"/>
    </row>
    <row r="147" spans="1:23" s="29" customFormat="1" ht="15.6">
      <c r="A147" s="9">
        <v>44235</v>
      </c>
      <c r="B147" s="282" t="s">
        <v>23</v>
      </c>
      <c r="C147" s="282" t="s">
        <v>1402</v>
      </c>
      <c r="D147" s="228" t="s">
        <v>31</v>
      </c>
      <c r="E147" s="303" t="s">
        <v>97</v>
      </c>
      <c r="F147" s="304" t="s">
        <v>1423</v>
      </c>
      <c r="G147" s="56">
        <v>2</v>
      </c>
      <c r="H147" s="323">
        <v>103000</v>
      </c>
      <c r="I147" s="86">
        <f t="shared" si="12"/>
        <v>206000</v>
      </c>
      <c r="J147" s="29">
        <f t="shared" si="13"/>
        <v>61800</v>
      </c>
      <c r="K147" s="86">
        <f t="shared" si="10"/>
        <v>144200</v>
      </c>
      <c r="L147" s="92"/>
      <c r="M147" s="92"/>
      <c r="N147" s="92">
        <f t="shared" si="11"/>
        <v>144200</v>
      </c>
      <c r="O147" s="282" t="s">
        <v>23</v>
      </c>
      <c r="P147" s="325"/>
      <c r="Q147" s="228" t="s">
        <v>1405</v>
      </c>
      <c r="R147" s="326"/>
      <c r="S147" s="167"/>
      <c r="T147" s="92"/>
      <c r="U147" s="92"/>
      <c r="V147" s="92"/>
      <c r="W147" s="92"/>
    </row>
    <row r="148" spans="1:23" s="29" customFormat="1" ht="15.6">
      <c r="A148" s="9">
        <v>44235</v>
      </c>
      <c r="B148" s="282" t="s">
        <v>23</v>
      </c>
      <c r="C148" s="282" t="s">
        <v>1402</v>
      </c>
      <c r="D148" s="228" t="s">
        <v>31</v>
      </c>
      <c r="E148" s="300" t="s">
        <v>1424</v>
      </c>
      <c r="F148" s="301" t="s">
        <v>1425</v>
      </c>
      <c r="G148" s="56">
        <v>2</v>
      </c>
      <c r="H148" s="321">
        <v>88500</v>
      </c>
      <c r="I148" s="86">
        <f t="shared" si="12"/>
        <v>177000</v>
      </c>
      <c r="J148" s="29">
        <f t="shared" si="13"/>
        <v>53100</v>
      </c>
      <c r="K148" s="86">
        <f t="shared" si="10"/>
        <v>123900</v>
      </c>
      <c r="L148" s="92"/>
      <c r="M148" s="92"/>
      <c r="N148" s="92">
        <f t="shared" si="11"/>
        <v>123900</v>
      </c>
      <c r="O148" s="282" t="s">
        <v>23</v>
      </c>
      <c r="P148" s="324"/>
      <c r="Q148" s="228" t="s">
        <v>1405</v>
      </c>
      <c r="R148" s="92"/>
      <c r="S148" s="169"/>
      <c r="T148" s="92"/>
      <c r="U148" s="92"/>
      <c r="V148" s="92"/>
      <c r="W148" s="92"/>
    </row>
    <row r="149" spans="1:23" s="29" customFormat="1" ht="15.6">
      <c r="A149" s="9">
        <v>44235</v>
      </c>
      <c r="B149" s="282" t="s">
        <v>23</v>
      </c>
      <c r="C149" s="282" t="s">
        <v>1402</v>
      </c>
      <c r="D149" s="228" t="s">
        <v>31</v>
      </c>
      <c r="E149" s="300" t="s">
        <v>1426</v>
      </c>
      <c r="F149" s="301" t="s">
        <v>1427</v>
      </c>
      <c r="G149" s="56">
        <v>4</v>
      </c>
      <c r="H149" s="321">
        <v>79000</v>
      </c>
      <c r="I149" s="86">
        <f t="shared" si="12"/>
        <v>316000</v>
      </c>
      <c r="J149" s="29">
        <f t="shared" si="13"/>
        <v>94800</v>
      </c>
      <c r="K149" s="86">
        <f t="shared" si="10"/>
        <v>221200</v>
      </c>
      <c r="L149" s="92"/>
      <c r="M149" s="92"/>
      <c r="N149" s="92">
        <f t="shared" si="11"/>
        <v>221200</v>
      </c>
      <c r="O149" s="282" t="s">
        <v>23</v>
      </c>
      <c r="P149" s="106"/>
      <c r="Q149" s="228" t="s">
        <v>1405</v>
      </c>
      <c r="R149" s="92"/>
      <c r="S149" s="23"/>
      <c r="T149" s="92"/>
      <c r="U149" s="92"/>
      <c r="V149" s="92"/>
      <c r="W149" s="92"/>
    </row>
    <row r="150" spans="1:23" s="29" customFormat="1" ht="15.6">
      <c r="A150" s="9">
        <v>44235</v>
      </c>
      <c r="B150" s="282" t="s">
        <v>23</v>
      </c>
      <c r="C150" s="282" t="s">
        <v>1402</v>
      </c>
      <c r="D150" s="228" t="s">
        <v>31</v>
      </c>
      <c r="E150" s="300" t="s">
        <v>1428</v>
      </c>
      <c r="F150" s="301" t="s">
        <v>1429</v>
      </c>
      <c r="G150" s="56">
        <v>2</v>
      </c>
      <c r="H150" s="321">
        <v>48000</v>
      </c>
      <c r="I150" s="86">
        <f t="shared" si="12"/>
        <v>96000</v>
      </c>
      <c r="J150" s="29">
        <f t="shared" si="13"/>
        <v>28800</v>
      </c>
      <c r="K150" s="86">
        <f t="shared" si="10"/>
        <v>67200</v>
      </c>
      <c r="L150" s="92"/>
      <c r="M150" s="92"/>
      <c r="N150" s="92">
        <f t="shared" si="11"/>
        <v>67200</v>
      </c>
      <c r="O150" s="282" t="s">
        <v>23</v>
      </c>
      <c r="P150" s="107"/>
      <c r="Q150" s="228" t="s">
        <v>1405</v>
      </c>
      <c r="R150" s="227"/>
      <c r="S150" s="122"/>
      <c r="T150" s="92"/>
      <c r="U150" s="92"/>
      <c r="V150" s="92"/>
      <c r="W150" s="92"/>
    </row>
    <row r="151" spans="1:23" s="29" customFormat="1" ht="15.6">
      <c r="A151" s="9">
        <v>44235</v>
      </c>
      <c r="B151" s="282" t="s">
        <v>23</v>
      </c>
      <c r="C151" s="282" t="s">
        <v>1402</v>
      </c>
      <c r="D151" s="228" t="s">
        <v>31</v>
      </c>
      <c r="E151" s="307" t="s">
        <v>1430</v>
      </c>
      <c r="F151" s="308" t="s">
        <v>1431</v>
      </c>
      <c r="G151" s="56">
        <v>2</v>
      </c>
      <c r="H151" s="321">
        <v>41000</v>
      </c>
      <c r="I151" s="86">
        <f t="shared" si="12"/>
        <v>82000</v>
      </c>
      <c r="J151" s="29">
        <f t="shared" si="13"/>
        <v>24600</v>
      </c>
      <c r="K151" s="86">
        <f t="shared" si="10"/>
        <v>57400</v>
      </c>
      <c r="L151" s="92"/>
      <c r="M151" s="92"/>
      <c r="N151" s="92">
        <f t="shared" si="11"/>
        <v>57400</v>
      </c>
      <c r="O151" s="282" t="s">
        <v>23</v>
      </c>
      <c r="P151" s="23"/>
      <c r="Q151" s="228" t="s">
        <v>1405</v>
      </c>
      <c r="R151" s="92"/>
      <c r="S151" s="122"/>
      <c r="T151" s="92"/>
      <c r="U151" s="92"/>
      <c r="V151" s="92"/>
      <c r="W151" s="92"/>
    </row>
    <row r="152" spans="1:23" s="29" customFormat="1" ht="15.6">
      <c r="A152" s="9">
        <v>44235</v>
      </c>
      <c r="B152" s="282" t="s">
        <v>23</v>
      </c>
      <c r="C152" s="282" t="s">
        <v>1402</v>
      </c>
      <c r="D152" s="228" t="s">
        <v>31</v>
      </c>
      <c r="E152" s="307" t="s">
        <v>1432</v>
      </c>
      <c r="F152" s="307" t="s">
        <v>1433</v>
      </c>
      <c r="G152" s="56">
        <v>2</v>
      </c>
      <c r="H152" s="321">
        <v>73000</v>
      </c>
      <c r="I152" s="86">
        <f t="shared" si="12"/>
        <v>146000</v>
      </c>
      <c r="J152" s="29">
        <f t="shared" si="13"/>
        <v>43800</v>
      </c>
      <c r="K152" s="86">
        <f t="shared" si="10"/>
        <v>102200</v>
      </c>
      <c r="L152" s="92"/>
      <c r="M152" s="92"/>
      <c r="N152" s="92">
        <f t="shared" si="11"/>
        <v>102200</v>
      </c>
      <c r="O152" s="282" t="s">
        <v>23</v>
      </c>
      <c r="P152" s="325"/>
      <c r="Q152" s="228" t="s">
        <v>1405</v>
      </c>
      <c r="R152" s="326"/>
      <c r="S152" s="110"/>
      <c r="T152" s="92"/>
      <c r="U152" s="92"/>
      <c r="V152" s="92"/>
      <c r="W152" s="92"/>
    </row>
    <row r="153" spans="1:23" s="29" customFormat="1" ht="15.6">
      <c r="A153" s="9">
        <v>44235</v>
      </c>
      <c r="B153" s="282" t="s">
        <v>23</v>
      </c>
      <c r="C153" s="282" t="s">
        <v>1402</v>
      </c>
      <c r="D153" s="228" t="s">
        <v>31</v>
      </c>
      <c r="E153" s="307" t="s">
        <v>1434</v>
      </c>
      <c r="F153" s="308" t="s">
        <v>124</v>
      </c>
      <c r="G153" s="56">
        <v>2</v>
      </c>
      <c r="H153" s="321">
        <v>78000</v>
      </c>
      <c r="I153" s="86">
        <f t="shared" si="12"/>
        <v>156000</v>
      </c>
      <c r="J153" s="29">
        <f t="shared" si="13"/>
        <v>46800</v>
      </c>
      <c r="K153" s="86">
        <f t="shared" si="10"/>
        <v>109200</v>
      </c>
      <c r="L153" s="92"/>
      <c r="M153" s="92"/>
      <c r="N153" s="92">
        <f t="shared" si="11"/>
        <v>109200</v>
      </c>
      <c r="O153" s="282" t="s">
        <v>23</v>
      </c>
      <c r="P153" s="23"/>
      <c r="Q153" s="228" t="s">
        <v>1405</v>
      </c>
      <c r="R153" s="92"/>
      <c r="S153" s="122"/>
      <c r="T153" s="92"/>
      <c r="U153" s="92"/>
      <c r="V153" s="92"/>
      <c r="W153" s="92"/>
    </row>
    <row r="154" spans="1:23" s="23" customFormat="1" ht="15.6">
      <c r="A154" s="9">
        <v>44235</v>
      </c>
      <c r="B154" s="282" t="s">
        <v>23</v>
      </c>
      <c r="C154" s="282" t="s">
        <v>1402</v>
      </c>
      <c r="D154" s="228" t="s">
        <v>31</v>
      </c>
      <c r="E154" s="300" t="s">
        <v>104</v>
      </c>
      <c r="F154" s="301" t="s">
        <v>127</v>
      </c>
      <c r="G154" s="56">
        <v>2</v>
      </c>
      <c r="H154" s="321">
        <v>99000</v>
      </c>
      <c r="I154" s="86">
        <f t="shared" si="12"/>
        <v>198000</v>
      </c>
      <c r="J154" s="29">
        <f t="shared" si="13"/>
        <v>59400</v>
      </c>
      <c r="K154" s="86">
        <f t="shared" si="10"/>
        <v>138600</v>
      </c>
      <c r="N154" s="92">
        <f t="shared" si="11"/>
        <v>138600</v>
      </c>
      <c r="O154" s="282" t="s">
        <v>23</v>
      </c>
      <c r="Q154" s="228" t="s">
        <v>1405</v>
      </c>
      <c r="R154" s="327"/>
    </row>
    <row r="155" spans="1:23" s="23" customFormat="1" ht="15.6">
      <c r="A155" s="9">
        <v>44235</v>
      </c>
      <c r="B155" s="282" t="s">
        <v>23</v>
      </c>
      <c r="C155" s="282" t="s">
        <v>1402</v>
      </c>
      <c r="D155" s="228" t="s">
        <v>31</v>
      </c>
      <c r="E155" s="300" t="s">
        <v>92</v>
      </c>
      <c r="F155" s="307" t="s">
        <v>114</v>
      </c>
      <c r="G155" s="56">
        <v>2</v>
      </c>
      <c r="H155" s="321">
        <v>82500</v>
      </c>
      <c r="I155" s="86">
        <f t="shared" si="12"/>
        <v>165000</v>
      </c>
      <c r="J155" s="29">
        <f t="shared" si="13"/>
        <v>49500</v>
      </c>
      <c r="K155" s="86">
        <f t="shared" si="10"/>
        <v>115500</v>
      </c>
      <c r="N155" s="92">
        <f t="shared" si="11"/>
        <v>115500</v>
      </c>
      <c r="O155" s="282" t="s">
        <v>23</v>
      </c>
      <c r="P155" s="107"/>
      <c r="Q155" s="228" t="s">
        <v>1405</v>
      </c>
      <c r="R155" s="107"/>
    </row>
    <row r="156" spans="1:23" s="23" customFormat="1" ht="15.6">
      <c r="A156" s="9">
        <v>44235</v>
      </c>
      <c r="B156" s="282" t="s">
        <v>23</v>
      </c>
      <c r="C156" s="282" t="s">
        <v>1402</v>
      </c>
      <c r="D156" s="228" t="s">
        <v>31</v>
      </c>
      <c r="E156" s="305" t="s">
        <v>1435</v>
      </c>
      <c r="F156" s="301" t="s">
        <v>1436</v>
      </c>
      <c r="G156" s="56">
        <v>2</v>
      </c>
      <c r="H156" s="323">
        <v>142500</v>
      </c>
      <c r="I156" s="86">
        <f t="shared" si="12"/>
        <v>285000</v>
      </c>
      <c r="J156" s="29">
        <f t="shared" si="13"/>
        <v>85500</v>
      </c>
      <c r="K156" s="86">
        <f t="shared" si="10"/>
        <v>199500</v>
      </c>
      <c r="N156" s="92">
        <f t="shared" si="11"/>
        <v>199500</v>
      </c>
      <c r="O156" s="282" t="s">
        <v>23</v>
      </c>
      <c r="Q156" s="228" t="s">
        <v>1405</v>
      </c>
    </row>
    <row r="157" spans="1:23" s="23" customFormat="1" ht="15.6">
      <c r="A157" s="9">
        <v>44235</v>
      </c>
      <c r="B157" s="282" t="s">
        <v>23</v>
      </c>
      <c r="C157" s="282" t="s">
        <v>1402</v>
      </c>
      <c r="D157" s="228" t="s">
        <v>31</v>
      </c>
      <c r="E157" s="300" t="s">
        <v>89</v>
      </c>
      <c r="F157" s="301" t="s">
        <v>1437</v>
      </c>
      <c r="G157" s="56">
        <v>2</v>
      </c>
      <c r="H157" s="321">
        <v>125000</v>
      </c>
      <c r="I157" s="86">
        <f t="shared" si="12"/>
        <v>250000</v>
      </c>
      <c r="J157" s="29">
        <f t="shared" si="13"/>
        <v>75000</v>
      </c>
      <c r="K157" s="86">
        <f t="shared" si="10"/>
        <v>175000</v>
      </c>
      <c r="N157" s="92">
        <f t="shared" si="11"/>
        <v>175000</v>
      </c>
      <c r="O157" s="282" t="s">
        <v>23</v>
      </c>
      <c r="Q157" s="228" t="s">
        <v>1405</v>
      </c>
      <c r="S157" s="36"/>
    </row>
    <row r="158" spans="1:23" s="23" customFormat="1" ht="15.6">
      <c r="A158" s="9">
        <v>44235</v>
      </c>
      <c r="B158" s="282" t="s">
        <v>23</v>
      </c>
      <c r="C158" s="282" t="s">
        <v>1402</v>
      </c>
      <c r="D158" s="228" t="s">
        <v>31</v>
      </c>
      <c r="E158" s="300" t="s">
        <v>1438</v>
      </c>
      <c r="F158" s="301" t="s">
        <v>1439</v>
      </c>
      <c r="G158" s="56">
        <v>2</v>
      </c>
      <c r="H158" s="323">
        <v>70000</v>
      </c>
      <c r="I158" s="86">
        <f t="shared" si="12"/>
        <v>140000</v>
      </c>
      <c r="J158" s="29">
        <f t="shared" si="13"/>
        <v>42000</v>
      </c>
      <c r="K158" s="86">
        <f t="shared" si="10"/>
        <v>98000</v>
      </c>
      <c r="N158" s="92">
        <f t="shared" si="11"/>
        <v>98000</v>
      </c>
      <c r="O158" s="282" t="s">
        <v>23</v>
      </c>
      <c r="Q158" s="228" t="s">
        <v>1405</v>
      </c>
    </row>
    <row r="159" spans="1:23" s="23" customFormat="1" ht="15.6">
      <c r="A159" s="9">
        <v>44235</v>
      </c>
      <c r="B159" s="282" t="s">
        <v>23</v>
      </c>
      <c r="C159" s="282" t="s">
        <v>1402</v>
      </c>
      <c r="D159" s="228" t="s">
        <v>31</v>
      </c>
      <c r="E159" s="303" t="s">
        <v>86</v>
      </c>
      <c r="F159" s="304" t="s">
        <v>109</v>
      </c>
      <c r="G159" s="56">
        <v>2</v>
      </c>
      <c r="H159" s="321">
        <v>188000</v>
      </c>
      <c r="I159" s="86">
        <f t="shared" si="12"/>
        <v>376000</v>
      </c>
      <c r="J159" s="29">
        <f t="shared" si="13"/>
        <v>112800</v>
      </c>
      <c r="K159" s="86">
        <f t="shared" si="10"/>
        <v>263200</v>
      </c>
      <c r="N159" s="92">
        <f t="shared" si="11"/>
        <v>263200</v>
      </c>
      <c r="O159" s="282" t="s">
        <v>23</v>
      </c>
      <c r="P159" s="12"/>
      <c r="Q159" s="228" t="s">
        <v>1405</v>
      </c>
      <c r="S159" s="12"/>
    </row>
    <row r="160" spans="1:23" s="23" customFormat="1" ht="15.6">
      <c r="A160" s="9">
        <v>44235</v>
      </c>
      <c r="B160" s="282" t="s">
        <v>23</v>
      </c>
      <c r="C160" s="282" t="s">
        <v>1402</v>
      </c>
      <c r="D160" s="228" t="s">
        <v>31</v>
      </c>
      <c r="E160" s="303" t="s">
        <v>91</v>
      </c>
      <c r="F160" s="303" t="s">
        <v>113</v>
      </c>
      <c r="G160" s="56">
        <v>2</v>
      </c>
      <c r="H160" s="321">
        <v>60000</v>
      </c>
      <c r="I160" s="86">
        <f t="shared" si="12"/>
        <v>120000</v>
      </c>
      <c r="J160" s="29">
        <f t="shared" si="13"/>
        <v>36000</v>
      </c>
      <c r="K160" s="86">
        <f t="shared" si="10"/>
        <v>84000</v>
      </c>
      <c r="N160" s="92">
        <f t="shared" si="11"/>
        <v>84000</v>
      </c>
      <c r="O160" s="282" t="s">
        <v>23</v>
      </c>
      <c r="P160" s="12"/>
      <c r="Q160" s="228" t="s">
        <v>1405</v>
      </c>
      <c r="S160" s="12"/>
    </row>
    <row r="161" spans="1:23" s="23" customFormat="1" ht="15.6">
      <c r="A161" s="9">
        <v>44235</v>
      </c>
      <c r="B161" s="282" t="s">
        <v>23</v>
      </c>
      <c r="C161" s="282" t="s">
        <v>1402</v>
      </c>
      <c r="D161" s="228" t="s">
        <v>31</v>
      </c>
      <c r="E161" s="303" t="s">
        <v>1440</v>
      </c>
      <c r="F161" s="304" t="s">
        <v>1441</v>
      </c>
      <c r="G161" s="56">
        <v>2</v>
      </c>
      <c r="H161" s="321">
        <v>94000</v>
      </c>
      <c r="I161" s="86">
        <f t="shared" si="12"/>
        <v>188000</v>
      </c>
      <c r="J161" s="29">
        <f t="shared" si="13"/>
        <v>56400</v>
      </c>
      <c r="K161" s="86">
        <f t="shared" si="10"/>
        <v>131600</v>
      </c>
      <c r="N161" s="92">
        <f t="shared" si="11"/>
        <v>131600</v>
      </c>
      <c r="O161" s="282" t="s">
        <v>23</v>
      </c>
      <c r="Q161" s="228" t="s">
        <v>1405</v>
      </c>
    </row>
    <row r="162" spans="1:23" s="23" customFormat="1" ht="15.6">
      <c r="A162" s="9">
        <v>44235</v>
      </c>
      <c r="B162" s="282" t="s">
        <v>23</v>
      </c>
      <c r="C162" s="282" t="s">
        <v>1402</v>
      </c>
      <c r="D162" s="228" t="s">
        <v>31</v>
      </c>
      <c r="E162" s="303" t="s">
        <v>1442</v>
      </c>
      <c r="F162" s="304" t="s">
        <v>126</v>
      </c>
      <c r="G162" s="56">
        <v>2</v>
      </c>
      <c r="H162" s="321">
        <v>64000</v>
      </c>
      <c r="I162" s="86">
        <f t="shared" si="12"/>
        <v>128000</v>
      </c>
      <c r="J162" s="29">
        <f t="shared" si="13"/>
        <v>38400</v>
      </c>
      <c r="K162" s="86">
        <f t="shared" si="10"/>
        <v>89600</v>
      </c>
      <c r="N162" s="92">
        <f t="shared" si="11"/>
        <v>89600</v>
      </c>
      <c r="O162" s="282" t="s">
        <v>23</v>
      </c>
      <c r="Q162" s="228" t="s">
        <v>1405</v>
      </c>
    </row>
    <row r="163" spans="1:23" s="23" customFormat="1" ht="15.6">
      <c r="A163" s="9">
        <v>44235</v>
      </c>
      <c r="B163" s="282" t="s">
        <v>23</v>
      </c>
      <c r="C163" s="282" t="s">
        <v>1402</v>
      </c>
      <c r="D163" s="228" t="s">
        <v>31</v>
      </c>
      <c r="E163" s="303" t="s">
        <v>1443</v>
      </c>
      <c r="F163" s="304" t="s">
        <v>126</v>
      </c>
      <c r="G163" s="56">
        <v>2</v>
      </c>
      <c r="H163" s="321">
        <v>64000</v>
      </c>
      <c r="I163" s="86">
        <f t="shared" si="12"/>
        <v>128000</v>
      </c>
      <c r="J163" s="29">
        <f t="shared" si="13"/>
        <v>38400</v>
      </c>
      <c r="K163" s="86">
        <f t="shared" si="10"/>
        <v>89600</v>
      </c>
      <c r="N163" s="92">
        <f t="shared" si="11"/>
        <v>89600</v>
      </c>
      <c r="O163" s="282" t="s">
        <v>23</v>
      </c>
      <c r="P163" s="325"/>
      <c r="Q163" s="228" t="s">
        <v>1405</v>
      </c>
      <c r="R163" s="326"/>
    </row>
    <row r="164" spans="1:23" s="23" customFormat="1" ht="15.6">
      <c r="A164" s="9">
        <v>44235</v>
      </c>
      <c r="B164" s="282" t="s">
        <v>23</v>
      </c>
      <c r="C164" s="282" t="s">
        <v>1402</v>
      </c>
      <c r="D164" s="228" t="s">
        <v>31</v>
      </c>
      <c r="E164" s="303" t="s">
        <v>1444</v>
      </c>
      <c r="F164" s="304" t="s">
        <v>1445</v>
      </c>
      <c r="G164" s="56">
        <v>2</v>
      </c>
      <c r="H164" s="321">
        <v>102500</v>
      </c>
      <c r="I164" s="86">
        <f t="shared" si="12"/>
        <v>205000</v>
      </c>
      <c r="J164" s="29">
        <f t="shared" si="13"/>
        <v>61500</v>
      </c>
      <c r="K164" s="86">
        <f t="shared" si="10"/>
        <v>143500</v>
      </c>
      <c r="N164" s="92">
        <f t="shared" si="11"/>
        <v>143500</v>
      </c>
      <c r="O164" s="282" t="s">
        <v>23</v>
      </c>
      <c r="P164" s="12"/>
      <c r="Q164" s="228" t="s">
        <v>1405</v>
      </c>
      <c r="S164" s="12"/>
    </row>
    <row r="165" spans="1:23" s="29" customFormat="1" ht="15.6">
      <c r="A165" s="9">
        <v>44235</v>
      </c>
      <c r="B165" s="282" t="s">
        <v>23</v>
      </c>
      <c r="C165" s="282" t="s">
        <v>1402</v>
      </c>
      <c r="D165" s="228" t="s">
        <v>31</v>
      </c>
      <c r="E165" s="300" t="s">
        <v>1403</v>
      </c>
      <c r="F165" s="301" t="s">
        <v>1404</v>
      </c>
      <c r="G165" s="56">
        <v>2</v>
      </c>
      <c r="H165" s="321">
        <v>64000</v>
      </c>
      <c r="I165" s="86">
        <f t="shared" si="12"/>
        <v>128000</v>
      </c>
      <c r="J165" s="29">
        <f t="shared" si="13"/>
        <v>38400</v>
      </c>
      <c r="K165" s="86">
        <f t="shared" ref="K165:K236" si="14">I165-J165</f>
        <v>89600</v>
      </c>
      <c r="L165" s="23"/>
      <c r="M165" s="92"/>
      <c r="N165" s="92">
        <f t="shared" ref="N165:N228" si="15">K165+L165+M165</f>
        <v>89600</v>
      </c>
      <c r="O165" s="282" t="s">
        <v>23</v>
      </c>
      <c r="P165" s="105"/>
      <c r="Q165" s="228" t="s">
        <v>1405</v>
      </c>
      <c r="R165" s="92"/>
      <c r="S165" s="12"/>
      <c r="T165" s="92"/>
      <c r="U165" s="92"/>
      <c r="V165" s="92"/>
      <c r="W165" s="92"/>
    </row>
    <row r="166" spans="1:23" s="29" customFormat="1" ht="15.6">
      <c r="A166" s="9">
        <v>44235</v>
      </c>
      <c r="B166" s="282" t="s">
        <v>23</v>
      </c>
      <c r="C166" s="282" t="s">
        <v>1402</v>
      </c>
      <c r="D166" s="228" t="s">
        <v>31</v>
      </c>
      <c r="E166" s="300" t="s">
        <v>1446</v>
      </c>
      <c r="F166" s="300" t="s">
        <v>1447</v>
      </c>
      <c r="G166" s="56">
        <v>2</v>
      </c>
      <c r="H166" s="321">
        <v>143000</v>
      </c>
      <c r="I166" s="86">
        <f t="shared" si="12"/>
        <v>286000</v>
      </c>
      <c r="J166" s="29">
        <f t="shared" si="13"/>
        <v>85800</v>
      </c>
      <c r="K166" s="86">
        <f t="shared" si="14"/>
        <v>200200</v>
      </c>
      <c r="L166" s="92"/>
      <c r="M166" s="92"/>
      <c r="N166" s="92">
        <f t="shared" si="15"/>
        <v>200200</v>
      </c>
      <c r="O166" s="282" t="s">
        <v>23</v>
      </c>
      <c r="P166" s="95"/>
      <c r="Q166" s="228" t="s">
        <v>1405</v>
      </c>
      <c r="R166" s="92"/>
      <c r="S166" s="12"/>
      <c r="T166" s="92"/>
      <c r="U166" s="92"/>
      <c r="V166" s="92"/>
      <c r="W166" s="92"/>
    </row>
    <row r="167" spans="1:23" s="29" customFormat="1" ht="15.6">
      <c r="A167" s="9">
        <v>44235</v>
      </c>
      <c r="B167" s="282" t="s">
        <v>23</v>
      </c>
      <c r="C167" s="282" t="s">
        <v>1402</v>
      </c>
      <c r="D167" s="228" t="s">
        <v>31</v>
      </c>
      <c r="E167" s="307" t="s">
        <v>1272</v>
      </c>
      <c r="F167" s="308" t="s">
        <v>1273</v>
      </c>
      <c r="G167" s="56">
        <v>2</v>
      </c>
      <c r="H167" s="321">
        <v>200000</v>
      </c>
      <c r="I167" s="86">
        <f t="shared" si="12"/>
        <v>400000</v>
      </c>
      <c r="J167" s="29">
        <f t="shared" si="13"/>
        <v>120000</v>
      </c>
      <c r="K167" s="86">
        <f t="shared" si="14"/>
        <v>280000</v>
      </c>
      <c r="L167" s="23"/>
      <c r="M167" s="92"/>
      <c r="N167" s="92">
        <f t="shared" si="15"/>
        <v>280000</v>
      </c>
      <c r="O167" s="282" t="s">
        <v>23</v>
      </c>
      <c r="P167" s="95"/>
      <c r="Q167" s="228" t="s">
        <v>1405</v>
      </c>
      <c r="R167" s="92"/>
      <c r="S167" s="12"/>
      <c r="T167" s="92"/>
      <c r="U167" s="92"/>
      <c r="V167" s="92"/>
      <c r="W167" s="92"/>
    </row>
    <row r="168" spans="1:23" s="29" customFormat="1" ht="15.6">
      <c r="A168" s="9">
        <v>44235</v>
      </c>
      <c r="B168" s="282" t="s">
        <v>23</v>
      </c>
      <c r="C168" s="282" t="s">
        <v>1402</v>
      </c>
      <c r="D168" s="228" t="s">
        <v>31</v>
      </c>
      <c r="E168" s="303" t="s">
        <v>1448</v>
      </c>
      <c r="F168" s="304" t="s">
        <v>1449</v>
      </c>
      <c r="G168" s="56">
        <v>2</v>
      </c>
      <c r="H168" s="323">
        <v>50000</v>
      </c>
      <c r="I168" s="86">
        <f t="shared" si="12"/>
        <v>100000</v>
      </c>
      <c r="J168" s="29">
        <f t="shared" si="13"/>
        <v>30000</v>
      </c>
      <c r="K168" s="86">
        <f t="shared" si="14"/>
        <v>70000</v>
      </c>
      <c r="L168" s="23"/>
      <c r="M168" s="92"/>
      <c r="N168" s="92">
        <f t="shared" si="15"/>
        <v>70000</v>
      </c>
      <c r="O168" s="282" t="s">
        <v>23</v>
      </c>
      <c r="P168" s="95"/>
      <c r="Q168" s="228" t="s">
        <v>1405</v>
      </c>
      <c r="R168" s="92"/>
      <c r="S168" s="12"/>
      <c r="T168" s="92"/>
      <c r="U168" s="92"/>
      <c r="V168" s="92"/>
      <c r="W168" s="92"/>
    </row>
    <row r="169" spans="1:23" s="29" customFormat="1" ht="15.6">
      <c r="A169" s="9">
        <v>44235</v>
      </c>
      <c r="B169" s="282" t="s">
        <v>23</v>
      </c>
      <c r="C169" s="282" t="s">
        <v>1402</v>
      </c>
      <c r="D169" s="228" t="s">
        <v>31</v>
      </c>
      <c r="E169" s="303" t="s">
        <v>1450</v>
      </c>
      <c r="F169" s="304" t="s">
        <v>1449</v>
      </c>
      <c r="G169" s="56">
        <v>2</v>
      </c>
      <c r="H169" s="321">
        <v>55000</v>
      </c>
      <c r="I169" s="86">
        <f t="shared" si="12"/>
        <v>110000</v>
      </c>
      <c r="J169" s="29">
        <f t="shared" si="13"/>
        <v>33000</v>
      </c>
      <c r="K169" s="86">
        <f t="shared" si="14"/>
        <v>77000</v>
      </c>
      <c r="L169" s="23"/>
      <c r="M169" s="92"/>
      <c r="N169" s="92">
        <f t="shared" si="15"/>
        <v>77000</v>
      </c>
      <c r="O169" s="282" t="s">
        <v>23</v>
      </c>
      <c r="P169" s="95"/>
      <c r="Q169" s="228" t="s">
        <v>1405</v>
      </c>
      <c r="R169" s="92"/>
      <c r="S169" s="12"/>
      <c r="T169" s="92"/>
      <c r="U169" s="92"/>
      <c r="V169" s="92"/>
      <c r="W169" s="92"/>
    </row>
    <row r="170" spans="1:23" s="29" customFormat="1" ht="15.6">
      <c r="A170" s="9">
        <v>44235</v>
      </c>
      <c r="B170" s="282" t="s">
        <v>23</v>
      </c>
      <c r="C170" s="282" t="s">
        <v>1402</v>
      </c>
      <c r="D170" s="228" t="s">
        <v>31</v>
      </c>
      <c r="E170" s="309" t="s">
        <v>1451</v>
      </c>
      <c r="F170" s="301" t="s">
        <v>1452</v>
      </c>
      <c r="G170" s="56">
        <v>2</v>
      </c>
      <c r="H170" s="321">
        <v>57000</v>
      </c>
      <c r="I170" s="86">
        <f t="shared" si="12"/>
        <v>114000</v>
      </c>
      <c r="J170" s="29">
        <f t="shared" si="13"/>
        <v>34200</v>
      </c>
      <c r="K170" s="86">
        <f t="shared" si="14"/>
        <v>79800</v>
      </c>
      <c r="L170" s="23"/>
      <c r="M170" s="92"/>
      <c r="N170" s="92">
        <f t="shared" si="15"/>
        <v>79800</v>
      </c>
      <c r="O170" s="282" t="s">
        <v>23</v>
      </c>
      <c r="P170" s="95"/>
      <c r="Q170" s="228" t="s">
        <v>1405</v>
      </c>
      <c r="R170" s="92"/>
      <c r="S170" s="12"/>
      <c r="T170" s="92"/>
      <c r="U170" s="92"/>
      <c r="V170" s="92"/>
      <c r="W170" s="92"/>
    </row>
    <row r="171" spans="1:23" s="29" customFormat="1" ht="15.6">
      <c r="A171" s="9">
        <v>44235</v>
      </c>
      <c r="B171" s="282" t="s">
        <v>23</v>
      </c>
      <c r="C171" s="282" t="s">
        <v>1402</v>
      </c>
      <c r="D171" s="228" t="s">
        <v>31</v>
      </c>
      <c r="E171" s="305" t="s">
        <v>1453</v>
      </c>
      <c r="F171" s="301" t="s">
        <v>1454</v>
      </c>
      <c r="G171" s="56">
        <v>2</v>
      </c>
      <c r="H171" s="321">
        <v>68000</v>
      </c>
      <c r="I171" s="86">
        <f t="shared" si="12"/>
        <v>136000</v>
      </c>
      <c r="J171" s="29">
        <f t="shared" si="13"/>
        <v>40800</v>
      </c>
      <c r="K171" s="86">
        <f t="shared" si="14"/>
        <v>95200</v>
      </c>
      <c r="L171" s="23"/>
      <c r="N171" s="92">
        <f t="shared" si="15"/>
        <v>95200</v>
      </c>
      <c r="O171" s="282" t="s">
        <v>23</v>
      </c>
      <c r="P171" s="325"/>
      <c r="Q171" s="228" t="s">
        <v>1405</v>
      </c>
      <c r="R171" s="228"/>
      <c r="S171" s="12"/>
      <c r="T171" s="92"/>
      <c r="U171" s="92"/>
      <c r="V171" s="92"/>
      <c r="W171" s="92"/>
    </row>
    <row r="172" spans="1:23" s="29" customFormat="1" ht="15.6">
      <c r="A172" s="9">
        <v>44235</v>
      </c>
      <c r="B172" s="282" t="s">
        <v>23</v>
      </c>
      <c r="C172" s="282" t="s">
        <v>1402</v>
      </c>
      <c r="D172" s="228" t="s">
        <v>31</v>
      </c>
      <c r="E172" s="300" t="s">
        <v>1455</v>
      </c>
      <c r="F172" s="301" t="s">
        <v>1456</v>
      </c>
      <c r="G172" s="56">
        <v>2</v>
      </c>
      <c r="H172" s="321">
        <v>79500</v>
      </c>
      <c r="I172" s="86">
        <f t="shared" si="12"/>
        <v>159000</v>
      </c>
      <c r="J172" s="29">
        <f t="shared" si="13"/>
        <v>47700</v>
      </c>
      <c r="K172" s="86">
        <f t="shared" si="14"/>
        <v>111300</v>
      </c>
      <c r="L172" s="23"/>
      <c r="M172" s="92"/>
      <c r="N172" s="92">
        <f t="shared" si="15"/>
        <v>111300</v>
      </c>
      <c r="O172" s="282" t="s">
        <v>23</v>
      </c>
      <c r="P172" s="325"/>
      <c r="Q172" s="228" t="s">
        <v>1405</v>
      </c>
      <c r="R172" s="228"/>
      <c r="S172" s="12"/>
      <c r="T172" s="92"/>
      <c r="U172" s="92"/>
      <c r="V172" s="92"/>
      <c r="W172" s="92"/>
    </row>
    <row r="173" spans="1:23" s="29" customFormat="1" ht="15.6">
      <c r="A173" s="9">
        <v>44235</v>
      </c>
      <c r="B173" s="282" t="s">
        <v>23</v>
      </c>
      <c r="C173" s="282" t="s">
        <v>1402</v>
      </c>
      <c r="D173" s="228" t="s">
        <v>31</v>
      </c>
      <c r="E173" s="300" t="s">
        <v>1457</v>
      </c>
      <c r="F173" s="301" t="s">
        <v>1458</v>
      </c>
      <c r="G173" s="56">
        <v>2</v>
      </c>
      <c r="H173" s="321">
        <v>95000</v>
      </c>
      <c r="I173" s="86">
        <f t="shared" si="12"/>
        <v>190000</v>
      </c>
      <c r="J173" s="29">
        <f t="shared" si="13"/>
        <v>57000</v>
      </c>
      <c r="K173" s="86">
        <f t="shared" si="14"/>
        <v>133000</v>
      </c>
      <c r="L173" s="92"/>
      <c r="N173" s="92">
        <f t="shared" si="15"/>
        <v>133000</v>
      </c>
      <c r="O173" s="282" t="s">
        <v>23</v>
      </c>
      <c r="P173" s="106"/>
      <c r="Q173" s="228" t="s">
        <v>1405</v>
      </c>
      <c r="R173" s="228"/>
      <c r="S173" s="23"/>
      <c r="T173" s="92"/>
      <c r="U173" s="92"/>
      <c r="V173" s="92"/>
      <c r="W173" s="92"/>
    </row>
    <row r="174" spans="1:23" s="29" customFormat="1" ht="15.6">
      <c r="A174" s="9">
        <v>44235</v>
      </c>
      <c r="B174" s="282" t="s">
        <v>23</v>
      </c>
      <c r="C174" s="282" t="s">
        <v>1402</v>
      </c>
      <c r="D174" s="228" t="s">
        <v>31</v>
      </c>
      <c r="E174" s="300" t="s">
        <v>1459</v>
      </c>
      <c r="F174" s="301" t="s">
        <v>1460</v>
      </c>
      <c r="G174" s="56">
        <v>2</v>
      </c>
      <c r="H174" s="321">
        <v>111000</v>
      </c>
      <c r="I174" s="86">
        <f t="shared" si="12"/>
        <v>222000</v>
      </c>
      <c r="J174" s="29">
        <f t="shared" si="13"/>
        <v>66600</v>
      </c>
      <c r="K174" s="86">
        <f t="shared" si="14"/>
        <v>155400</v>
      </c>
      <c r="L174" s="23"/>
      <c r="M174" s="92"/>
      <c r="N174" s="92">
        <f t="shared" si="15"/>
        <v>155400</v>
      </c>
      <c r="O174" s="282" t="s">
        <v>23</v>
      </c>
      <c r="P174" s="328"/>
      <c r="Q174" s="228" t="s">
        <v>1405</v>
      </c>
      <c r="R174" s="227"/>
      <c r="S174" s="23"/>
      <c r="T174" s="92"/>
      <c r="U174" s="92"/>
      <c r="V174" s="92"/>
      <c r="W174" s="92"/>
    </row>
    <row r="175" spans="1:23" s="29" customFormat="1" ht="15.6">
      <c r="A175" s="9">
        <v>44235</v>
      </c>
      <c r="B175" s="282" t="s">
        <v>23</v>
      </c>
      <c r="C175" s="282" t="s">
        <v>1402</v>
      </c>
      <c r="D175" s="228" t="s">
        <v>31</v>
      </c>
      <c r="E175" s="300" t="s">
        <v>1461</v>
      </c>
      <c r="F175" s="301" t="s">
        <v>1462</v>
      </c>
      <c r="G175" s="56">
        <v>2</v>
      </c>
      <c r="H175" s="321">
        <v>59000</v>
      </c>
      <c r="I175" s="86">
        <f t="shared" si="12"/>
        <v>118000</v>
      </c>
      <c r="J175" s="29">
        <f t="shared" si="13"/>
        <v>35400</v>
      </c>
      <c r="K175" s="86">
        <f t="shared" si="14"/>
        <v>82600</v>
      </c>
      <c r="L175" s="23"/>
      <c r="M175" s="92"/>
      <c r="N175" s="92">
        <f t="shared" si="15"/>
        <v>82600</v>
      </c>
      <c r="O175" s="282" t="s">
        <v>23</v>
      </c>
      <c r="P175" s="328"/>
      <c r="Q175" s="228" t="s">
        <v>1405</v>
      </c>
      <c r="R175" s="227"/>
      <c r="S175" s="23"/>
      <c r="T175" s="92"/>
      <c r="U175" s="92"/>
      <c r="V175" s="92"/>
      <c r="W175" s="92"/>
    </row>
    <row r="176" spans="1:23" s="29" customFormat="1" ht="15.6">
      <c r="A176" s="9">
        <v>44235</v>
      </c>
      <c r="B176" s="282" t="s">
        <v>23</v>
      </c>
      <c r="C176" s="282" t="s">
        <v>1402</v>
      </c>
      <c r="D176" s="228" t="s">
        <v>31</v>
      </c>
      <c r="E176" s="303" t="s">
        <v>1463</v>
      </c>
      <c r="F176" s="304" t="s">
        <v>1464</v>
      </c>
      <c r="G176" s="56">
        <v>2</v>
      </c>
      <c r="H176" s="321">
        <v>79000</v>
      </c>
      <c r="I176" s="86">
        <f t="shared" si="12"/>
        <v>158000</v>
      </c>
      <c r="J176" s="29">
        <f t="shared" si="13"/>
        <v>47400</v>
      </c>
      <c r="K176" s="86">
        <f t="shared" si="14"/>
        <v>110600</v>
      </c>
      <c r="L176" s="92"/>
      <c r="M176" s="92"/>
      <c r="N176" s="92">
        <f t="shared" si="15"/>
        <v>110600</v>
      </c>
      <c r="O176" s="282" t="s">
        <v>23</v>
      </c>
      <c r="P176" s="328"/>
      <c r="Q176" s="228" t="s">
        <v>1405</v>
      </c>
      <c r="R176" s="227"/>
      <c r="S176" s="23"/>
      <c r="T176" s="92"/>
      <c r="U176" s="92"/>
      <c r="V176" s="92"/>
      <c r="W176" s="92"/>
    </row>
    <row r="177" spans="1:23" s="29" customFormat="1" ht="15.6">
      <c r="A177" s="9">
        <v>44235</v>
      </c>
      <c r="B177" s="282" t="s">
        <v>23</v>
      </c>
      <c r="C177" s="282" t="s">
        <v>1402</v>
      </c>
      <c r="D177" s="228" t="s">
        <v>31</v>
      </c>
      <c r="E177" s="303" t="s">
        <v>1465</v>
      </c>
      <c r="F177" s="304" t="s">
        <v>1466</v>
      </c>
      <c r="G177" s="56">
        <v>2</v>
      </c>
      <c r="H177" s="321">
        <v>59000</v>
      </c>
      <c r="I177" s="86">
        <f t="shared" si="12"/>
        <v>118000</v>
      </c>
      <c r="J177" s="29">
        <f t="shared" si="13"/>
        <v>35400</v>
      </c>
      <c r="K177" s="86">
        <f t="shared" si="14"/>
        <v>82600</v>
      </c>
      <c r="L177" s="92"/>
      <c r="M177" s="92"/>
      <c r="N177" s="92">
        <f t="shared" si="15"/>
        <v>82600</v>
      </c>
      <c r="O177" s="282" t="s">
        <v>23</v>
      </c>
      <c r="P177" s="102"/>
      <c r="Q177" s="228" t="s">
        <v>1405</v>
      </c>
      <c r="R177" s="227"/>
      <c r="S177" s="23"/>
      <c r="T177" s="92"/>
      <c r="U177" s="92"/>
      <c r="V177" s="92"/>
      <c r="W177" s="92"/>
    </row>
    <row r="178" spans="1:23" s="29" customFormat="1" ht="15.6">
      <c r="A178" s="9">
        <v>44235</v>
      </c>
      <c r="B178" s="282" t="s">
        <v>23</v>
      </c>
      <c r="C178" s="282" t="s">
        <v>1402</v>
      </c>
      <c r="D178" s="228" t="s">
        <v>31</v>
      </c>
      <c r="E178" s="300" t="s">
        <v>1467</v>
      </c>
      <c r="F178" s="301" t="s">
        <v>1468</v>
      </c>
      <c r="G178" s="56">
        <v>2</v>
      </c>
      <c r="H178" s="321">
        <v>69000</v>
      </c>
      <c r="I178" s="86">
        <f t="shared" si="12"/>
        <v>138000</v>
      </c>
      <c r="J178" s="29">
        <f t="shared" si="13"/>
        <v>41400</v>
      </c>
      <c r="K178" s="86">
        <f t="shared" si="14"/>
        <v>96600</v>
      </c>
      <c r="L178" s="92"/>
      <c r="M178" s="92"/>
      <c r="N178" s="92">
        <f t="shared" si="15"/>
        <v>96600</v>
      </c>
      <c r="O178" s="282" t="s">
        <v>23</v>
      </c>
      <c r="P178" s="23"/>
      <c r="Q178" s="228" t="s">
        <v>1405</v>
      </c>
      <c r="R178" s="92"/>
      <c r="S178" s="23"/>
      <c r="T178" s="92"/>
      <c r="U178" s="92"/>
      <c r="V178" s="92"/>
      <c r="W178" s="92"/>
    </row>
    <row r="179" spans="1:23" s="29" customFormat="1" ht="15.6">
      <c r="A179" s="9">
        <v>44235</v>
      </c>
      <c r="B179" s="282" t="s">
        <v>23</v>
      </c>
      <c r="C179" s="282" t="s">
        <v>1402</v>
      </c>
      <c r="D179" s="228" t="s">
        <v>31</v>
      </c>
      <c r="E179" s="300" t="s">
        <v>1469</v>
      </c>
      <c r="F179" s="301" t="s">
        <v>1470</v>
      </c>
      <c r="G179" s="56">
        <v>2</v>
      </c>
      <c r="H179" s="321">
        <v>70000</v>
      </c>
      <c r="I179" s="86">
        <f t="shared" si="12"/>
        <v>140000</v>
      </c>
      <c r="J179" s="29">
        <f t="shared" si="13"/>
        <v>42000</v>
      </c>
      <c r="K179" s="86">
        <f t="shared" si="14"/>
        <v>98000</v>
      </c>
      <c r="L179" s="92"/>
      <c r="M179" s="92"/>
      <c r="N179" s="92">
        <f t="shared" si="15"/>
        <v>98000</v>
      </c>
      <c r="O179" s="282" t="s">
        <v>23</v>
      </c>
      <c r="P179" s="328"/>
      <c r="Q179" s="228" t="s">
        <v>1405</v>
      </c>
      <c r="R179" s="92"/>
      <c r="S179" s="23"/>
      <c r="T179" s="92"/>
      <c r="U179" s="92"/>
      <c r="V179" s="92"/>
      <c r="W179" s="92"/>
    </row>
    <row r="180" spans="1:23" s="29" customFormat="1" ht="15.6">
      <c r="A180" s="9">
        <v>44235</v>
      </c>
      <c r="B180" s="282" t="s">
        <v>23</v>
      </c>
      <c r="C180" s="282" t="s">
        <v>1402</v>
      </c>
      <c r="D180" s="228" t="s">
        <v>31</v>
      </c>
      <c r="E180" s="307" t="s">
        <v>1471</v>
      </c>
      <c r="F180" s="308" t="s">
        <v>1472</v>
      </c>
      <c r="G180" s="56">
        <v>2</v>
      </c>
      <c r="H180" s="321">
        <v>55500</v>
      </c>
      <c r="I180" s="86">
        <f t="shared" si="12"/>
        <v>111000</v>
      </c>
      <c r="J180" s="29">
        <f t="shared" si="13"/>
        <v>33300</v>
      </c>
      <c r="K180" s="86">
        <f t="shared" si="14"/>
        <v>77700</v>
      </c>
      <c r="L180" s="72"/>
      <c r="M180" s="92"/>
      <c r="N180" s="92">
        <f t="shared" si="15"/>
        <v>77700</v>
      </c>
      <c r="O180" s="282" t="s">
        <v>23</v>
      </c>
      <c r="P180" s="75"/>
      <c r="Q180" s="228" t="s">
        <v>1405</v>
      </c>
      <c r="R180" s="92"/>
      <c r="S180" s="23"/>
      <c r="T180" s="92"/>
      <c r="U180" s="92"/>
      <c r="V180" s="92"/>
      <c r="W180" s="92"/>
    </row>
    <row r="181" spans="1:23" s="29" customFormat="1" ht="15.6">
      <c r="A181" s="9">
        <v>44235</v>
      </c>
      <c r="B181" s="282" t="s">
        <v>23</v>
      </c>
      <c r="C181" s="282" t="s">
        <v>1402</v>
      </c>
      <c r="D181" s="228" t="s">
        <v>31</v>
      </c>
      <c r="E181" s="307" t="s">
        <v>1473</v>
      </c>
      <c r="F181" s="308" t="s">
        <v>1474</v>
      </c>
      <c r="G181" s="56">
        <v>2</v>
      </c>
      <c r="H181" s="321">
        <v>83000</v>
      </c>
      <c r="I181" s="86">
        <f t="shared" si="12"/>
        <v>166000</v>
      </c>
      <c r="J181" s="29">
        <f t="shared" si="13"/>
        <v>49800</v>
      </c>
      <c r="K181" s="86">
        <f t="shared" si="14"/>
        <v>116200</v>
      </c>
      <c r="N181" s="92">
        <f t="shared" si="15"/>
        <v>116200</v>
      </c>
      <c r="O181" s="282" t="s">
        <v>23</v>
      </c>
      <c r="Q181" s="228" t="s">
        <v>1405</v>
      </c>
      <c r="S181" s="23"/>
      <c r="T181" s="92"/>
      <c r="U181" s="92"/>
      <c r="V181" s="92"/>
      <c r="W181" s="92"/>
    </row>
    <row r="182" spans="1:23" s="29" customFormat="1" ht="15.6">
      <c r="A182" s="9">
        <v>44235</v>
      </c>
      <c r="B182" s="282" t="s">
        <v>23</v>
      </c>
      <c r="C182" s="282" t="s">
        <v>1402</v>
      </c>
      <c r="D182" s="228" t="s">
        <v>31</v>
      </c>
      <c r="E182" s="305" t="s">
        <v>1475</v>
      </c>
      <c r="F182" s="300" t="s">
        <v>1476</v>
      </c>
      <c r="G182" s="56">
        <v>2</v>
      </c>
      <c r="H182" s="321">
        <v>156000</v>
      </c>
      <c r="I182" s="86">
        <f t="shared" si="12"/>
        <v>312000</v>
      </c>
      <c r="J182" s="29">
        <f t="shared" si="13"/>
        <v>93600</v>
      </c>
      <c r="K182" s="86">
        <f t="shared" si="14"/>
        <v>218400</v>
      </c>
      <c r="N182" s="92">
        <f t="shared" si="15"/>
        <v>218400</v>
      </c>
      <c r="O182" s="282" t="s">
        <v>23</v>
      </c>
      <c r="Q182" s="228" t="s">
        <v>1405</v>
      </c>
      <c r="S182" s="12"/>
      <c r="T182" s="92"/>
      <c r="U182" s="92"/>
      <c r="V182" s="92"/>
      <c r="W182" s="92"/>
    </row>
    <row r="183" spans="1:23" s="29" customFormat="1" ht="15" customHeight="1">
      <c r="A183" s="9">
        <v>44235</v>
      </c>
      <c r="B183" s="282" t="s">
        <v>23</v>
      </c>
      <c r="C183" s="282" t="s">
        <v>1402</v>
      </c>
      <c r="D183" s="228" t="s">
        <v>31</v>
      </c>
      <c r="E183" s="300" t="s">
        <v>1081</v>
      </c>
      <c r="F183" s="300" t="s">
        <v>1082</v>
      </c>
      <c r="G183" s="56">
        <v>2</v>
      </c>
      <c r="H183" s="321">
        <v>65000</v>
      </c>
      <c r="I183" s="86">
        <f t="shared" si="12"/>
        <v>130000</v>
      </c>
      <c r="J183" s="29">
        <f t="shared" si="13"/>
        <v>39000</v>
      </c>
      <c r="K183" s="86">
        <f t="shared" si="14"/>
        <v>91000</v>
      </c>
      <c r="N183" s="92">
        <f t="shared" si="15"/>
        <v>91000</v>
      </c>
      <c r="O183" s="282" t="s">
        <v>23</v>
      </c>
      <c r="Q183" s="228" t="s">
        <v>1405</v>
      </c>
      <c r="S183" s="329"/>
      <c r="T183" s="92"/>
      <c r="U183" s="92"/>
      <c r="V183" s="92"/>
      <c r="W183" s="92"/>
    </row>
    <row r="184" spans="1:23" s="29" customFormat="1">
      <c r="A184" s="9">
        <v>44235</v>
      </c>
      <c r="B184" s="282" t="s">
        <v>23</v>
      </c>
      <c r="C184" s="282" t="s">
        <v>1402</v>
      </c>
      <c r="D184" s="228" t="s">
        <v>31</v>
      </c>
      <c r="E184" s="305" t="s">
        <v>1477</v>
      </c>
      <c r="F184" s="305" t="s">
        <v>1478</v>
      </c>
      <c r="G184" s="56">
        <v>2</v>
      </c>
      <c r="H184" s="323">
        <v>96000</v>
      </c>
      <c r="I184" s="86">
        <f t="shared" si="12"/>
        <v>192000</v>
      </c>
      <c r="J184" s="29">
        <f t="shared" si="13"/>
        <v>57600</v>
      </c>
      <c r="K184" s="86">
        <f t="shared" si="14"/>
        <v>134400</v>
      </c>
      <c r="N184" s="92">
        <f t="shared" si="15"/>
        <v>134400</v>
      </c>
      <c r="O184" s="282" t="s">
        <v>23</v>
      </c>
      <c r="Q184" s="228" t="s">
        <v>1405</v>
      </c>
      <c r="S184" s="12"/>
      <c r="T184" s="92"/>
      <c r="U184" s="92"/>
      <c r="V184" s="92"/>
      <c r="W184" s="92"/>
    </row>
    <row r="185" spans="1:23" s="29" customFormat="1" ht="15.6">
      <c r="A185" s="9">
        <v>44235</v>
      </c>
      <c r="B185" s="282" t="s">
        <v>23</v>
      </c>
      <c r="C185" s="282" t="s">
        <v>1402</v>
      </c>
      <c r="D185" s="228" t="s">
        <v>31</v>
      </c>
      <c r="E185" s="300" t="s">
        <v>1479</v>
      </c>
      <c r="F185" s="300" t="s">
        <v>1480</v>
      </c>
      <c r="G185" s="56">
        <v>2</v>
      </c>
      <c r="H185" s="321">
        <v>88000</v>
      </c>
      <c r="I185" s="86">
        <f t="shared" si="12"/>
        <v>176000</v>
      </c>
      <c r="J185" s="29">
        <f t="shared" si="13"/>
        <v>52800</v>
      </c>
      <c r="K185" s="86">
        <f t="shared" si="14"/>
        <v>123200</v>
      </c>
      <c r="N185" s="92">
        <f t="shared" si="15"/>
        <v>123200</v>
      </c>
      <c r="O185" s="282" t="s">
        <v>23</v>
      </c>
      <c r="Q185" s="228" t="s">
        <v>1405</v>
      </c>
      <c r="S185" s="92"/>
      <c r="T185" s="92"/>
      <c r="U185" s="92"/>
      <c r="V185" s="92"/>
      <c r="W185" s="92"/>
    </row>
    <row r="186" spans="1:23" s="29" customFormat="1" ht="15.6">
      <c r="A186" s="9">
        <v>44235</v>
      </c>
      <c r="B186" s="282" t="s">
        <v>23</v>
      </c>
      <c r="C186" s="282" t="s">
        <v>1402</v>
      </c>
      <c r="D186" s="228" t="s">
        <v>31</v>
      </c>
      <c r="E186" s="300" t="s">
        <v>1481</v>
      </c>
      <c r="F186" s="301" t="s">
        <v>1482</v>
      </c>
      <c r="G186" s="56">
        <v>2</v>
      </c>
      <c r="H186" s="323">
        <v>89000</v>
      </c>
      <c r="I186" s="86">
        <f t="shared" si="12"/>
        <v>178000</v>
      </c>
      <c r="J186" s="29">
        <f t="shared" si="13"/>
        <v>53400</v>
      </c>
      <c r="K186" s="86">
        <f t="shared" si="14"/>
        <v>124600</v>
      </c>
      <c r="N186" s="92">
        <f t="shared" si="15"/>
        <v>124600</v>
      </c>
      <c r="O186" s="282" t="s">
        <v>23</v>
      </c>
      <c r="Q186" s="228" t="s">
        <v>1405</v>
      </c>
      <c r="S186" s="167"/>
      <c r="T186" s="92"/>
      <c r="U186" s="92"/>
      <c r="V186" s="92"/>
      <c r="W186" s="92"/>
    </row>
    <row r="187" spans="1:23" s="29" customFormat="1" ht="15.6">
      <c r="A187" s="9">
        <v>44235</v>
      </c>
      <c r="B187" s="282" t="s">
        <v>23</v>
      </c>
      <c r="C187" s="282" t="s">
        <v>1402</v>
      </c>
      <c r="D187" s="228" t="s">
        <v>31</v>
      </c>
      <c r="E187" s="303" t="s">
        <v>1090</v>
      </c>
      <c r="F187" s="304" t="s">
        <v>1091</v>
      </c>
      <c r="G187" s="56">
        <v>2</v>
      </c>
      <c r="H187" s="321">
        <v>75500</v>
      </c>
      <c r="I187" s="86">
        <f t="shared" si="12"/>
        <v>151000</v>
      </c>
      <c r="J187" s="29">
        <f t="shared" si="13"/>
        <v>45300</v>
      </c>
      <c r="K187" s="86">
        <f t="shared" si="14"/>
        <v>105700</v>
      </c>
      <c r="N187" s="92">
        <f t="shared" si="15"/>
        <v>105700</v>
      </c>
      <c r="O187" s="282" t="s">
        <v>23</v>
      </c>
      <c r="Q187" s="228" t="s">
        <v>1405</v>
      </c>
      <c r="S187" s="92"/>
      <c r="T187" s="92"/>
      <c r="U187" s="92"/>
      <c r="V187" s="92"/>
      <c r="W187" s="92"/>
    </row>
    <row r="188" spans="1:23" s="29" customFormat="1" ht="15.6">
      <c r="A188" s="9">
        <v>44235</v>
      </c>
      <c r="B188" s="282" t="s">
        <v>23</v>
      </c>
      <c r="C188" s="282" t="s">
        <v>1402</v>
      </c>
      <c r="D188" s="228" t="s">
        <v>31</v>
      </c>
      <c r="E188" s="303" t="s">
        <v>1483</v>
      </c>
      <c r="F188" s="304" t="s">
        <v>1484</v>
      </c>
      <c r="G188" s="56">
        <v>2</v>
      </c>
      <c r="H188" s="321">
        <v>65000</v>
      </c>
      <c r="I188" s="86">
        <f t="shared" si="12"/>
        <v>130000</v>
      </c>
      <c r="J188" s="29">
        <f t="shared" si="13"/>
        <v>39000</v>
      </c>
      <c r="K188" s="86">
        <f t="shared" si="14"/>
        <v>91000</v>
      </c>
      <c r="N188" s="92">
        <f t="shared" si="15"/>
        <v>91000</v>
      </c>
      <c r="O188" s="282" t="s">
        <v>23</v>
      </c>
      <c r="Q188" s="228" t="s">
        <v>1405</v>
      </c>
      <c r="S188" s="167"/>
      <c r="T188" s="92"/>
      <c r="U188" s="92"/>
      <c r="V188" s="92"/>
      <c r="W188" s="92"/>
    </row>
    <row r="189" spans="1:23" s="29" customFormat="1" ht="15.6">
      <c r="A189" s="9">
        <v>44235</v>
      </c>
      <c r="B189" s="282" t="s">
        <v>23</v>
      </c>
      <c r="C189" s="282" t="s">
        <v>1402</v>
      </c>
      <c r="D189" s="228" t="s">
        <v>31</v>
      </c>
      <c r="E189" s="303" t="s">
        <v>1485</v>
      </c>
      <c r="F189" s="303" t="s">
        <v>1486</v>
      </c>
      <c r="G189" s="56">
        <v>2</v>
      </c>
      <c r="H189" s="323">
        <v>90000</v>
      </c>
      <c r="I189" s="86">
        <f t="shared" si="12"/>
        <v>180000</v>
      </c>
      <c r="J189" s="29">
        <f t="shared" si="13"/>
        <v>54000</v>
      </c>
      <c r="K189" s="86">
        <f t="shared" si="14"/>
        <v>126000</v>
      </c>
      <c r="N189" s="92">
        <f t="shared" si="15"/>
        <v>126000</v>
      </c>
      <c r="O189" s="282" t="s">
        <v>23</v>
      </c>
      <c r="Q189" s="228" t="s">
        <v>1405</v>
      </c>
      <c r="S189" s="92"/>
      <c r="T189" s="92"/>
      <c r="U189" s="92"/>
      <c r="V189" s="92"/>
      <c r="W189" s="92"/>
    </row>
    <row r="190" spans="1:23" s="29" customFormat="1" ht="15.6">
      <c r="A190" s="9">
        <v>44235</v>
      </c>
      <c r="B190" s="282" t="s">
        <v>23</v>
      </c>
      <c r="C190" s="282" t="s">
        <v>1402</v>
      </c>
      <c r="D190" s="228" t="s">
        <v>31</v>
      </c>
      <c r="E190" s="303" t="s">
        <v>1487</v>
      </c>
      <c r="F190" s="304" t="s">
        <v>1488</v>
      </c>
      <c r="G190" s="56">
        <v>2</v>
      </c>
      <c r="H190" s="321">
        <v>67000</v>
      </c>
      <c r="I190" s="86">
        <f t="shared" si="12"/>
        <v>134000</v>
      </c>
      <c r="J190" s="29">
        <f t="shared" si="13"/>
        <v>40200</v>
      </c>
      <c r="K190" s="86">
        <f t="shared" si="14"/>
        <v>93800</v>
      </c>
      <c r="N190" s="92">
        <f t="shared" si="15"/>
        <v>93800</v>
      </c>
      <c r="O190" s="282" t="s">
        <v>23</v>
      </c>
      <c r="Q190" s="228" t="s">
        <v>1405</v>
      </c>
      <c r="S190" s="92"/>
      <c r="T190" s="92"/>
      <c r="U190" s="92"/>
      <c r="V190" s="92"/>
      <c r="W190" s="92"/>
    </row>
    <row r="191" spans="1:23" s="29" customFormat="1" ht="15.6">
      <c r="A191" s="9">
        <v>44235</v>
      </c>
      <c r="B191" s="282" t="s">
        <v>23</v>
      </c>
      <c r="C191" s="282" t="s">
        <v>1402</v>
      </c>
      <c r="D191" s="228" t="s">
        <v>31</v>
      </c>
      <c r="E191" s="303" t="s">
        <v>298</v>
      </c>
      <c r="F191" s="304" t="s">
        <v>299</v>
      </c>
      <c r="G191" s="56">
        <v>2</v>
      </c>
      <c r="H191" s="323">
        <v>77000</v>
      </c>
      <c r="I191" s="86">
        <f t="shared" si="12"/>
        <v>154000</v>
      </c>
      <c r="J191" s="29">
        <f t="shared" si="13"/>
        <v>46200</v>
      </c>
      <c r="K191" s="86">
        <f t="shared" si="14"/>
        <v>107800</v>
      </c>
      <c r="N191" s="92">
        <f t="shared" si="15"/>
        <v>107800</v>
      </c>
      <c r="O191" s="282" t="s">
        <v>23</v>
      </c>
      <c r="Q191" s="228" t="s">
        <v>1405</v>
      </c>
      <c r="S191" s="92"/>
      <c r="T191" s="92"/>
      <c r="U191" s="92"/>
      <c r="V191" s="92"/>
      <c r="W191" s="92"/>
    </row>
    <row r="192" spans="1:23" s="29" customFormat="1" ht="15.6">
      <c r="A192" s="9">
        <v>44235</v>
      </c>
      <c r="B192" s="282" t="s">
        <v>23</v>
      </c>
      <c r="C192" s="282" t="s">
        <v>1402</v>
      </c>
      <c r="D192" s="228" t="s">
        <v>31</v>
      </c>
      <c r="E192" s="303" t="s">
        <v>99</v>
      </c>
      <c r="F192" s="304" t="s">
        <v>120</v>
      </c>
      <c r="G192" s="330">
        <v>2</v>
      </c>
      <c r="H192" s="323">
        <v>71500</v>
      </c>
      <c r="I192" s="86">
        <f t="shared" si="12"/>
        <v>143000</v>
      </c>
      <c r="J192" s="29">
        <f t="shared" si="13"/>
        <v>42900</v>
      </c>
      <c r="K192" s="86">
        <f t="shared" si="14"/>
        <v>100100</v>
      </c>
      <c r="L192" s="44"/>
      <c r="M192" s="92"/>
      <c r="N192" s="92">
        <f t="shared" si="15"/>
        <v>100100</v>
      </c>
      <c r="O192" s="282" t="s">
        <v>23</v>
      </c>
      <c r="P192" s="105"/>
      <c r="Q192" s="228" t="s">
        <v>1405</v>
      </c>
      <c r="R192" s="92"/>
      <c r="S192" s="23"/>
      <c r="T192" s="92"/>
      <c r="U192" s="92"/>
      <c r="V192" s="92"/>
      <c r="W192" s="92"/>
    </row>
    <row r="193" spans="1:23" s="29" customFormat="1">
      <c r="A193" s="9">
        <v>44235</v>
      </c>
      <c r="B193" s="282" t="s">
        <v>23</v>
      </c>
      <c r="C193" s="282" t="s">
        <v>1402</v>
      </c>
      <c r="D193" s="228" t="s">
        <v>31</v>
      </c>
      <c r="E193" s="305" t="s">
        <v>1489</v>
      </c>
      <c r="F193" s="310" t="s">
        <v>1490</v>
      </c>
      <c r="G193" s="330">
        <v>2</v>
      </c>
      <c r="H193" s="323">
        <v>83000</v>
      </c>
      <c r="I193" s="86">
        <f t="shared" si="12"/>
        <v>166000</v>
      </c>
      <c r="J193" s="29">
        <f t="shared" si="13"/>
        <v>49800</v>
      </c>
      <c r="K193" s="86">
        <f t="shared" si="14"/>
        <v>116200</v>
      </c>
      <c r="L193" s="183"/>
      <c r="M193" s="92"/>
      <c r="N193" s="92">
        <f t="shared" si="15"/>
        <v>116200</v>
      </c>
      <c r="O193" s="282" t="s">
        <v>23</v>
      </c>
      <c r="P193" s="92"/>
      <c r="Q193" s="228" t="s">
        <v>1405</v>
      </c>
      <c r="R193" s="92"/>
      <c r="S193" s="92"/>
      <c r="T193" s="92"/>
      <c r="U193" s="92"/>
      <c r="V193" s="92"/>
      <c r="W193" s="92"/>
    </row>
    <row r="194" spans="1:23" s="29" customFormat="1" ht="15.6" hidden="1">
      <c r="A194" s="9">
        <v>44236</v>
      </c>
      <c r="B194" s="10" t="s">
        <v>43</v>
      </c>
      <c r="C194" s="11" t="s">
        <v>1491</v>
      </c>
      <c r="D194" s="228" t="s">
        <v>1492</v>
      </c>
      <c r="E194" s="10" t="s">
        <v>1493</v>
      </c>
      <c r="F194" s="33" t="s">
        <v>1494</v>
      </c>
      <c r="G194" s="56">
        <v>1</v>
      </c>
      <c r="H194" s="175">
        <v>84500</v>
      </c>
      <c r="I194" s="171">
        <f t="shared" si="12"/>
        <v>84500</v>
      </c>
      <c r="J194" s="228"/>
      <c r="K194" s="331">
        <f t="shared" si="14"/>
        <v>84500</v>
      </c>
      <c r="L194" s="332">
        <v>7000</v>
      </c>
      <c r="M194" s="92">
        <v>-3659</v>
      </c>
      <c r="N194" s="92">
        <f t="shared" si="15"/>
        <v>87841</v>
      </c>
      <c r="O194" s="10" t="s">
        <v>43</v>
      </c>
      <c r="P194" s="100" t="s">
        <v>1495</v>
      </c>
      <c r="Q194" s="10" t="s">
        <v>54</v>
      </c>
      <c r="R194" s="92"/>
      <c r="S194" s="37" t="s">
        <v>1496</v>
      </c>
      <c r="T194" s="92"/>
      <c r="U194" s="92"/>
      <c r="V194" s="92"/>
      <c r="W194" s="92"/>
    </row>
    <row r="195" spans="1:23" s="29" customFormat="1" ht="15.6" hidden="1">
      <c r="A195" s="9">
        <v>44236</v>
      </c>
      <c r="B195" s="10" t="s">
        <v>43</v>
      </c>
      <c r="C195" s="11" t="s">
        <v>1497</v>
      </c>
      <c r="D195" s="228" t="s">
        <v>1498</v>
      </c>
      <c r="E195" s="22" t="s">
        <v>345</v>
      </c>
      <c r="F195" s="22" t="s">
        <v>346</v>
      </c>
      <c r="G195" s="56">
        <v>1</v>
      </c>
      <c r="H195" s="175">
        <v>66000</v>
      </c>
      <c r="I195" s="171">
        <f t="shared" si="12"/>
        <v>66000</v>
      </c>
      <c r="J195" s="228"/>
      <c r="K195" s="159">
        <f t="shared" si="14"/>
        <v>66000</v>
      </c>
      <c r="L195" s="191">
        <v>13000</v>
      </c>
      <c r="M195" s="92">
        <v>-2858</v>
      </c>
      <c r="N195" s="92">
        <f t="shared" si="15"/>
        <v>76142</v>
      </c>
      <c r="O195" s="10" t="s">
        <v>43</v>
      </c>
      <c r="P195" s="100" t="s">
        <v>1499</v>
      </c>
      <c r="Q195" s="10" t="s">
        <v>54</v>
      </c>
      <c r="R195" s="92"/>
      <c r="S195" s="228" t="s">
        <v>1500</v>
      </c>
      <c r="T195" s="92"/>
      <c r="U195" s="92"/>
      <c r="V195" s="92"/>
      <c r="W195" s="92"/>
    </row>
    <row r="196" spans="1:23" s="29" customFormat="1" ht="15.6" hidden="1">
      <c r="A196" s="9">
        <v>44236</v>
      </c>
      <c r="B196" s="10" t="s">
        <v>43</v>
      </c>
      <c r="C196" s="11" t="s">
        <v>1501</v>
      </c>
      <c r="D196" s="228" t="s">
        <v>1502</v>
      </c>
      <c r="E196" s="15" t="s">
        <v>493</v>
      </c>
      <c r="F196" s="15" t="s">
        <v>494</v>
      </c>
      <c r="G196" s="56">
        <v>1</v>
      </c>
      <c r="H196" s="175">
        <v>67500</v>
      </c>
      <c r="I196" s="171">
        <f t="shared" si="12"/>
        <v>67500</v>
      </c>
      <c r="J196" s="228"/>
      <c r="K196" s="159">
        <f t="shared" si="14"/>
        <v>67500</v>
      </c>
      <c r="L196" s="72"/>
      <c r="M196" s="92">
        <v>-2923</v>
      </c>
      <c r="N196" s="92">
        <f t="shared" si="15"/>
        <v>64577</v>
      </c>
      <c r="O196" s="10" t="s">
        <v>43</v>
      </c>
      <c r="P196" s="228" t="s">
        <v>1503</v>
      </c>
      <c r="Q196" s="10" t="s">
        <v>54</v>
      </c>
      <c r="R196" s="92"/>
      <c r="S196" s="228" t="s">
        <v>1504</v>
      </c>
      <c r="T196" s="92"/>
      <c r="U196" s="92"/>
      <c r="V196" s="92"/>
      <c r="W196" s="92"/>
    </row>
    <row r="197" spans="1:23" s="29" customFormat="1" ht="15.6" hidden="1">
      <c r="A197" s="9">
        <v>44236</v>
      </c>
      <c r="B197" s="10" t="s">
        <v>43</v>
      </c>
      <c r="C197" s="10" t="s">
        <v>1505</v>
      </c>
      <c r="D197" s="228" t="s">
        <v>1506</v>
      </c>
      <c r="E197" s="22" t="s">
        <v>306</v>
      </c>
      <c r="F197" s="22" t="s">
        <v>307</v>
      </c>
      <c r="G197" s="56">
        <v>2</v>
      </c>
      <c r="H197" s="175">
        <v>90500</v>
      </c>
      <c r="I197" s="171">
        <f t="shared" si="12"/>
        <v>181000</v>
      </c>
      <c r="J197" s="228">
        <f>I197*20%</f>
        <v>36200</v>
      </c>
      <c r="K197" s="159">
        <f t="shared" si="14"/>
        <v>144800</v>
      </c>
      <c r="L197" s="191"/>
      <c r="M197" s="92">
        <v>-6270</v>
      </c>
      <c r="N197" s="92">
        <f t="shared" si="15"/>
        <v>138530</v>
      </c>
      <c r="O197" s="10" t="s">
        <v>43</v>
      </c>
      <c r="P197" s="228" t="s">
        <v>1507</v>
      </c>
      <c r="Q197" s="10" t="s">
        <v>54</v>
      </c>
      <c r="R197" s="92"/>
      <c r="S197" s="37" t="s">
        <v>1508</v>
      </c>
      <c r="T197" s="92"/>
      <c r="U197" s="92"/>
      <c r="V197" s="92"/>
      <c r="W197" s="92"/>
    </row>
    <row r="198" spans="1:23" s="29" customFormat="1" ht="15.6" hidden="1">
      <c r="A198" s="9">
        <v>44236</v>
      </c>
      <c r="B198" s="10" t="s">
        <v>170</v>
      </c>
      <c r="C198" s="11" t="s">
        <v>1509</v>
      </c>
      <c r="D198" s="228" t="s">
        <v>1510</v>
      </c>
      <c r="E198" s="15" t="s">
        <v>1387</v>
      </c>
      <c r="F198" s="15" t="s">
        <v>1388</v>
      </c>
      <c r="G198" s="56">
        <v>1</v>
      </c>
      <c r="H198" s="175">
        <v>79000</v>
      </c>
      <c r="I198" s="171">
        <f t="shared" si="12"/>
        <v>79000</v>
      </c>
      <c r="K198" s="159">
        <f t="shared" si="14"/>
        <v>79000</v>
      </c>
      <c r="L198" s="29">
        <f>13000-13000</f>
        <v>0</v>
      </c>
      <c r="N198" s="92">
        <f t="shared" si="15"/>
        <v>79000</v>
      </c>
      <c r="O198" s="10" t="s">
        <v>170</v>
      </c>
      <c r="P198" s="118" t="s">
        <v>1511</v>
      </c>
      <c r="Q198" s="10" t="s">
        <v>176</v>
      </c>
      <c r="R198" s="92"/>
      <c r="S198" s="103" t="s">
        <v>1511</v>
      </c>
      <c r="T198" s="92"/>
      <c r="U198" s="92"/>
      <c r="V198" s="92"/>
      <c r="W198" s="92"/>
    </row>
    <row r="199" spans="1:23" s="29" customFormat="1" ht="15.6" hidden="1">
      <c r="A199" s="9">
        <v>44236</v>
      </c>
      <c r="B199" s="10" t="s">
        <v>177</v>
      </c>
      <c r="C199" s="10" t="s">
        <v>1512</v>
      </c>
      <c r="D199" s="228" t="s">
        <v>1513</v>
      </c>
      <c r="E199" s="22" t="s">
        <v>1514</v>
      </c>
      <c r="F199" s="94" t="s">
        <v>1515</v>
      </c>
      <c r="G199" s="56">
        <v>1</v>
      </c>
      <c r="H199" s="175">
        <v>84000</v>
      </c>
      <c r="I199" s="171">
        <f t="shared" si="12"/>
        <v>84000</v>
      </c>
      <c r="J199" s="29">
        <f>I199*20%</f>
        <v>16800</v>
      </c>
      <c r="K199" s="159">
        <f t="shared" si="14"/>
        <v>67200</v>
      </c>
      <c r="L199" s="29">
        <v>9000</v>
      </c>
      <c r="N199" s="92">
        <f t="shared" si="15"/>
        <v>76200</v>
      </c>
      <c r="O199" s="10" t="s">
        <v>177</v>
      </c>
      <c r="P199" s="95">
        <v>542840361063862</v>
      </c>
      <c r="Q199" s="10" t="s">
        <v>54</v>
      </c>
      <c r="R199" s="92"/>
      <c r="S199" s="12" t="s">
        <v>1516</v>
      </c>
      <c r="T199" s="92"/>
      <c r="U199" s="92"/>
      <c r="V199" s="92"/>
      <c r="W199" s="92"/>
    </row>
    <row r="200" spans="1:23" s="29" customFormat="1" ht="16.8" hidden="1">
      <c r="A200" s="9">
        <v>44236</v>
      </c>
      <c r="B200" s="10" t="s">
        <v>313</v>
      </c>
      <c r="C200" s="70" t="s">
        <v>1517</v>
      </c>
      <c r="D200" s="228" t="s">
        <v>1518</v>
      </c>
      <c r="E200" s="15" t="s">
        <v>1519</v>
      </c>
      <c r="F200" s="15" t="s">
        <v>1520</v>
      </c>
      <c r="G200" s="56">
        <v>1</v>
      </c>
      <c r="H200" s="175">
        <v>217000</v>
      </c>
      <c r="I200" s="171">
        <f t="shared" si="12"/>
        <v>217000</v>
      </c>
      <c r="K200" s="159">
        <f t="shared" si="14"/>
        <v>217000</v>
      </c>
      <c r="L200" s="29">
        <v>6075</v>
      </c>
      <c r="N200" s="92">
        <f t="shared" si="15"/>
        <v>223075</v>
      </c>
      <c r="O200" s="10" t="s">
        <v>313</v>
      </c>
      <c r="P200" s="95"/>
      <c r="Q200" s="10" t="s">
        <v>28</v>
      </c>
      <c r="R200" s="92"/>
      <c r="S200" s="12"/>
      <c r="T200" s="92"/>
      <c r="U200" s="92"/>
      <c r="V200" s="92"/>
      <c r="W200" s="92"/>
    </row>
    <row r="201" spans="1:23" s="29" customFormat="1" ht="16.8" hidden="1">
      <c r="A201" s="9">
        <v>44236</v>
      </c>
      <c r="B201" s="10" t="s">
        <v>313</v>
      </c>
      <c r="C201" s="182" t="s">
        <v>1521</v>
      </c>
      <c r="D201" s="228" t="s">
        <v>1522</v>
      </c>
      <c r="E201" s="10" t="s">
        <v>201</v>
      </c>
      <c r="F201" s="15" t="s">
        <v>202</v>
      </c>
      <c r="G201" s="56">
        <v>1</v>
      </c>
      <c r="H201" s="175">
        <v>67600</v>
      </c>
      <c r="I201" s="171">
        <f t="shared" si="12"/>
        <v>67600</v>
      </c>
      <c r="J201" s="29">
        <f>I201*20%</f>
        <v>13520</v>
      </c>
      <c r="K201" s="159">
        <f t="shared" si="14"/>
        <v>54080</v>
      </c>
      <c r="L201" s="29">
        <v>39039</v>
      </c>
      <c r="N201" s="92">
        <f t="shared" si="15"/>
        <v>93119</v>
      </c>
      <c r="O201" s="10" t="s">
        <v>313</v>
      </c>
      <c r="P201" s="95"/>
      <c r="Q201" s="10" t="s">
        <v>40</v>
      </c>
      <c r="R201" s="92"/>
      <c r="S201" s="12"/>
      <c r="T201" s="92"/>
      <c r="U201" s="92"/>
      <c r="V201" s="92"/>
      <c r="W201" s="92"/>
    </row>
    <row r="202" spans="1:23" s="29" customFormat="1" ht="16.8" hidden="1">
      <c r="A202" s="9">
        <v>44236</v>
      </c>
      <c r="B202" s="10" t="s">
        <v>313</v>
      </c>
      <c r="C202" s="70" t="s">
        <v>1523</v>
      </c>
      <c r="D202" s="228" t="s">
        <v>1524</v>
      </c>
      <c r="E202" s="15" t="s">
        <v>1525</v>
      </c>
      <c r="F202" s="15" t="s">
        <v>1526</v>
      </c>
      <c r="G202" s="56">
        <v>1</v>
      </c>
      <c r="H202" s="175">
        <v>52000</v>
      </c>
      <c r="I202" s="171">
        <f t="shared" si="12"/>
        <v>52000</v>
      </c>
      <c r="K202" s="159">
        <f t="shared" si="14"/>
        <v>52000</v>
      </c>
      <c r="L202" s="29">
        <v>6013</v>
      </c>
      <c r="N202" s="92">
        <f t="shared" si="15"/>
        <v>58013</v>
      </c>
      <c r="O202" s="10" t="s">
        <v>313</v>
      </c>
      <c r="P202" s="228"/>
      <c r="Q202" s="10" t="s">
        <v>28</v>
      </c>
      <c r="R202" s="92"/>
      <c r="S202" s="329"/>
      <c r="T202" s="92"/>
      <c r="U202" s="92"/>
      <c r="V202" s="92"/>
      <c r="W202" s="92"/>
    </row>
    <row r="203" spans="1:23" s="29" customFormat="1" ht="16.8" hidden="1">
      <c r="A203" s="9">
        <v>44236</v>
      </c>
      <c r="B203" s="10" t="s">
        <v>313</v>
      </c>
      <c r="C203" s="70" t="s">
        <v>1527</v>
      </c>
      <c r="D203" s="228" t="s">
        <v>1528</v>
      </c>
      <c r="E203" s="311" t="s">
        <v>1529</v>
      </c>
      <c r="F203" s="15" t="s">
        <v>1530</v>
      </c>
      <c r="G203" s="56">
        <v>1</v>
      </c>
      <c r="H203" s="175">
        <v>104000</v>
      </c>
      <c r="I203" s="171">
        <f t="shared" si="12"/>
        <v>104000</v>
      </c>
      <c r="K203" s="159">
        <f t="shared" si="14"/>
        <v>104000</v>
      </c>
      <c r="L203" s="29">
        <v>7026</v>
      </c>
      <c r="N203" s="92">
        <f t="shared" si="15"/>
        <v>111026</v>
      </c>
      <c r="O203" s="10" t="s">
        <v>313</v>
      </c>
      <c r="Q203" s="10" t="s">
        <v>28</v>
      </c>
      <c r="R203" s="92"/>
      <c r="S203" s="169"/>
      <c r="T203" s="92"/>
      <c r="U203" s="92"/>
      <c r="V203" s="92"/>
      <c r="W203" s="92"/>
    </row>
    <row r="204" spans="1:23" s="29" customFormat="1" ht="16.8" hidden="1">
      <c r="A204" s="9">
        <v>44236</v>
      </c>
      <c r="B204" s="10" t="s">
        <v>313</v>
      </c>
      <c r="C204" s="70" t="s">
        <v>1531</v>
      </c>
      <c r="D204" s="228" t="s">
        <v>1532</v>
      </c>
      <c r="E204" s="311" t="s">
        <v>1529</v>
      </c>
      <c r="F204" s="15" t="s">
        <v>1530</v>
      </c>
      <c r="G204" s="56">
        <v>1</v>
      </c>
      <c r="H204" s="175">
        <v>104000</v>
      </c>
      <c r="I204" s="171">
        <f t="shared" si="12"/>
        <v>104000</v>
      </c>
      <c r="K204" s="159">
        <f t="shared" si="14"/>
        <v>104000</v>
      </c>
      <c r="L204" s="29">
        <v>17077</v>
      </c>
      <c r="N204" s="92">
        <f t="shared" si="15"/>
        <v>121077</v>
      </c>
      <c r="O204" s="10" t="s">
        <v>313</v>
      </c>
      <c r="Q204" s="10" t="s">
        <v>1533</v>
      </c>
      <c r="R204" s="92"/>
      <c r="S204" s="92"/>
      <c r="T204" s="92"/>
      <c r="U204" s="92"/>
      <c r="V204" s="92"/>
      <c r="W204" s="92"/>
    </row>
    <row r="205" spans="1:23" s="29" customFormat="1" ht="15.6">
      <c r="A205" s="9">
        <v>44236</v>
      </c>
      <c r="B205" s="10" t="s">
        <v>23</v>
      </c>
      <c r="C205" s="11" t="s">
        <v>1534</v>
      </c>
      <c r="D205" s="228" t="s">
        <v>1535</v>
      </c>
      <c r="E205" s="46" t="s">
        <v>1536</v>
      </c>
      <c r="F205" s="46" t="s">
        <v>1537</v>
      </c>
      <c r="G205" s="56">
        <v>1</v>
      </c>
      <c r="H205" s="175">
        <v>138000</v>
      </c>
      <c r="I205" s="171">
        <f t="shared" si="12"/>
        <v>138000</v>
      </c>
      <c r="K205" s="159">
        <f t="shared" si="14"/>
        <v>138000</v>
      </c>
      <c r="L205" s="29">
        <v>5000</v>
      </c>
      <c r="N205" s="92">
        <f t="shared" si="15"/>
        <v>143000</v>
      </c>
      <c r="O205" s="10" t="s">
        <v>23</v>
      </c>
      <c r="P205" s="333"/>
      <c r="Q205" s="10" t="s">
        <v>28</v>
      </c>
      <c r="R205" s="92"/>
      <c r="S205" s="12"/>
      <c r="T205" s="92"/>
      <c r="U205" s="92"/>
      <c r="V205" s="92"/>
      <c r="W205" s="92"/>
    </row>
    <row r="206" spans="1:23" s="29" customFormat="1" ht="15.6">
      <c r="A206" s="9">
        <v>44236</v>
      </c>
      <c r="B206" s="10" t="s">
        <v>23</v>
      </c>
      <c r="C206" s="11" t="s">
        <v>1534</v>
      </c>
      <c r="D206" s="228" t="s">
        <v>1535</v>
      </c>
      <c r="E206" s="46" t="s">
        <v>1538</v>
      </c>
      <c r="F206" s="46" t="s">
        <v>1537</v>
      </c>
      <c r="G206" s="56">
        <v>1</v>
      </c>
      <c r="H206" s="175">
        <v>96000</v>
      </c>
      <c r="I206" s="171">
        <f t="shared" si="12"/>
        <v>96000</v>
      </c>
      <c r="K206" s="159">
        <f t="shared" si="14"/>
        <v>96000</v>
      </c>
      <c r="N206" s="92">
        <f t="shared" si="15"/>
        <v>96000</v>
      </c>
      <c r="O206" s="10" t="s">
        <v>23</v>
      </c>
      <c r="Q206" s="10" t="s">
        <v>28</v>
      </c>
      <c r="R206" s="92"/>
      <c r="S206" s="44"/>
      <c r="T206" s="92"/>
      <c r="U206" s="92"/>
      <c r="V206" s="92"/>
      <c r="W206" s="92"/>
    </row>
    <row r="207" spans="1:23" s="29" customFormat="1" ht="15.6">
      <c r="A207" s="9">
        <v>44236</v>
      </c>
      <c r="B207" s="10" t="s">
        <v>23</v>
      </c>
      <c r="C207" s="11" t="s">
        <v>1539</v>
      </c>
      <c r="D207" s="228" t="s">
        <v>1540</v>
      </c>
      <c r="E207" s="22" t="s">
        <v>1541</v>
      </c>
      <c r="F207" s="94" t="s">
        <v>1542</v>
      </c>
      <c r="G207" s="56">
        <v>1</v>
      </c>
      <c r="H207" s="175">
        <v>102500</v>
      </c>
      <c r="I207" s="171">
        <f t="shared" si="12"/>
        <v>102500</v>
      </c>
      <c r="K207" s="159">
        <f t="shared" si="14"/>
        <v>102500</v>
      </c>
      <c r="L207" s="29">
        <v>45000</v>
      </c>
      <c r="N207" s="92">
        <f t="shared" si="15"/>
        <v>147500</v>
      </c>
      <c r="O207" s="10" t="s">
        <v>23</v>
      </c>
      <c r="Q207" s="10" t="s">
        <v>40</v>
      </c>
      <c r="R207" s="92"/>
      <c r="S207" s="92"/>
      <c r="T207" s="92"/>
      <c r="U207" s="92"/>
      <c r="V207" s="92"/>
      <c r="W207" s="92"/>
    </row>
    <row r="208" spans="1:23" s="29" customFormat="1" ht="15.6" hidden="1">
      <c r="A208" s="9">
        <v>44236</v>
      </c>
      <c r="B208" s="10" t="s">
        <v>43</v>
      </c>
      <c r="C208" s="11" t="s">
        <v>1543</v>
      </c>
      <c r="D208" s="228" t="s">
        <v>1544</v>
      </c>
      <c r="E208" s="22" t="s">
        <v>345</v>
      </c>
      <c r="F208" s="22" t="s">
        <v>346</v>
      </c>
      <c r="G208" s="245">
        <v>1</v>
      </c>
      <c r="H208" s="175">
        <v>66000</v>
      </c>
      <c r="I208" s="281">
        <f t="shared" si="12"/>
        <v>66000</v>
      </c>
      <c r="K208" s="159">
        <f t="shared" si="14"/>
        <v>66000</v>
      </c>
      <c r="L208" s="29">
        <v>20000</v>
      </c>
      <c r="M208" s="29">
        <v>-2858</v>
      </c>
      <c r="N208" s="92">
        <f t="shared" si="15"/>
        <v>83142</v>
      </c>
      <c r="O208" s="10" t="s">
        <v>43</v>
      </c>
      <c r="P208" s="227" t="s">
        <v>1545</v>
      </c>
      <c r="Q208" s="10" t="s">
        <v>54</v>
      </c>
      <c r="R208" s="92"/>
      <c r="S208" s="227" t="s">
        <v>1546</v>
      </c>
      <c r="T208" s="92"/>
      <c r="U208" s="92"/>
      <c r="V208" s="92"/>
      <c r="W208" s="92"/>
    </row>
    <row r="209" spans="1:23" s="29" customFormat="1" ht="15.6">
      <c r="A209" s="9">
        <v>44236</v>
      </c>
      <c r="B209" s="10" t="s">
        <v>23</v>
      </c>
      <c r="C209" s="11" t="s">
        <v>1547</v>
      </c>
      <c r="D209" s="228" t="s">
        <v>1548</v>
      </c>
      <c r="E209" s="312" t="s">
        <v>1549</v>
      </c>
      <c r="F209" s="312" t="s">
        <v>1550</v>
      </c>
      <c r="G209" s="245">
        <v>1</v>
      </c>
      <c r="H209" s="175">
        <v>90000</v>
      </c>
      <c r="I209" s="281">
        <f t="shared" si="12"/>
        <v>90000</v>
      </c>
      <c r="K209" s="159">
        <f t="shared" si="14"/>
        <v>90000</v>
      </c>
      <c r="L209" s="29">
        <f>17000-17000</f>
        <v>0</v>
      </c>
      <c r="N209" s="92">
        <f t="shared" si="15"/>
        <v>90000</v>
      </c>
      <c r="O209" s="10" t="s">
        <v>23</v>
      </c>
      <c r="Q209" s="10" t="s">
        <v>40</v>
      </c>
      <c r="R209" s="92"/>
      <c r="S209" s="329"/>
      <c r="T209" s="92"/>
      <c r="U209" s="92"/>
      <c r="V209" s="92"/>
      <c r="W209" s="92"/>
    </row>
    <row r="210" spans="1:23" s="29" customFormat="1" ht="15.6">
      <c r="A210" s="9">
        <v>44236</v>
      </c>
      <c r="B210" s="10" t="s">
        <v>23</v>
      </c>
      <c r="C210" s="11" t="s">
        <v>1547</v>
      </c>
      <c r="D210" s="228" t="s">
        <v>1548</v>
      </c>
      <c r="E210" s="312" t="s">
        <v>1551</v>
      </c>
      <c r="F210" s="312" t="s">
        <v>1550</v>
      </c>
      <c r="G210" s="245">
        <v>1</v>
      </c>
      <c r="H210" s="175">
        <v>100000</v>
      </c>
      <c r="I210" s="281">
        <f t="shared" si="12"/>
        <v>100000</v>
      </c>
      <c r="K210" s="159">
        <f t="shared" si="14"/>
        <v>100000</v>
      </c>
      <c r="N210" s="92">
        <f t="shared" si="15"/>
        <v>100000</v>
      </c>
      <c r="O210" s="10" t="s">
        <v>23</v>
      </c>
      <c r="Q210" s="10" t="s">
        <v>40</v>
      </c>
      <c r="R210" s="92"/>
      <c r="S210" s="92"/>
      <c r="T210" s="92"/>
      <c r="U210" s="92"/>
      <c r="V210" s="92"/>
      <c r="W210" s="92"/>
    </row>
    <row r="211" spans="1:23" s="29" customFormat="1" ht="15.6">
      <c r="A211" s="9">
        <v>44236</v>
      </c>
      <c r="B211" s="10" t="s">
        <v>23</v>
      </c>
      <c r="C211" s="11" t="s">
        <v>1547</v>
      </c>
      <c r="D211" s="228" t="s">
        <v>1548</v>
      </c>
      <c r="E211" s="312" t="s">
        <v>1552</v>
      </c>
      <c r="F211" s="312" t="s">
        <v>1553</v>
      </c>
      <c r="G211" s="245">
        <v>1</v>
      </c>
      <c r="H211" s="175">
        <v>140000</v>
      </c>
      <c r="I211" s="281">
        <f t="shared" si="12"/>
        <v>140000</v>
      </c>
      <c r="K211" s="159">
        <f t="shared" si="14"/>
        <v>140000</v>
      </c>
      <c r="N211" s="92">
        <f t="shared" si="15"/>
        <v>140000</v>
      </c>
      <c r="O211" s="10" t="s">
        <v>23</v>
      </c>
      <c r="Q211" s="10" t="s">
        <v>40</v>
      </c>
      <c r="R211" s="92"/>
      <c r="S211" s="92"/>
      <c r="T211" s="92"/>
      <c r="U211" s="92"/>
      <c r="V211" s="92"/>
      <c r="W211" s="92"/>
    </row>
    <row r="212" spans="1:23" s="29" customFormat="1" ht="15.6" hidden="1">
      <c r="A212" s="9">
        <v>44237</v>
      </c>
      <c r="B212" s="10" t="s">
        <v>43</v>
      </c>
      <c r="C212" s="11" t="s">
        <v>1554</v>
      </c>
      <c r="D212" s="228" t="s">
        <v>1555</v>
      </c>
      <c r="E212" s="74" t="s">
        <v>1556</v>
      </c>
      <c r="F212" s="15" t="s">
        <v>1557</v>
      </c>
      <c r="G212" s="245">
        <v>1</v>
      </c>
      <c r="H212" s="175">
        <v>71000</v>
      </c>
      <c r="I212" s="281">
        <f t="shared" si="12"/>
        <v>71000</v>
      </c>
      <c r="K212" s="159">
        <f t="shared" si="14"/>
        <v>71000</v>
      </c>
      <c r="L212" s="29">
        <v>24000</v>
      </c>
      <c r="M212" s="29">
        <v>-3074</v>
      </c>
      <c r="N212" s="92">
        <f t="shared" si="15"/>
        <v>91926</v>
      </c>
      <c r="O212" s="10" t="s">
        <v>43</v>
      </c>
      <c r="P212" s="228" t="s">
        <v>1558</v>
      </c>
      <c r="Q212" s="10" t="s">
        <v>40</v>
      </c>
      <c r="R212" s="92"/>
      <c r="S212" s="37" t="s">
        <v>1559</v>
      </c>
      <c r="T212" s="92"/>
      <c r="U212" s="92"/>
      <c r="V212" s="92"/>
      <c r="W212" s="92"/>
    </row>
    <row r="213" spans="1:23" s="29" customFormat="1" ht="15.6" hidden="1">
      <c r="A213" s="9">
        <v>44237</v>
      </c>
      <c r="B213" s="10" t="s">
        <v>43</v>
      </c>
      <c r="C213" s="11" t="s">
        <v>1560</v>
      </c>
      <c r="D213" s="228" t="s">
        <v>1561</v>
      </c>
      <c r="E213" s="289" t="s">
        <v>1562</v>
      </c>
      <c r="F213" s="273" t="s">
        <v>1563</v>
      </c>
      <c r="G213" s="245">
        <v>1</v>
      </c>
      <c r="H213" s="175">
        <v>68500</v>
      </c>
      <c r="I213" s="281">
        <f t="shared" si="12"/>
        <v>68500</v>
      </c>
      <c r="K213" s="334">
        <f t="shared" si="14"/>
        <v>68500</v>
      </c>
      <c r="L213" s="92">
        <v>1000</v>
      </c>
      <c r="M213" s="92">
        <v>-2967</v>
      </c>
      <c r="N213" s="92">
        <f t="shared" si="15"/>
        <v>66533</v>
      </c>
      <c r="O213" s="10" t="s">
        <v>43</v>
      </c>
      <c r="P213" s="112" t="s">
        <v>1564</v>
      </c>
      <c r="Q213" s="10" t="s">
        <v>54</v>
      </c>
      <c r="R213" s="92"/>
      <c r="S213" s="37" t="s">
        <v>1565</v>
      </c>
      <c r="T213" s="92"/>
      <c r="U213" s="92"/>
      <c r="V213" s="92"/>
      <c r="W213" s="92"/>
    </row>
    <row r="214" spans="1:23" s="29" customFormat="1" ht="15.6" hidden="1">
      <c r="A214" s="9">
        <v>44237</v>
      </c>
      <c r="B214" s="10" t="s">
        <v>313</v>
      </c>
      <c r="C214" s="10" t="s">
        <v>1566</v>
      </c>
      <c r="D214" s="228" t="s">
        <v>1567</v>
      </c>
      <c r="E214" s="15" t="s">
        <v>1568</v>
      </c>
      <c r="F214" s="33" t="s">
        <v>1569</v>
      </c>
      <c r="G214" s="245">
        <v>1</v>
      </c>
      <c r="H214" s="175">
        <v>73500</v>
      </c>
      <c r="I214" s="281">
        <f t="shared" si="12"/>
        <v>73500</v>
      </c>
      <c r="J214" s="29">
        <f>I214*20%</f>
        <v>14700</v>
      </c>
      <c r="K214" s="119">
        <f t="shared" si="14"/>
        <v>58800</v>
      </c>
      <c r="L214" s="92">
        <v>7084</v>
      </c>
      <c r="M214" s="92"/>
      <c r="N214" s="92">
        <f t="shared" si="15"/>
        <v>65884</v>
      </c>
      <c r="O214" s="10" t="s">
        <v>313</v>
      </c>
      <c r="P214" s="44"/>
      <c r="Q214" s="10" t="s">
        <v>28</v>
      </c>
      <c r="R214" s="92"/>
      <c r="S214" s="329"/>
      <c r="T214" s="92"/>
      <c r="U214" s="92"/>
      <c r="V214" s="92"/>
      <c r="W214" s="92"/>
    </row>
    <row r="215" spans="1:23" s="29" customFormat="1" ht="15.6">
      <c r="A215" s="9">
        <v>44237</v>
      </c>
      <c r="B215" s="10" t="s">
        <v>23</v>
      </c>
      <c r="C215" s="11" t="s">
        <v>1570</v>
      </c>
      <c r="D215" s="228" t="s">
        <v>1571</v>
      </c>
      <c r="E215" s="74" t="s">
        <v>489</v>
      </c>
      <c r="F215" s="15" t="s">
        <v>490</v>
      </c>
      <c r="G215" s="245">
        <v>2</v>
      </c>
      <c r="H215" s="175">
        <v>72000</v>
      </c>
      <c r="I215" s="281">
        <f t="shared" si="12"/>
        <v>144000</v>
      </c>
      <c r="K215" s="119">
        <f t="shared" si="14"/>
        <v>144000</v>
      </c>
      <c r="L215" s="92">
        <v>8000</v>
      </c>
      <c r="M215" s="92"/>
      <c r="N215" s="92">
        <f t="shared" si="15"/>
        <v>152000</v>
      </c>
      <c r="O215" s="10" t="s">
        <v>23</v>
      </c>
      <c r="P215" s="44"/>
      <c r="Q215" s="10" t="s">
        <v>28</v>
      </c>
      <c r="R215" s="92"/>
      <c r="S215" s="329"/>
      <c r="T215" s="92"/>
      <c r="U215" s="92"/>
      <c r="V215" s="92"/>
      <c r="W215" s="92"/>
    </row>
    <row r="216" spans="1:23" s="29" customFormat="1" ht="15.75" customHeight="1">
      <c r="A216" s="9">
        <v>44237</v>
      </c>
      <c r="B216" s="10" t="s">
        <v>23</v>
      </c>
      <c r="C216" s="11" t="s">
        <v>1572</v>
      </c>
      <c r="D216" s="228" t="s">
        <v>1573</v>
      </c>
      <c r="E216" s="313" t="s">
        <v>1529</v>
      </c>
      <c r="F216" s="15" t="s">
        <v>1530</v>
      </c>
      <c r="G216" s="245">
        <v>1</v>
      </c>
      <c r="H216" s="175">
        <v>104000</v>
      </c>
      <c r="I216" s="281">
        <f t="shared" ref="I216:I279" si="16">G216*H216</f>
        <v>104000</v>
      </c>
      <c r="K216" s="119">
        <f t="shared" si="14"/>
        <v>104000</v>
      </c>
      <c r="L216" s="92">
        <v>10000</v>
      </c>
      <c r="N216" s="92">
        <f t="shared" si="15"/>
        <v>114000</v>
      </c>
      <c r="O216" s="10" t="s">
        <v>23</v>
      </c>
      <c r="P216" s="44"/>
      <c r="Q216" s="10" t="s">
        <v>54</v>
      </c>
      <c r="S216" s="329"/>
    </row>
    <row r="217" spans="1:23" s="29" customFormat="1" ht="15.6" hidden="1">
      <c r="A217" s="9">
        <v>44237</v>
      </c>
      <c r="B217" s="10" t="s">
        <v>313</v>
      </c>
      <c r="C217" s="11" t="s">
        <v>1574</v>
      </c>
      <c r="D217" s="23" t="s">
        <v>1575</v>
      </c>
      <c r="E217" s="74" t="s">
        <v>489</v>
      </c>
      <c r="F217" s="15" t="s">
        <v>490</v>
      </c>
      <c r="G217" s="245">
        <v>1</v>
      </c>
      <c r="H217" s="175">
        <v>72000</v>
      </c>
      <c r="I217" s="281">
        <f t="shared" si="16"/>
        <v>72000</v>
      </c>
      <c r="K217" s="119">
        <f t="shared" si="14"/>
        <v>72000</v>
      </c>
      <c r="L217" s="92">
        <v>8066</v>
      </c>
      <c r="N217" s="92">
        <f t="shared" si="15"/>
        <v>80066</v>
      </c>
      <c r="O217" s="10" t="s">
        <v>313</v>
      </c>
      <c r="P217" s="335"/>
      <c r="Q217" s="10" t="s">
        <v>28</v>
      </c>
      <c r="R217" s="329"/>
      <c r="S217" s="335"/>
    </row>
    <row r="218" spans="1:23" s="29" customFormat="1" ht="15.6" hidden="1">
      <c r="A218" s="9">
        <v>44238</v>
      </c>
      <c r="B218" s="10" t="s">
        <v>43</v>
      </c>
      <c r="C218" s="11" t="s">
        <v>1576</v>
      </c>
      <c r="D218" s="23" t="s">
        <v>1577</v>
      </c>
      <c r="E218" s="74" t="s">
        <v>1578</v>
      </c>
      <c r="F218" s="314" t="s">
        <v>1579</v>
      </c>
      <c r="G218" s="56">
        <v>1</v>
      </c>
      <c r="H218" s="175">
        <v>106000</v>
      </c>
      <c r="I218" s="281">
        <f t="shared" si="16"/>
        <v>106000</v>
      </c>
      <c r="K218" s="119">
        <f t="shared" si="14"/>
        <v>106000</v>
      </c>
      <c r="L218" s="92">
        <v>10000</v>
      </c>
      <c r="M218" s="29">
        <v>-4590</v>
      </c>
      <c r="N218" s="92">
        <f t="shared" si="15"/>
        <v>111410</v>
      </c>
      <c r="O218" s="10" t="s">
        <v>43</v>
      </c>
      <c r="P218" s="100" t="s">
        <v>1580</v>
      </c>
      <c r="Q218" s="10" t="s">
        <v>54</v>
      </c>
      <c r="R218" s="335"/>
      <c r="S218" s="228" t="s">
        <v>1581</v>
      </c>
    </row>
    <row r="219" spans="1:23" s="29" customFormat="1" ht="15.6" hidden="1">
      <c r="A219" s="9">
        <v>44238</v>
      </c>
      <c r="B219" s="10" t="s">
        <v>43</v>
      </c>
      <c r="C219" s="10" t="s">
        <v>1582</v>
      </c>
      <c r="D219" s="228" t="s">
        <v>1583</v>
      </c>
      <c r="E219" s="74" t="s">
        <v>489</v>
      </c>
      <c r="F219" s="74" t="s">
        <v>490</v>
      </c>
      <c r="G219" s="56">
        <v>1</v>
      </c>
      <c r="H219" s="175">
        <v>72000</v>
      </c>
      <c r="I219" s="281">
        <f t="shared" si="16"/>
        <v>72000</v>
      </c>
      <c r="K219" s="119">
        <f t="shared" si="14"/>
        <v>72000</v>
      </c>
      <c r="L219" s="92">
        <v>23000</v>
      </c>
      <c r="M219" s="29">
        <v>-3118</v>
      </c>
      <c r="N219" s="92">
        <f t="shared" si="15"/>
        <v>91882</v>
      </c>
      <c r="O219" s="10" t="s">
        <v>43</v>
      </c>
      <c r="P219" s="100" t="s">
        <v>1584</v>
      </c>
      <c r="Q219" s="10" t="s">
        <v>54</v>
      </c>
      <c r="S219" s="37" t="s">
        <v>1585</v>
      </c>
    </row>
    <row r="220" spans="1:23" s="29" customFormat="1" ht="15.6" hidden="1">
      <c r="A220" s="9">
        <v>44238</v>
      </c>
      <c r="B220" s="10" t="s">
        <v>43</v>
      </c>
      <c r="C220" s="11" t="s">
        <v>1586</v>
      </c>
      <c r="D220" s="228" t="s">
        <v>1587</v>
      </c>
      <c r="E220" s="74" t="s">
        <v>489</v>
      </c>
      <c r="F220" s="74" t="s">
        <v>490</v>
      </c>
      <c r="G220" s="56">
        <v>1</v>
      </c>
      <c r="H220" s="175">
        <v>72000</v>
      </c>
      <c r="I220" s="281">
        <f t="shared" si="16"/>
        <v>72000</v>
      </c>
      <c r="K220" s="119">
        <f t="shared" si="14"/>
        <v>72000</v>
      </c>
      <c r="L220" s="92">
        <v>3000</v>
      </c>
      <c r="M220" s="29">
        <v>-3118</v>
      </c>
      <c r="N220" s="92">
        <f t="shared" si="15"/>
        <v>71882</v>
      </c>
      <c r="O220" s="10" t="s">
        <v>43</v>
      </c>
      <c r="P220" s="95" t="s">
        <v>1588</v>
      </c>
      <c r="Q220" s="10" t="s">
        <v>54</v>
      </c>
      <c r="S220" s="12" t="s">
        <v>1589</v>
      </c>
    </row>
    <row r="221" spans="1:23" s="29" customFormat="1" ht="15.6" hidden="1">
      <c r="A221" s="9">
        <v>44238</v>
      </c>
      <c r="B221" s="10" t="s">
        <v>43</v>
      </c>
      <c r="C221" s="10" t="s">
        <v>1590</v>
      </c>
      <c r="D221" s="228" t="s">
        <v>1591</v>
      </c>
      <c r="E221" s="74" t="s">
        <v>489</v>
      </c>
      <c r="F221" s="74" t="s">
        <v>490</v>
      </c>
      <c r="G221" s="56">
        <v>1</v>
      </c>
      <c r="H221" s="175">
        <v>72000</v>
      </c>
      <c r="I221" s="281">
        <f t="shared" si="16"/>
        <v>72000</v>
      </c>
      <c r="K221" s="84">
        <f t="shared" si="14"/>
        <v>72000</v>
      </c>
      <c r="L221" s="92">
        <v>25000</v>
      </c>
      <c r="M221" s="29">
        <v>-3118</v>
      </c>
      <c r="N221" s="92">
        <f t="shared" si="15"/>
        <v>93882</v>
      </c>
      <c r="O221" s="10" t="s">
        <v>43</v>
      </c>
      <c r="P221" s="95" t="s">
        <v>1592</v>
      </c>
      <c r="Q221" s="10" t="s">
        <v>54</v>
      </c>
      <c r="S221" s="12" t="s">
        <v>1593</v>
      </c>
    </row>
    <row r="222" spans="1:23" s="29" customFormat="1" ht="15.6" hidden="1">
      <c r="A222" s="9">
        <v>44238</v>
      </c>
      <c r="B222" s="10" t="s">
        <v>43</v>
      </c>
      <c r="C222" s="11" t="s">
        <v>1594</v>
      </c>
      <c r="D222" s="228" t="s">
        <v>1595</v>
      </c>
      <c r="E222" s="74" t="s">
        <v>489</v>
      </c>
      <c r="F222" s="74" t="s">
        <v>490</v>
      </c>
      <c r="G222" s="56">
        <v>1</v>
      </c>
      <c r="H222" s="175">
        <v>72000</v>
      </c>
      <c r="I222" s="281">
        <f t="shared" si="16"/>
        <v>72000</v>
      </c>
      <c r="K222" s="86">
        <f t="shared" si="14"/>
        <v>72000</v>
      </c>
      <c r="L222" s="92">
        <v>23000</v>
      </c>
      <c r="M222" s="29">
        <v>-3118</v>
      </c>
      <c r="N222" s="92">
        <f t="shared" si="15"/>
        <v>91882</v>
      </c>
      <c r="O222" s="10" t="s">
        <v>43</v>
      </c>
      <c r="P222" s="100" t="s">
        <v>1596</v>
      </c>
      <c r="Q222" s="10" t="s">
        <v>54</v>
      </c>
      <c r="S222" s="37" t="s">
        <v>1597</v>
      </c>
    </row>
    <row r="223" spans="1:23" s="29" customFormat="1" ht="15.6" hidden="1">
      <c r="A223" s="9">
        <v>44238</v>
      </c>
      <c r="B223" s="10" t="s">
        <v>43</v>
      </c>
      <c r="C223" s="11" t="s">
        <v>1598</v>
      </c>
      <c r="D223" s="228" t="s">
        <v>1599</v>
      </c>
      <c r="E223" s="74" t="s">
        <v>489</v>
      </c>
      <c r="F223" s="74" t="s">
        <v>490</v>
      </c>
      <c r="G223" s="56">
        <v>1</v>
      </c>
      <c r="H223" s="175">
        <v>72000</v>
      </c>
      <c r="I223" s="281">
        <f t="shared" si="16"/>
        <v>72000</v>
      </c>
      <c r="K223" s="86">
        <f t="shared" si="14"/>
        <v>72000</v>
      </c>
      <c r="L223" s="92">
        <v>15000</v>
      </c>
      <c r="M223" s="29">
        <v>-3118</v>
      </c>
      <c r="N223" s="92">
        <f t="shared" si="15"/>
        <v>83882</v>
      </c>
      <c r="O223" s="10" t="s">
        <v>43</v>
      </c>
      <c r="P223" s="228" t="s">
        <v>1600</v>
      </c>
      <c r="Q223" s="10" t="s">
        <v>54</v>
      </c>
      <c r="S223" s="228" t="s">
        <v>1601</v>
      </c>
    </row>
    <row r="224" spans="1:23" s="29" customFormat="1" ht="15.6" hidden="1">
      <c r="A224" s="9">
        <v>44238</v>
      </c>
      <c r="B224" s="10" t="s">
        <v>43</v>
      </c>
      <c r="C224" s="11" t="s">
        <v>1602</v>
      </c>
      <c r="D224" s="228" t="s">
        <v>1603</v>
      </c>
      <c r="E224" s="74" t="s">
        <v>489</v>
      </c>
      <c r="F224" s="74" t="s">
        <v>490</v>
      </c>
      <c r="G224" s="56">
        <v>1</v>
      </c>
      <c r="H224" s="175">
        <v>72000</v>
      </c>
      <c r="I224" s="281">
        <f t="shared" si="16"/>
        <v>72000</v>
      </c>
      <c r="K224" s="86">
        <f t="shared" si="14"/>
        <v>72000</v>
      </c>
      <c r="L224" s="92">
        <v>15000</v>
      </c>
      <c r="M224" s="29">
        <v>-3118</v>
      </c>
      <c r="N224" s="92">
        <f t="shared" si="15"/>
        <v>83882</v>
      </c>
      <c r="O224" s="10" t="s">
        <v>43</v>
      </c>
      <c r="P224" s="100" t="s">
        <v>1604</v>
      </c>
      <c r="Q224" s="10" t="s">
        <v>54</v>
      </c>
      <c r="S224" s="37" t="s">
        <v>1605</v>
      </c>
    </row>
    <row r="225" spans="1:19" s="29" customFormat="1" ht="15.6" hidden="1">
      <c r="A225" s="9">
        <v>44238</v>
      </c>
      <c r="B225" s="10" t="s">
        <v>170</v>
      </c>
      <c r="C225" s="10" t="s">
        <v>1606</v>
      </c>
      <c r="D225" s="228" t="s">
        <v>1607</v>
      </c>
      <c r="E225" s="74" t="s">
        <v>1608</v>
      </c>
      <c r="F225" s="315" t="s">
        <v>1609</v>
      </c>
      <c r="G225" s="56">
        <v>1</v>
      </c>
      <c r="H225" s="175">
        <v>107000</v>
      </c>
      <c r="I225" s="281">
        <f t="shared" si="16"/>
        <v>107000</v>
      </c>
      <c r="K225" s="86">
        <f t="shared" si="14"/>
        <v>107000</v>
      </c>
      <c r="L225" s="29">
        <f>13000-13000</f>
        <v>0</v>
      </c>
      <c r="N225" s="92">
        <f t="shared" si="15"/>
        <v>107000</v>
      </c>
      <c r="O225" s="10" t="s">
        <v>170</v>
      </c>
      <c r="P225" s="227" t="s">
        <v>1610</v>
      </c>
      <c r="Q225" s="10" t="s">
        <v>478</v>
      </c>
      <c r="S225" s="227" t="s">
        <v>1610</v>
      </c>
    </row>
    <row r="226" spans="1:19" s="29" customFormat="1" ht="15.6">
      <c r="A226" s="9">
        <v>44238</v>
      </c>
      <c r="B226" s="10" t="s">
        <v>23</v>
      </c>
      <c r="C226" s="10" t="s">
        <v>1611</v>
      </c>
      <c r="D226" s="228" t="s">
        <v>1612</v>
      </c>
      <c r="E226" s="311" t="s">
        <v>1529</v>
      </c>
      <c r="F226" s="15" t="s">
        <v>1530</v>
      </c>
      <c r="G226" s="56">
        <v>2</v>
      </c>
      <c r="H226" s="175">
        <v>104000</v>
      </c>
      <c r="I226" s="281">
        <f t="shared" si="16"/>
        <v>208000</v>
      </c>
      <c r="K226" s="86">
        <f t="shared" si="14"/>
        <v>208000</v>
      </c>
      <c r="L226" s="29">
        <v>110000</v>
      </c>
      <c r="N226" s="92">
        <f t="shared" si="15"/>
        <v>318000</v>
      </c>
      <c r="O226" s="10" t="s">
        <v>23</v>
      </c>
      <c r="Q226" s="10" t="s">
        <v>40</v>
      </c>
    </row>
    <row r="227" spans="1:19" s="29" customFormat="1" ht="15.6" hidden="1">
      <c r="A227" s="9">
        <v>44238</v>
      </c>
      <c r="B227" s="10" t="s">
        <v>206</v>
      </c>
      <c r="C227" s="11" t="s">
        <v>1613</v>
      </c>
      <c r="D227" s="228" t="s">
        <v>1614</v>
      </c>
      <c r="E227" s="316" t="s">
        <v>85</v>
      </c>
      <c r="F227" s="317" t="s">
        <v>108</v>
      </c>
      <c r="G227" s="56">
        <v>1</v>
      </c>
      <c r="H227" s="175">
        <v>83000</v>
      </c>
      <c r="I227" s="281">
        <f t="shared" si="16"/>
        <v>83000</v>
      </c>
      <c r="K227" s="86">
        <f t="shared" si="14"/>
        <v>83000</v>
      </c>
      <c r="L227" s="29">
        <v>15400</v>
      </c>
      <c r="N227" s="92">
        <f t="shared" si="15"/>
        <v>98400</v>
      </c>
      <c r="O227" s="10" t="s">
        <v>206</v>
      </c>
      <c r="P227" s="95" t="s">
        <v>1615</v>
      </c>
      <c r="Q227" s="10" t="s">
        <v>40</v>
      </c>
      <c r="S227" s="12" t="s">
        <v>1616</v>
      </c>
    </row>
    <row r="228" spans="1:19" s="29" customFormat="1" ht="15.6" hidden="1">
      <c r="A228" s="9">
        <v>44238</v>
      </c>
      <c r="B228" s="10" t="s">
        <v>206</v>
      </c>
      <c r="C228" s="11" t="s">
        <v>1613</v>
      </c>
      <c r="D228" s="228" t="s">
        <v>1614</v>
      </c>
      <c r="E228" s="316" t="s">
        <v>105</v>
      </c>
      <c r="F228" s="316" t="s">
        <v>123</v>
      </c>
      <c r="G228" s="56">
        <v>1</v>
      </c>
      <c r="H228" s="175">
        <v>93000</v>
      </c>
      <c r="I228" s="281">
        <f t="shared" si="16"/>
        <v>93000</v>
      </c>
      <c r="K228" s="86">
        <f t="shared" si="14"/>
        <v>93000</v>
      </c>
      <c r="N228" s="92">
        <f t="shared" si="15"/>
        <v>93000</v>
      </c>
      <c r="O228" s="10" t="s">
        <v>206</v>
      </c>
      <c r="P228" s="95" t="s">
        <v>1617</v>
      </c>
      <c r="Q228" s="10" t="s">
        <v>40</v>
      </c>
      <c r="S228" s="12" t="s">
        <v>1616</v>
      </c>
    </row>
    <row r="229" spans="1:19" s="29" customFormat="1" ht="15.6" hidden="1">
      <c r="A229" s="9">
        <v>44238</v>
      </c>
      <c r="B229" s="10" t="s">
        <v>206</v>
      </c>
      <c r="C229" s="11" t="s">
        <v>1613</v>
      </c>
      <c r="D229" s="228" t="s">
        <v>1614</v>
      </c>
      <c r="E229" s="25" t="s">
        <v>83</v>
      </c>
      <c r="F229" s="59" t="s">
        <v>1618</v>
      </c>
      <c r="G229" s="56">
        <v>1</v>
      </c>
      <c r="H229" s="175">
        <v>64500</v>
      </c>
      <c r="I229" s="281">
        <f t="shared" si="16"/>
        <v>64500</v>
      </c>
      <c r="K229" s="86">
        <f t="shared" si="14"/>
        <v>64500</v>
      </c>
      <c r="N229" s="92">
        <f t="shared" ref="N229:N292" si="17">K229+L229+M229</f>
        <v>64500</v>
      </c>
      <c r="O229" s="10" t="s">
        <v>206</v>
      </c>
      <c r="P229" s="95" t="s">
        <v>1619</v>
      </c>
      <c r="Q229" s="10" t="s">
        <v>40</v>
      </c>
      <c r="S229" s="12" t="s">
        <v>1616</v>
      </c>
    </row>
    <row r="230" spans="1:19" s="29" customFormat="1" ht="15.6" hidden="1">
      <c r="A230" s="9">
        <v>44238</v>
      </c>
      <c r="B230" s="10" t="s">
        <v>206</v>
      </c>
      <c r="C230" s="11" t="s">
        <v>1613</v>
      </c>
      <c r="D230" s="228" t="s">
        <v>1614</v>
      </c>
      <c r="E230" s="25" t="s">
        <v>95</v>
      </c>
      <c r="F230" s="25" t="s">
        <v>117</v>
      </c>
      <c r="G230" s="56">
        <v>1</v>
      </c>
      <c r="H230" s="175">
        <v>75000</v>
      </c>
      <c r="I230" s="281">
        <f t="shared" si="16"/>
        <v>75000</v>
      </c>
      <c r="K230" s="86">
        <f t="shared" si="14"/>
        <v>75000</v>
      </c>
      <c r="L230" s="92"/>
      <c r="N230" s="92">
        <f t="shared" si="17"/>
        <v>75000</v>
      </c>
      <c r="O230" s="10" t="s">
        <v>206</v>
      </c>
      <c r="P230" s="95" t="s">
        <v>1620</v>
      </c>
      <c r="Q230" s="10" t="s">
        <v>40</v>
      </c>
      <c r="S230" s="12" t="s">
        <v>1616</v>
      </c>
    </row>
    <row r="231" spans="1:19" s="29" customFormat="1" ht="15.6" hidden="1">
      <c r="A231" s="9">
        <v>44238</v>
      </c>
      <c r="B231" s="10" t="s">
        <v>43</v>
      </c>
      <c r="C231" s="11" t="s">
        <v>1621</v>
      </c>
      <c r="D231" s="228" t="s">
        <v>1622</v>
      </c>
      <c r="E231" s="74" t="s">
        <v>489</v>
      </c>
      <c r="F231" s="74" t="s">
        <v>490</v>
      </c>
      <c r="G231" s="56">
        <v>1</v>
      </c>
      <c r="H231" s="175">
        <v>72000</v>
      </c>
      <c r="I231" s="281">
        <f t="shared" si="16"/>
        <v>72000</v>
      </c>
      <c r="K231" s="86">
        <f t="shared" si="14"/>
        <v>72000</v>
      </c>
      <c r="L231" s="92">
        <v>25000</v>
      </c>
      <c r="M231" s="29">
        <v>-3118</v>
      </c>
      <c r="N231" s="92">
        <f t="shared" si="17"/>
        <v>93882</v>
      </c>
      <c r="O231" s="10" t="s">
        <v>43</v>
      </c>
      <c r="P231" s="95" t="s">
        <v>1623</v>
      </c>
      <c r="Q231" s="10" t="s">
        <v>54</v>
      </c>
      <c r="S231" s="12" t="s">
        <v>1624</v>
      </c>
    </row>
    <row r="232" spans="1:19" s="29" customFormat="1" ht="15.6" customHeight="1">
      <c r="A232" s="9">
        <v>44238</v>
      </c>
      <c r="B232" s="10" t="s">
        <v>23</v>
      </c>
      <c r="C232" s="10" t="s">
        <v>1625</v>
      </c>
      <c r="D232" s="72" t="s">
        <v>1626</v>
      </c>
      <c r="E232" s="289" t="s">
        <v>1627</v>
      </c>
      <c r="F232" s="289" t="s">
        <v>1628</v>
      </c>
      <c r="G232" s="56">
        <v>1</v>
      </c>
      <c r="H232" s="175">
        <v>114000</v>
      </c>
      <c r="I232" s="336">
        <f t="shared" si="16"/>
        <v>114000</v>
      </c>
      <c r="K232" s="86">
        <f t="shared" si="14"/>
        <v>114000</v>
      </c>
      <c r="L232" s="92">
        <v>16000</v>
      </c>
      <c r="N232" s="92">
        <f t="shared" si="17"/>
        <v>130000</v>
      </c>
      <c r="O232" s="10" t="s">
        <v>23</v>
      </c>
      <c r="Q232" s="10" t="s">
        <v>54</v>
      </c>
    </row>
    <row r="233" spans="1:19" s="29" customFormat="1" ht="15" customHeight="1">
      <c r="A233" s="9">
        <v>44238</v>
      </c>
      <c r="B233" s="10" t="s">
        <v>23</v>
      </c>
      <c r="C233" s="10" t="s">
        <v>1629</v>
      </c>
      <c r="D233" s="192" t="s">
        <v>9414</v>
      </c>
      <c r="E233" s="74" t="s">
        <v>1630</v>
      </c>
      <c r="F233" s="74" t="s">
        <v>1631</v>
      </c>
      <c r="G233" s="245">
        <v>2</v>
      </c>
      <c r="H233" s="175">
        <v>109000</v>
      </c>
      <c r="I233" s="336">
        <f t="shared" si="16"/>
        <v>218000</v>
      </c>
      <c r="K233" s="86">
        <f t="shared" si="14"/>
        <v>218000</v>
      </c>
      <c r="L233" s="29">
        <v>19000</v>
      </c>
      <c r="N233" s="92">
        <f t="shared" si="17"/>
        <v>237000</v>
      </c>
      <c r="O233" s="10" t="s">
        <v>23</v>
      </c>
      <c r="Q233" s="10" t="s">
        <v>54</v>
      </c>
      <c r="S233" s="110"/>
    </row>
    <row r="234" spans="1:19" s="29" customFormat="1" ht="14.4" hidden="1" customHeight="1">
      <c r="A234" s="9">
        <v>44238</v>
      </c>
      <c r="B234" s="10" t="s">
        <v>43</v>
      </c>
      <c r="C234" s="10" t="s">
        <v>1632</v>
      </c>
      <c r="D234" s="72" t="s">
        <v>1633</v>
      </c>
      <c r="E234" s="15" t="s">
        <v>1042</v>
      </c>
      <c r="F234" s="15" t="s">
        <v>1043</v>
      </c>
      <c r="G234" s="245">
        <v>1</v>
      </c>
      <c r="H234" s="175">
        <v>115500</v>
      </c>
      <c r="I234" s="336">
        <f t="shared" si="16"/>
        <v>115500</v>
      </c>
      <c r="K234" s="86">
        <f t="shared" si="14"/>
        <v>115500</v>
      </c>
      <c r="L234" s="29">
        <v>13000</v>
      </c>
      <c r="M234" s="29">
        <v>-5002</v>
      </c>
      <c r="N234" s="92">
        <f t="shared" si="17"/>
        <v>123498</v>
      </c>
      <c r="O234" s="10" t="s">
        <v>43</v>
      </c>
      <c r="P234" s="100" t="s">
        <v>1634</v>
      </c>
      <c r="Q234" s="10" t="s">
        <v>54</v>
      </c>
      <c r="S234" s="12" t="s">
        <v>1635</v>
      </c>
    </row>
    <row r="235" spans="1:19" s="29" customFormat="1" ht="15.6">
      <c r="A235" s="9">
        <v>44238</v>
      </c>
      <c r="B235" s="10" t="s">
        <v>23</v>
      </c>
      <c r="C235" s="10" t="s">
        <v>1636</v>
      </c>
      <c r="D235" s="72" t="s">
        <v>1637</v>
      </c>
      <c r="E235" s="22" t="s">
        <v>325</v>
      </c>
      <c r="F235" s="22" t="s">
        <v>326</v>
      </c>
      <c r="G235" s="245">
        <v>1</v>
      </c>
      <c r="H235" s="175">
        <v>129000</v>
      </c>
      <c r="I235" s="336">
        <f t="shared" si="16"/>
        <v>129000</v>
      </c>
      <c r="J235" s="29">
        <f>I235*20%</f>
        <v>25800</v>
      </c>
      <c r="K235" s="86">
        <f t="shared" si="14"/>
        <v>103200</v>
      </c>
      <c r="L235" s="29">
        <v>17000</v>
      </c>
      <c r="N235" s="92">
        <f t="shared" si="17"/>
        <v>120200</v>
      </c>
      <c r="O235" s="10" t="s">
        <v>23</v>
      </c>
      <c r="Q235" s="10" t="s">
        <v>40</v>
      </c>
      <c r="S235" s="12"/>
    </row>
    <row r="236" spans="1:19" s="29" customFormat="1" ht="15.6">
      <c r="A236" s="9">
        <v>44238</v>
      </c>
      <c r="B236" s="10" t="s">
        <v>23</v>
      </c>
      <c r="C236" s="10" t="s">
        <v>1638</v>
      </c>
      <c r="D236" s="72" t="s">
        <v>1639</v>
      </c>
      <c r="E236" s="311" t="s">
        <v>1529</v>
      </c>
      <c r="F236" s="15" t="s">
        <v>1530</v>
      </c>
      <c r="G236" s="245">
        <v>1</v>
      </c>
      <c r="H236" s="175">
        <v>104000</v>
      </c>
      <c r="I236" s="336">
        <f t="shared" si="16"/>
        <v>104000</v>
      </c>
      <c r="K236" s="86">
        <f t="shared" si="14"/>
        <v>104000</v>
      </c>
      <c r="L236" s="29">
        <v>38000</v>
      </c>
      <c r="N236" s="92">
        <f t="shared" si="17"/>
        <v>142000</v>
      </c>
      <c r="O236" s="10" t="s">
        <v>23</v>
      </c>
      <c r="Q236" s="10" t="s">
        <v>40</v>
      </c>
    </row>
    <row r="237" spans="1:19" s="29" customFormat="1" ht="15.6" hidden="1">
      <c r="A237" s="9">
        <v>44238</v>
      </c>
      <c r="B237" s="10" t="s">
        <v>29</v>
      </c>
      <c r="C237" s="10" t="s">
        <v>1640</v>
      </c>
      <c r="D237" s="72" t="s">
        <v>31</v>
      </c>
      <c r="E237" s="15" t="s">
        <v>1641</v>
      </c>
      <c r="F237" s="33" t="s">
        <v>1642</v>
      </c>
      <c r="G237" s="245">
        <v>1</v>
      </c>
      <c r="H237" s="175">
        <v>171000</v>
      </c>
      <c r="I237" s="336">
        <f t="shared" si="16"/>
        <v>171000</v>
      </c>
      <c r="K237" s="86">
        <f t="shared" ref="K237:K300" si="18">I237-J237</f>
        <v>171000</v>
      </c>
      <c r="N237" s="92">
        <f t="shared" si="17"/>
        <v>171000</v>
      </c>
      <c r="O237" s="10" t="s">
        <v>29</v>
      </c>
      <c r="Q237" s="10" t="s">
        <v>35</v>
      </c>
      <c r="S237" s="329"/>
    </row>
    <row r="238" spans="1:19" s="29" customFormat="1" ht="15.6" hidden="1">
      <c r="A238" s="9">
        <v>44238</v>
      </c>
      <c r="B238" s="10" t="s">
        <v>29</v>
      </c>
      <c r="C238" s="10" t="s">
        <v>1643</v>
      </c>
      <c r="D238" s="72" t="s">
        <v>31</v>
      </c>
      <c r="E238" s="272" t="s">
        <v>1644</v>
      </c>
      <c r="F238" s="33" t="s">
        <v>1645</v>
      </c>
      <c r="G238" s="245">
        <v>1</v>
      </c>
      <c r="H238" s="175">
        <v>102000</v>
      </c>
      <c r="I238" s="336">
        <f t="shared" si="16"/>
        <v>102000</v>
      </c>
      <c r="J238" s="29">
        <f>I238*10%</f>
        <v>10200</v>
      </c>
      <c r="K238" s="86">
        <f t="shared" si="18"/>
        <v>91800</v>
      </c>
      <c r="N238" s="92">
        <f t="shared" si="17"/>
        <v>91800</v>
      </c>
      <c r="O238" s="10" t="s">
        <v>29</v>
      </c>
      <c r="Q238" s="10" t="s">
        <v>35</v>
      </c>
    </row>
    <row r="239" spans="1:19" s="29" customFormat="1" ht="15.6" hidden="1">
      <c r="A239" s="9">
        <v>44238</v>
      </c>
      <c r="B239" s="10" t="s">
        <v>43</v>
      </c>
      <c r="C239" s="11" t="s">
        <v>1646</v>
      </c>
      <c r="D239" s="72" t="s">
        <v>1647</v>
      </c>
      <c r="E239" s="15" t="s">
        <v>1648</v>
      </c>
      <c r="F239" s="15" t="s">
        <v>1649</v>
      </c>
      <c r="G239" s="245">
        <v>1</v>
      </c>
      <c r="H239" s="175">
        <v>145000</v>
      </c>
      <c r="I239" s="336">
        <f t="shared" si="16"/>
        <v>145000</v>
      </c>
      <c r="K239" s="86">
        <f t="shared" si="18"/>
        <v>145000</v>
      </c>
      <c r="L239" s="92"/>
      <c r="M239" s="29">
        <v>-6279</v>
      </c>
      <c r="N239" s="92">
        <f t="shared" si="17"/>
        <v>138721</v>
      </c>
      <c r="O239" s="10" t="s">
        <v>43</v>
      </c>
      <c r="P239" s="228" t="s">
        <v>1650</v>
      </c>
      <c r="Q239" s="10" t="s">
        <v>54</v>
      </c>
      <c r="S239" s="228" t="s">
        <v>1651</v>
      </c>
    </row>
    <row r="240" spans="1:19" s="29" customFormat="1" ht="15.6" hidden="1">
      <c r="A240" s="9">
        <v>44238</v>
      </c>
      <c r="B240" s="91" t="s">
        <v>43</v>
      </c>
      <c r="C240" s="287" t="s">
        <v>1652</v>
      </c>
      <c r="D240" s="72" t="s">
        <v>1653</v>
      </c>
      <c r="E240" s="15" t="s">
        <v>1654</v>
      </c>
      <c r="F240" s="15" t="s">
        <v>1655</v>
      </c>
      <c r="G240" s="245">
        <v>1</v>
      </c>
      <c r="H240" s="175">
        <v>63000</v>
      </c>
      <c r="I240" s="336">
        <f t="shared" si="16"/>
        <v>63000</v>
      </c>
      <c r="K240" s="86">
        <f t="shared" si="18"/>
        <v>63000</v>
      </c>
      <c r="L240" s="92"/>
      <c r="M240" s="29">
        <v>-2728</v>
      </c>
      <c r="N240" s="92">
        <f t="shared" si="17"/>
        <v>60272</v>
      </c>
      <c r="O240" s="91" t="s">
        <v>43</v>
      </c>
      <c r="P240" s="100" t="s">
        <v>1656</v>
      </c>
      <c r="Q240" s="242" t="s">
        <v>54</v>
      </c>
      <c r="S240" s="228" t="s">
        <v>1657</v>
      </c>
    </row>
    <row r="241" spans="1:19" s="29" customFormat="1" ht="15.6">
      <c r="A241" s="9">
        <v>44238</v>
      </c>
      <c r="B241" s="337" t="s">
        <v>23</v>
      </c>
      <c r="C241" s="337" t="s">
        <v>1658</v>
      </c>
      <c r="D241" s="72" t="s">
        <v>31</v>
      </c>
      <c r="E241" s="156" t="s">
        <v>1536</v>
      </c>
      <c r="F241" s="156" t="s">
        <v>1537</v>
      </c>
      <c r="G241" s="319">
        <v>1</v>
      </c>
      <c r="H241" s="175">
        <v>138000</v>
      </c>
      <c r="I241" s="336">
        <f t="shared" si="16"/>
        <v>138000</v>
      </c>
      <c r="K241" s="86">
        <f t="shared" si="18"/>
        <v>138000</v>
      </c>
      <c r="L241" s="92"/>
      <c r="N241" s="92">
        <f t="shared" si="17"/>
        <v>138000</v>
      </c>
      <c r="O241" s="337" t="s">
        <v>23</v>
      </c>
      <c r="Q241" s="337" t="s">
        <v>35</v>
      </c>
    </row>
    <row r="242" spans="1:19" s="20" customFormat="1" ht="15.6" hidden="1">
      <c r="A242" s="9">
        <v>44242</v>
      </c>
      <c r="B242" s="10" t="s">
        <v>43</v>
      </c>
      <c r="C242" s="11" t="s">
        <v>1659</v>
      </c>
      <c r="D242" s="72" t="s">
        <v>1660</v>
      </c>
      <c r="E242" s="74" t="s">
        <v>489</v>
      </c>
      <c r="F242" s="74" t="s">
        <v>490</v>
      </c>
      <c r="G242" s="330">
        <v>1</v>
      </c>
      <c r="H242" s="175">
        <v>72000</v>
      </c>
      <c r="I242" s="338">
        <f t="shared" si="16"/>
        <v>72000</v>
      </c>
      <c r="K242" s="86">
        <f t="shared" si="18"/>
        <v>72000</v>
      </c>
      <c r="L242" s="17">
        <v>13000</v>
      </c>
      <c r="M242" s="20">
        <v>-3118</v>
      </c>
      <c r="N242" s="92">
        <f t="shared" si="17"/>
        <v>81882</v>
      </c>
      <c r="O242" s="10" t="s">
        <v>43</v>
      </c>
      <c r="P242" s="31" t="s">
        <v>1661</v>
      </c>
      <c r="Q242" s="10" t="s">
        <v>54</v>
      </c>
      <c r="S242" s="32" t="s">
        <v>1662</v>
      </c>
    </row>
    <row r="243" spans="1:19" s="20" customFormat="1" ht="16.8" hidden="1">
      <c r="A243" s="9">
        <v>44242</v>
      </c>
      <c r="B243" s="10" t="s">
        <v>43</v>
      </c>
      <c r="C243" s="11" t="s">
        <v>1663</v>
      </c>
      <c r="D243" s="237" t="s">
        <v>1664</v>
      </c>
      <c r="E243" s="14" t="s">
        <v>1371</v>
      </c>
      <c r="F243" s="339" t="s">
        <v>1372</v>
      </c>
      <c r="G243" s="330">
        <v>1</v>
      </c>
      <c r="H243" s="175">
        <v>98000</v>
      </c>
      <c r="I243" s="338">
        <f t="shared" si="16"/>
        <v>98000</v>
      </c>
      <c r="K243" s="86">
        <f t="shared" si="18"/>
        <v>98000</v>
      </c>
      <c r="L243" s="17">
        <v>13000</v>
      </c>
      <c r="M243" s="20">
        <v>-4243</v>
      </c>
      <c r="N243" s="92">
        <f t="shared" si="17"/>
        <v>106757</v>
      </c>
      <c r="O243" s="10" t="s">
        <v>43</v>
      </c>
      <c r="P243" s="198" t="s">
        <v>1665</v>
      </c>
      <c r="Q243" s="10" t="s">
        <v>54</v>
      </c>
      <c r="S243" s="244" t="s">
        <v>1666</v>
      </c>
    </row>
    <row r="244" spans="1:19" s="20" customFormat="1" ht="15.6" hidden="1">
      <c r="A244" s="9">
        <v>44242</v>
      </c>
      <c r="B244" s="10" t="s">
        <v>43</v>
      </c>
      <c r="C244" s="10" t="s">
        <v>1667</v>
      </c>
      <c r="D244" s="228" t="s">
        <v>1668</v>
      </c>
      <c r="E244" s="74" t="s">
        <v>1669</v>
      </c>
      <c r="F244" s="340" t="s">
        <v>1670</v>
      </c>
      <c r="G244" s="330">
        <v>1</v>
      </c>
      <c r="H244" s="175">
        <v>81000</v>
      </c>
      <c r="I244" s="338">
        <f t="shared" si="16"/>
        <v>81000</v>
      </c>
      <c r="K244" s="86">
        <f t="shared" si="18"/>
        <v>81000</v>
      </c>
      <c r="L244" s="17">
        <v>17500</v>
      </c>
      <c r="M244" s="20">
        <v>-3507</v>
      </c>
      <c r="N244" s="92">
        <f t="shared" si="17"/>
        <v>94993</v>
      </c>
      <c r="O244" s="10" t="s">
        <v>43</v>
      </c>
      <c r="P244" s="244" t="s">
        <v>1671</v>
      </c>
      <c r="Q244" s="10" t="s">
        <v>54</v>
      </c>
      <c r="S244" s="32" t="s">
        <v>1672</v>
      </c>
    </row>
    <row r="245" spans="1:19" s="20" customFormat="1" ht="15.6" hidden="1">
      <c r="A245" s="9">
        <v>44242</v>
      </c>
      <c r="B245" s="10" t="s">
        <v>43</v>
      </c>
      <c r="C245" s="11" t="s">
        <v>1673</v>
      </c>
      <c r="D245" s="228" t="s">
        <v>1674</v>
      </c>
      <c r="E245" s="14" t="s">
        <v>1371</v>
      </c>
      <c r="F245" s="339" t="s">
        <v>1372</v>
      </c>
      <c r="G245" s="330">
        <v>1</v>
      </c>
      <c r="H245" s="175">
        <v>98000</v>
      </c>
      <c r="I245" s="338">
        <f t="shared" si="16"/>
        <v>98000</v>
      </c>
      <c r="K245" s="86">
        <f t="shared" si="18"/>
        <v>98000</v>
      </c>
      <c r="L245" s="17">
        <v>23000</v>
      </c>
      <c r="M245" s="20">
        <v>-4243</v>
      </c>
      <c r="N245" s="92">
        <f t="shared" si="17"/>
        <v>116757</v>
      </c>
      <c r="O245" s="10" t="s">
        <v>43</v>
      </c>
      <c r="P245" s="198" t="s">
        <v>1675</v>
      </c>
      <c r="Q245" s="10" t="s">
        <v>54</v>
      </c>
      <c r="S245" s="244" t="s">
        <v>1676</v>
      </c>
    </row>
    <row r="246" spans="1:19" s="20" customFormat="1" ht="15.6" hidden="1">
      <c r="A246" s="9">
        <v>44242</v>
      </c>
      <c r="B246" s="10" t="s">
        <v>43</v>
      </c>
      <c r="C246" s="11" t="s">
        <v>1677</v>
      </c>
      <c r="D246" s="228" t="s">
        <v>1678</v>
      </c>
      <c r="E246" s="74" t="s">
        <v>1679</v>
      </c>
      <c r="F246" s="74" t="s">
        <v>1680</v>
      </c>
      <c r="G246" s="330">
        <v>1</v>
      </c>
      <c r="H246" s="175">
        <v>73000</v>
      </c>
      <c r="I246" s="338">
        <f t="shared" si="16"/>
        <v>73000</v>
      </c>
      <c r="K246" s="86">
        <f t="shared" si="18"/>
        <v>73000</v>
      </c>
      <c r="L246" s="17">
        <v>25000</v>
      </c>
      <c r="M246" s="20">
        <v>-3161</v>
      </c>
      <c r="N246" s="92">
        <f t="shared" si="17"/>
        <v>94839</v>
      </c>
      <c r="O246" s="10" t="s">
        <v>43</v>
      </c>
      <c r="P246" s="244" t="s">
        <v>1681</v>
      </c>
      <c r="Q246" s="10" t="s">
        <v>54</v>
      </c>
      <c r="S246" s="244" t="s">
        <v>1682</v>
      </c>
    </row>
    <row r="247" spans="1:19" s="20" customFormat="1" ht="15.6" hidden="1">
      <c r="A247" s="9">
        <v>44242</v>
      </c>
      <c r="B247" s="10" t="s">
        <v>43</v>
      </c>
      <c r="C247" s="10" t="s">
        <v>1683</v>
      </c>
      <c r="D247" s="228" t="s">
        <v>1684</v>
      </c>
      <c r="E247" s="289" t="s">
        <v>1685</v>
      </c>
      <c r="F247" s="289" t="s">
        <v>1686</v>
      </c>
      <c r="G247" s="330">
        <v>1</v>
      </c>
      <c r="H247" s="341">
        <v>105000</v>
      </c>
      <c r="I247" s="338">
        <f t="shared" si="16"/>
        <v>105000</v>
      </c>
      <c r="K247" s="86">
        <f t="shared" si="18"/>
        <v>105000</v>
      </c>
      <c r="L247" s="17"/>
      <c r="M247" s="20">
        <v>-4547</v>
      </c>
      <c r="N247" s="92">
        <f t="shared" si="17"/>
        <v>100453</v>
      </c>
      <c r="O247" s="10" t="s">
        <v>43</v>
      </c>
      <c r="P247" s="244" t="s">
        <v>1687</v>
      </c>
      <c r="Q247" s="10" t="s">
        <v>54</v>
      </c>
      <c r="S247" s="244" t="s">
        <v>1688</v>
      </c>
    </row>
    <row r="248" spans="1:19" s="20" customFormat="1" ht="15.6" hidden="1">
      <c r="A248" s="9">
        <v>44242</v>
      </c>
      <c r="B248" s="10" t="s">
        <v>43</v>
      </c>
      <c r="C248" s="10" t="s">
        <v>1689</v>
      </c>
      <c r="D248" s="228" t="s">
        <v>1690</v>
      </c>
      <c r="E248" s="74" t="s">
        <v>489</v>
      </c>
      <c r="F248" s="74" t="s">
        <v>490</v>
      </c>
      <c r="G248" s="330">
        <v>2</v>
      </c>
      <c r="H248" s="341">
        <v>72000</v>
      </c>
      <c r="I248" s="338">
        <f t="shared" si="16"/>
        <v>144000</v>
      </c>
      <c r="K248" s="86">
        <f t="shared" si="18"/>
        <v>144000</v>
      </c>
      <c r="L248" s="17">
        <v>3000</v>
      </c>
      <c r="M248" s="20">
        <v>-6235</v>
      </c>
      <c r="N248" s="92">
        <f t="shared" si="17"/>
        <v>140765</v>
      </c>
      <c r="O248" s="10" t="s">
        <v>43</v>
      </c>
      <c r="P248" s="244" t="s">
        <v>1691</v>
      </c>
      <c r="Q248" s="10" t="s">
        <v>54</v>
      </c>
      <c r="S248" s="244" t="s">
        <v>1692</v>
      </c>
    </row>
    <row r="249" spans="1:19" s="20" customFormat="1" ht="15.6" hidden="1">
      <c r="A249" s="9">
        <v>44242</v>
      </c>
      <c r="B249" s="10" t="s">
        <v>43</v>
      </c>
      <c r="C249" s="11" t="s">
        <v>1693</v>
      </c>
      <c r="D249" s="228" t="s">
        <v>1694</v>
      </c>
      <c r="E249" s="74" t="s">
        <v>489</v>
      </c>
      <c r="F249" s="74" t="s">
        <v>490</v>
      </c>
      <c r="G249" s="330">
        <v>1</v>
      </c>
      <c r="H249" s="341">
        <v>72000</v>
      </c>
      <c r="I249" s="338">
        <f t="shared" si="16"/>
        <v>72000</v>
      </c>
      <c r="K249" s="86">
        <f t="shared" si="18"/>
        <v>72000</v>
      </c>
      <c r="L249" s="17">
        <v>3000</v>
      </c>
      <c r="M249" s="20">
        <v>-3118</v>
      </c>
      <c r="N249" s="92">
        <f t="shared" si="17"/>
        <v>71882</v>
      </c>
      <c r="O249" s="10" t="s">
        <v>43</v>
      </c>
      <c r="P249" s="244" t="s">
        <v>1695</v>
      </c>
      <c r="Q249" s="10" t="s">
        <v>54</v>
      </c>
      <c r="S249" s="244" t="s">
        <v>1696</v>
      </c>
    </row>
    <row r="250" spans="1:19" s="20" customFormat="1" ht="15.6" hidden="1">
      <c r="A250" s="9">
        <v>44242</v>
      </c>
      <c r="B250" s="10" t="s">
        <v>43</v>
      </c>
      <c r="C250" s="11" t="s">
        <v>1697</v>
      </c>
      <c r="D250" s="228" t="s">
        <v>1698</v>
      </c>
      <c r="E250" s="78" t="s">
        <v>1699</v>
      </c>
      <c r="F250" s="340" t="s">
        <v>1700</v>
      </c>
      <c r="G250" s="330">
        <v>1</v>
      </c>
      <c r="H250" s="341">
        <v>94500</v>
      </c>
      <c r="I250" s="338">
        <f t="shared" si="16"/>
        <v>94500</v>
      </c>
      <c r="K250" s="86">
        <f t="shared" si="18"/>
        <v>94500</v>
      </c>
      <c r="L250" s="17">
        <v>13000</v>
      </c>
      <c r="M250" s="20">
        <v>-4092</v>
      </c>
      <c r="N250" s="92">
        <f t="shared" si="17"/>
        <v>103408</v>
      </c>
      <c r="O250" s="10" t="s">
        <v>43</v>
      </c>
      <c r="P250" s="244" t="s">
        <v>1701</v>
      </c>
      <c r="Q250" s="10" t="s">
        <v>54</v>
      </c>
      <c r="S250" s="32" t="s">
        <v>1702</v>
      </c>
    </row>
    <row r="251" spans="1:19" s="20" customFormat="1" ht="15.6" hidden="1">
      <c r="A251" s="9">
        <v>44242</v>
      </c>
      <c r="B251" s="10" t="s">
        <v>43</v>
      </c>
      <c r="C251" s="11" t="s">
        <v>1703</v>
      </c>
      <c r="D251" s="228" t="s">
        <v>1704</v>
      </c>
      <c r="E251" s="78" t="s">
        <v>559</v>
      </c>
      <c r="F251" s="78" t="s">
        <v>114</v>
      </c>
      <c r="G251" s="330">
        <v>1</v>
      </c>
      <c r="H251" s="341">
        <v>96000</v>
      </c>
      <c r="I251" s="338">
        <f t="shared" si="16"/>
        <v>96000</v>
      </c>
      <c r="K251" s="86">
        <f t="shared" si="18"/>
        <v>96000</v>
      </c>
      <c r="L251" s="17">
        <v>13000</v>
      </c>
      <c r="M251" s="20">
        <v>-4157</v>
      </c>
      <c r="N251" s="92">
        <f t="shared" si="17"/>
        <v>104843</v>
      </c>
      <c r="O251" s="10" t="s">
        <v>43</v>
      </c>
      <c r="P251" s="244" t="s">
        <v>1705</v>
      </c>
      <c r="Q251" s="10" t="s">
        <v>54</v>
      </c>
      <c r="S251" s="244" t="s">
        <v>1706</v>
      </c>
    </row>
    <row r="252" spans="1:19" s="20" customFormat="1" ht="15.6" hidden="1">
      <c r="A252" s="9">
        <v>44242</v>
      </c>
      <c r="B252" s="10" t="s">
        <v>43</v>
      </c>
      <c r="C252" s="11" t="s">
        <v>1707</v>
      </c>
      <c r="D252" s="228" t="s">
        <v>1708</v>
      </c>
      <c r="E252" s="22" t="s">
        <v>1578</v>
      </c>
      <c r="F252" s="342" t="s">
        <v>1579</v>
      </c>
      <c r="G252" s="330">
        <v>1</v>
      </c>
      <c r="H252" s="341">
        <v>106000</v>
      </c>
      <c r="I252" s="338">
        <f t="shared" si="16"/>
        <v>106000</v>
      </c>
      <c r="K252" s="86">
        <f t="shared" si="18"/>
        <v>106000</v>
      </c>
      <c r="L252" s="17">
        <v>10000</v>
      </c>
      <c r="M252" s="20">
        <v>-4590</v>
      </c>
      <c r="N252" s="92">
        <f t="shared" si="17"/>
        <v>111410</v>
      </c>
      <c r="O252" s="10" t="s">
        <v>43</v>
      </c>
      <c r="P252" s="228" t="s">
        <v>1709</v>
      </c>
      <c r="Q252" s="10" t="s">
        <v>54</v>
      </c>
      <c r="S252" s="244" t="s">
        <v>1710</v>
      </c>
    </row>
    <row r="253" spans="1:19" s="20" customFormat="1" ht="15.6" hidden="1">
      <c r="A253" s="9">
        <v>44242</v>
      </c>
      <c r="B253" s="10" t="s">
        <v>43</v>
      </c>
      <c r="C253" s="11" t="s">
        <v>1711</v>
      </c>
      <c r="D253" s="228" t="s">
        <v>1712</v>
      </c>
      <c r="E253" s="130" t="s">
        <v>1713</v>
      </c>
      <c r="F253" s="130" t="s">
        <v>1714</v>
      </c>
      <c r="G253" s="56">
        <v>1</v>
      </c>
      <c r="H253" s="341">
        <v>125000</v>
      </c>
      <c r="I253" s="338">
        <f t="shared" si="16"/>
        <v>125000</v>
      </c>
      <c r="K253" s="86">
        <f t="shared" si="18"/>
        <v>125000</v>
      </c>
      <c r="M253" s="20">
        <v>-7924</v>
      </c>
      <c r="N253" s="92">
        <f t="shared" si="17"/>
        <v>117076</v>
      </c>
      <c r="O253" s="10" t="s">
        <v>43</v>
      </c>
      <c r="P253" s="244" t="s">
        <v>1715</v>
      </c>
      <c r="Q253" s="10" t="s">
        <v>54</v>
      </c>
      <c r="S253" s="244" t="s">
        <v>1716</v>
      </c>
    </row>
    <row r="254" spans="1:19" s="20" customFormat="1" ht="15.6" hidden="1">
      <c r="A254" s="9">
        <v>44242</v>
      </c>
      <c r="B254" s="10" t="s">
        <v>43</v>
      </c>
      <c r="C254" s="11" t="s">
        <v>1711</v>
      </c>
      <c r="D254" s="228" t="s">
        <v>1712</v>
      </c>
      <c r="E254" s="343" t="s">
        <v>1717</v>
      </c>
      <c r="F254" s="344" t="s">
        <v>1718</v>
      </c>
      <c r="G254" s="56">
        <v>1</v>
      </c>
      <c r="H254" s="341">
        <v>58000</v>
      </c>
      <c r="I254" s="338">
        <f t="shared" si="16"/>
        <v>58000</v>
      </c>
      <c r="J254" s="29"/>
      <c r="K254" s="86">
        <f t="shared" si="18"/>
        <v>58000</v>
      </c>
      <c r="N254" s="92">
        <f t="shared" si="17"/>
        <v>58000</v>
      </c>
      <c r="O254" s="10" t="s">
        <v>43</v>
      </c>
      <c r="P254" s="244" t="s">
        <v>1715</v>
      </c>
      <c r="Q254" s="10" t="s">
        <v>54</v>
      </c>
      <c r="S254" s="21" t="s">
        <v>1716</v>
      </c>
    </row>
    <row r="255" spans="1:19" s="20" customFormat="1" ht="15.6" hidden="1">
      <c r="A255" s="9">
        <v>44242</v>
      </c>
      <c r="B255" s="10" t="s">
        <v>43</v>
      </c>
      <c r="C255" s="11" t="s">
        <v>1719</v>
      </c>
      <c r="D255" s="228" t="s">
        <v>1720</v>
      </c>
      <c r="E255" s="160" t="s">
        <v>1302</v>
      </c>
      <c r="F255" s="161" t="s">
        <v>1303</v>
      </c>
      <c r="G255" s="56">
        <v>1</v>
      </c>
      <c r="H255" s="341">
        <v>219500</v>
      </c>
      <c r="I255" s="338">
        <f t="shared" si="16"/>
        <v>219500</v>
      </c>
      <c r="J255" s="29"/>
      <c r="K255" s="86">
        <f t="shared" si="18"/>
        <v>219500</v>
      </c>
      <c r="L255" s="20">
        <v>3000</v>
      </c>
      <c r="M255" s="20">
        <v>-9505</v>
      </c>
      <c r="N255" s="92">
        <f t="shared" si="17"/>
        <v>212995</v>
      </c>
      <c r="O255" s="10" t="s">
        <v>43</v>
      </c>
      <c r="P255" s="244" t="s">
        <v>1721</v>
      </c>
      <c r="Q255" s="10" t="s">
        <v>54</v>
      </c>
      <c r="S255" s="21" t="s">
        <v>1722</v>
      </c>
    </row>
    <row r="256" spans="1:19" s="20" customFormat="1" ht="15.6" hidden="1">
      <c r="A256" s="9">
        <v>44242</v>
      </c>
      <c r="B256" s="10" t="s">
        <v>43</v>
      </c>
      <c r="C256" s="11" t="s">
        <v>1723</v>
      </c>
      <c r="D256" s="228" t="s">
        <v>1724</v>
      </c>
      <c r="E256" s="22" t="s">
        <v>1725</v>
      </c>
      <c r="F256" s="22" t="s">
        <v>1726</v>
      </c>
      <c r="G256" s="56">
        <v>1</v>
      </c>
      <c r="H256" s="341">
        <v>90000</v>
      </c>
      <c r="I256" s="338">
        <f t="shared" si="16"/>
        <v>90000</v>
      </c>
      <c r="J256" s="29"/>
      <c r="K256" s="86">
        <f t="shared" si="18"/>
        <v>90000</v>
      </c>
      <c r="L256" s="20">
        <v>1000</v>
      </c>
      <c r="M256" s="20">
        <v>-3897</v>
      </c>
      <c r="N256" s="92">
        <f t="shared" si="17"/>
        <v>87103</v>
      </c>
      <c r="O256" s="10" t="s">
        <v>43</v>
      </c>
      <c r="P256" s="228" t="s">
        <v>1727</v>
      </c>
      <c r="Q256" s="10" t="s">
        <v>54</v>
      </c>
      <c r="S256" s="244" t="s">
        <v>1728</v>
      </c>
    </row>
    <row r="257" spans="1:19" s="20" customFormat="1" ht="15.6" hidden="1">
      <c r="A257" s="9">
        <v>44242</v>
      </c>
      <c r="B257" s="10" t="s">
        <v>43</v>
      </c>
      <c r="C257" s="11" t="s">
        <v>1729</v>
      </c>
      <c r="D257" s="228" t="s">
        <v>1730</v>
      </c>
      <c r="E257" s="22" t="s">
        <v>1731</v>
      </c>
      <c r="F257" s="94" t="s">
        <v>1732</v>
      </c>
      <c r="G257" s="56">
        <v>1</v>
      </c>
      <c r="H257" s="341">
        <v>51000</v>
      </c>
      <c r="I257" s="338">
        <f t="shared" si="16"/>
        <v>51000</v>
      </c>
      <c r="K257" s="86">
        <f t="shared" si="18"/>
        <v>51000</v>
      </c>
      <c r="L257" s="20">
        <v>20000</v>
      </c>
      <c r="M257" s="20">
        <v>-2208</v>
      </c>
      <c r="N257" s="92">
        <f t="shared" si="17"/>
        <v>68792</v>
      </c>
      <c r="O257" s="10" t="s">
        <v>43</v>
      </c>
      <c r="P257" s="244" t="s">
        <v>1733</v>
      </c>
      <c r="Q257" s="10" t="s">
        <v>54</v>
      </c>
      <c r="S257" s="244" t="s">
        <v>1734</v>
      </c>
    </row>
    <row r="258" spans="1:19" s="20" customFormat="1" ht="15.6" hidden="1">
      <c r="A258" s="9">
        <v>44242</v>
      </c>
      <c r="B258" s="10" t="s">
        <v>206</v>
      </c>
      <c r="C258" s="345" t="s">
        <v>1735</v>
      </c>
      <c r="D258" s="228" t="s">
        <v>1736</v>
      </c>
      <c r="E258" s="14" t="s">
        <v>1737</v>
      </c>
      <c r="F258" s="94" t="s">
        <v>1738</v>
      </c>
      <c r="G258" s="56">
        <v>1</v>
      </c>
      <c r="H258" s="341">
        <v>69000</v>
      </c>
      <c r="I258" s="338">
        <f t="shared" si="16"/>
        <v>69000</v>
      </c>
      <c r="K258" s="86">
        <f t="shared" si="18"/>
        <v>69000</v>
      </c>
      <c r="L258" s="20">
        <v>7400</v>
      </c>
      <c r="N258" s="92">
        <f t="shared" si="17"/>
        <v>76400</v>
      </c>
      <c r="O258" s="10" t="s">
        <v>206</v>
      </c>
      <c r="P258" s="244" t="s">
        <v>1739</v>
      </c>
      <c r="Q258" s="10" t="s">
        <v>28</v>
      </c>
    </row>
    <row r="259" spans="1:19" s="20" customFormat="1" ht="15.6" hidden="1">
      <c r="A259" s="9">
        <v>44242</v>
      </c>
      <c r="B259" s="10" t="s">
        <v>206</v>
      </c>
      <c r="C259" s="345" t="s">
        <v>1740</v>
      </c>
      <c r="D259" s="228" t="s">
        <v>1741</v>
      </c>
      <c r="E259" s="346" t="s">
        <v>1742</v>
      </c>
      <c r="F259" s="94" t="s">
        <v>1743</v>
      </c>
      <c r="G259" s="56">
        <v>1</v>
      </c>
      <c r="H259" s="341">
        <v>64000</v>
      </c>
      <c r="I259" s="338">
        <f t="shared" si="16"/>
        <v>64000</v>
      </c>
      <c r="K259" s="86">
        <f t="shared" si="18"/>
        <v>64000</v>
      </c>
      <c r="L259" s="20">
        <v>7300</v>
      </c>
      <c r="N259" s="92">
        <f t="shared" si="17"/>
        <v>71300</v>
      </c>
      <c r="O259" s="10" t="s">
        <v>206</v>
      </c>
      <c r="P259" s="244" t="s">
        <v>1744</v>
      </c>
      <c r="Q259" s="10" t="s">
        <v>28</v>
      </c>
    </row>
    <row r="260" spans="1:19" s="20" customFormat="1" ht="15.6" hidden="1">
      <c r="A260" s="9">
        <v>44242</v>
      </c>
      <c r="B260" s="10" t="s">
        <v>206</v>
      </c>
      <c r="C260" s="11" t="s">
        <v>1745</v>
      </c>
      <c r="D260" s="228" t="s">
        <v>1746</v>
      </c>
      <c r="E260" s="284" t="s">
        <v>1747</v>
      </c>
      <c r="F260" s="284" t="s">
        <v>1748</v>
      </c>
      <c r="G260" s="56">
        <v>1</v>
      </c>
      <c r="H260" s="341">
        <v>74000</v>
      </c>
      <c r="I260" s="338">
        <f t="shared" si="16"/>
        <v>74000</v>
      </c>
      <c r="K260" s="86">
        <f t="shared" si="18"/>
        <v>74000</v>
      </c>
      <c r="L260" s="20">
        <v>17600</v>
      </c>
      <c r="N260" s="92">
        <f t="shared" si="17"/>
        <v>91600</v>
      </c>
      <c r="O260" s="10" t="s">
        <v>206</v>
      </c>
      <c r="P260" s="244" t="s">
        <v>1749</v>
      </c>
      <c r="Q260" s="10" t="s">
        <v>176</v>
      </c>
      <c r="S260" s="233" t="s">
        <v>1750</v>
      </c>
    </row>
    <row r="261" spans="1:19" s="20" customFormat="1" ht="15.6" hidden="1">
      <c r="A261" s="9">
        <v>44242</v>
      </c>
      <c r="B261" s="10" t="s">
        <v>206</v>
      </c>
      <c r="C261" s="11" t="s">
        <v>1745</v>
      </c>
      <c r="D261" s="228" t="s">
        <v>1746</v>
      </c>
      <c r="E261" s="98" t="s">
        <v>914</v>
      </c>
      <c r="F261" s="99" t="s">
        <v>915</v>
      </c>
      <c r="G261" s="56">
        <v>1</v>
      </c>
      <c r="H261" s="341">
        <v>49500</v>
      </c>
      <c r="I261" s="338">
        <f t="shared" si="16"/>
        <v>49500</v>
      </c>
      <c r="K261" s="86">
        <f t="shared" si="18"/>
        <v>49500</v>
      </c>
      <c r="N261" s="92">
        <f t="shared" si="17"/>
        <v>49500</v>
      </c>
      <c r="O261" s="10" t="s">
        <v>206</v>
      </c>
      <c r="P261" s="244" t="s">
        <v>1749</v>
      </c>
      <c r="Q261" s="10" t="s">
        <v>176</v>
      </c>
      <c r="S261" s="233" t="s">
        <v>1750</v>
      </c>
    </row>
    <row r="262" spans="1:19" s="20" customFormat="1" ht="15.6" hidden="1">
      <c r="A262" s="9">
        <v>44242</v>
      </c>
      <c r="B262" s="10" t="s">
        <v>170</v>
      </c>
      <c r="C262" s="11" t="s">
        <v>1751</v>
      </c>
      <c r="D262" s="228" t="s">
        <v>1752</v>
      </c>
      <c r="E262" s="22" t="s">
        <v>1753</v>
      </c>
      <c r="F262" s="22" t="s">
        <v>1754</v>
      </c>
      <c r="G262" s="56">
        <v>1</v>
      </c>
      <c r="H262" s="341">
        <v>86000</v>
      </c>
      <c r="I262" s="338">
        <f t="shared" si="16"/>
        <v>86000</v>
      </c>
      <c r="K262" s="86">
        <f t="shared" si="18"/>
        <v>86000</v>
      </c>
      <c r="L262" s="20">
        <f>9000-9000</f>
        <v>0</v>
      </c>
      <c r="N262" s="92">
        <f t="shared" si="17"/>
        <v>86000</v>
      </c>
      <c r="O262" s="10" t="s">
        <v>170</v>
      </c>
      <c r="P262" s="233" t="s">
        <v>1755</v>
      </c>
      <c r="Q262" s="10" t="s">
        <v>176</v>
      </c>
      <c r="S262" s="233" t="s">
        <v>1755</v>
      </c>
    </row>
    <row r="263" spans="1:19" s="20" customFormat="1" ht="15.6" hidden="1">
      <c r="A263" s="9">
        <v>44242</v>
      </c>
      <c r="B263" s="10" t="s">
        <v>177</v>
      </c>
      <c r="C263" s="11" t="s">
        <v>1756</v>
      </c>
      <c r="D263" s="228" t="s">
        <v>1757</v>
      </c>
      <c r="E263" s="22" t="s">
        <v>1758</v>
      </c>
      <c r="F263" s="22" t="s">
        <v>1759</v>
      </c>
      <c r="G263" s="56">
        <v>1</v>
      </c>
      <c r="H263" s="341">
        <v>50000</v>
      </c>
      <c r="I263" s="338">
        <f t="shared" si="16"/>
        <v>50000</v>
      </c>
      <c r="J263" s="20">
        <f>I263*20%</f>
        <v>10000</v>
      </c>
      <c r="K263" s="86">
        <f t="shared" si="18"/>
        <v>40000</v>
      </c>
      <c r="L263" s="20">
        <v>7000</v>
      </c>
      <c r="N263" s="92">
        <f t="shared" si="17"/>
        <v>47000</v>
      </c>
      <c r="O263" s="10" t="s">
        <v>177</v>
      </c>
      <c r="P263" s="20">
        <v>545868904121117</v>
      </c>
      <c r="Q263" s="10" t="s">
        <v>54</v>
      </c>
      <c r="S263" s="228" t="s">
        <v>1760</v>
      </c>
    </row>
    <row r="264" spans="1:19" s="20" customFormat="1" ht="15.6" hidden="1">
      <c r="A264" s="9">
        <v>44242</v>
      </c>
      <c r="B264" s="10" t="s">
        <v>177</v>
      </c>
      <c r="C264" s="10" t="s">
        <v>1761</v>
      </c>
      <c r="D264" s="228" t="s">
        <v>1762</v>
      </c>
      <c r="E264" s="15" t="s">
        <v>1298</v>
      </c>
      <c r="F264" s="15" t="s">
        <v>1299</v>
      </c>
      <c r="G264" s="56">
        <v>1</v>
      </c>
      <c r="H264" s="341">
        <v>58500</v>
      </c>
      <c r="I264" s="338">
        <f t="shared" si="16"/>
        <v>58500</v>
      </c>
      <c r="J264" s="20">
        <f>I264*20%</f>
        <v>11700</v>
      </c>
      <c r="K264" s="86">
        <f t="shared" si="18"/>
        <v>46800</v>
      </c>
      <c r="L264" s="20">
        <v>7000</v>
      </c>
      <c r="N264" s="92">
        <f t="shared" si="17"/>
        <v>53800</v>
      </c>
      <c r="O264" s="10" t="s">
        <v>177</v>
      </c>
      <c r="P264" s="20">
        <v>541646249910090</v>
      </c>
      <c r="Q264" s="10" t="s">
        <v>54</v>
      </c>
      <c r="S264" s="244" t="s">
        <v>1763</v>
      </c>
    </row>
    <row r="265" spans="1:19" s="20" customFormat="1" ht="15.6">
      <c r="A265" s="9">
        <v>44242</v>
      </c>
      <c r="B265" s="337" t="s">
        <v>23</v>
      </c>
      <c r="C265" s="337" t="s">
        <v>1764</v>
      </c>
      <c r="D265" s="228" t="s">
        <v>1765</v>
      </c>
      <c r="E265" s="74" t="s">
        <v>489</v>
      </c>
      <c r="F265" s="15" t="s">
        <v>490</v>
      </c>
      <c r="G265" s="245">
        <v>26</v>
      </c>
      <c r="H265" s="341">
        <v>72000</v>
      </c>
      <c r="I265" s="338">
        <f t="shared" si="16"/>
        <v>1872000</v>
      </c>
      <c r="J265" s="20">
        <f>I265*25%</f>
        <v>468000</v>
      </c>
      <c r="K265" s="86">
        <f t="shared" si="18"/>
        <v>1404000</v>
      </c>
      <c r="L265" s="20">
        <v>56000</v>
      </c>
      <c r="N265" s="92">
        <f t="shared" si="17"/>
        <v>1460000</v>
      </c>
      <c r="O265" s="337" t="s">
        <v>23</v>
      </c>
      <c r="Q265" s="347" t="s">
        <v>28</v>
      </c>
    </row>
    <row r="266" spans="1:19" s="20" customFormat="1" ht="15.6">
      <c r="A266" s="9">
        <v>44242</v>
      </c>
      <c r="B266" s="91" t="s">
        <v>23</v>
      </c>
      <c r="C266" s="337" t="s">
        <v>1766</v>
      </c>
      <c r="D266" s="228" t="s">
        <v>1767</v>
      </c>
      <c r="E266" s="74" t="s">
        <v>489</v>
      </c>
      <c r="F266" s="15" t="s">
        <v>490</v>
      </c>
      <c r="G266" s="245">
        <v>2</v>
      </c>
      <c r="H266" s="341">
        <v>72000</v>
      </c>
      <c r="I266" s="338">
        <f t="shared" si="16"/>
        <v>144000</v>
      </c>
      <c r="K266" s="86">
        <f t="shared" si="18"/>
        <v>144000</v>
      </c>
      <c r="L266" s="20">
        <v>17000</v>
      </c>
      <c r="N266" s="92">
        <f t="shared" si="17"/>
        <v>161000</v>
      </c>
      <c r="O266" s="91" t="s">
        <v>23</v>
      </c>
      <c r="Q266" s="347" t="s">
        <v>40</v>
      </c>
    </row>
    <row r="267" spans="1:19" s="20" customFormat="1" ht="15.6">
      <c r="A267" s="9">
        <v>44242</v>
      </c>
      <c r="B267" s="10" t="s">
        <v>23</v>
      </c>
      <c r="C267" s="10" t="s">
        <v>1768</v>
      </c>
      <c r="D267" s="228" t="s">
        <v>1769</v>
      </c>
      <c r="E267" s="22" t="s">
        <v>325</v>
      </c>
      <c r="F267" s="22" t="s">
        <v>326</v>
      </c>
      <c r="G267" s="245">
        <v>1</v>
      </c>
      <c r="H267" s="341">
        <v>129000</v>
      </c>
      <c r="I267" s="338">
        <f t="shared" si="16"/>
        <v>129000</v>
      </c>
      <c r="J267" s="20">
        <f>I267*20%</f>
        <v>25800</v>
      </c>
      <c r="K267" s="86">
        <f t="shared" si="18"/>
        <v>103200</v>
      </c>
      <c r="L267" s="20">
        <v>16000</v>
      </c>
      <c r="N267" s="92">
        <f t="shared" si="17"/>
        <v>119200</v>
      </c>
      <c r="O267" s="10" t="s">
        <v>23</v>
      </c>
      <c r="Q267" s="348" t="s">
        <v>40</v>
      </c>
    </row>
    <row r="268" spans="1:19" s="20" customFormat="1" ht="15.6" hidden="1">
      <c r="A268" s="9">
        <v>44242</v>
      </c>
      <c r="B268" s="10" t="s">
        <v>43</v>
      </c>
      <c r="C268" s="10" t="s">
        <v>1770</v>
      </c>
      <c r="D268" s="228" t="s">
        <v>1771</v>
      </c>
      <c r="E268" s="15" t="s">
        <v>1772</v>
      </c>
      <c r="F268" s="15" t="s">
        <v>1773</v>
      </c>
      <c r="G268" s="245">
        <v>1</v>
      </c>
      <c r="H268" s="341">
        <v>65500</v>
      </c>
      <c r="I268" s="338">
        <f t="shared" si="16"/>
        <v>65500</v>
      </c>
      <c r="K268" s="86">
        <f t="shared" si="18"/>
        <v>65500</v>
      </c>
      <c r="M268" s="20">
        <v>-2837</v>
      </c>
      <c r="N268" s="92">
        <f>K268+L268+M268</f>
        <v>62663</v>
      </c>
      <c r="O268" s="10" t="s">
        <v>43</v>
      </c>
      <c r="P268" s="228" t="s">
        <v>1774</v>
      </c>
      <c r="Q268" s="348" t="s">
        <v>54</v>
      </c>
      <c r="S268" s="233" t="s">
        <v>1775</v>
      </c>
    </row>
    <row r="269" spans="1:19" s="20" customFormat="1" ht="15.6">
      <c r="A269" s="9">
        <v>44242</v>
      </c>
      <c r="B269" s="10" t="s">
        <v>23</v>
      </c>
      <c r="C269" s="11" t="s">
        <v>1776</v>
      </c>
      <c r="D269" s="228" t="s">
        <v>1777</v>
      </c>
      <c r="E269" s="289" t="s">
        <v>1778</v>
      </c>
      <c r="F269" s="71" t="s">
        <v>1779</v>
      </c>
      <c r="G269" s="245">
        <v>1</v>
      </c>
      <c r="H269" s="341">
        <v>114000</v>
      </c>
      <c r="I269" s="338">
        <f t="shared" si="16"/>
        <v>114000</v>
      </c>
      <c r="K269" s="86">
        <f t="shared" si="18"/>
        <v>114000</v>
      </c>
      <c r="L269" s="20">
        <v>16000</v>
      </c>
      <c r="N269" s="92">
        <f t="shared" si="17"/>
        <v>130000</v>
      </c>
      <c r="O269" s="10" t="s">
        <v>23</v>
      </c>
      <c r="Q269" s="348" t="s">
        <v>40</v>
      </c>
    </row>
    <row r="270" spans="1:19" s="20" customFormat="1" ht="15.6">
      <c r="A270" s="9">
        <v>44243</v>
      </c>
      <c r="B270" s="10" t="s">
        <v>23</v>
      </c>
      <c r="C270" s="11" t="s">
        <v>1780</v>
      </c>
      <c r="D270" s="228" t="s">
        <v>1781</v>
      </c>
      <c r="E270" s="74" t="s">
        <v>489</v>
      </c>
      <c r="F270" s="15" t="s">
        <v>490</v>
      </c>
      <c r="G270" s="56">
        <v>2</v>
      </c>
      <c r="H270" s="341">
        <v>72000</v>
      </c>
      <c r="I270" s="338">
        <f t="shared" si="16"/>
        <v>144000</v>
      </c>
      <c r="K270" s="86">
        <f t="shared" si="18"/>
        <v>144000</v>
      </c>
      <c r="L270" s="20">
        <v>16000</v>
      </c>
      <c r="N270" s="92">
        <f t="shared" si="17"/>
        <v>160000</v>
      </c>
      <c r="O270" s="10" t="s">
        <v>23</v>
      </c>
      <c r="Q270" s="10" t="s">
        <v>40</v>
      </c>
    </row>
    <row r="271" spans="1:19" s="275" customFormat="1" ht="16.8" hidden="1">
      <c r="A271" s="349">
        <v>44243</v>
      </c>
      <c r="B271" s="261" t="s">
        <v>313</v>
      </c>
      <c r="C271" s="350" t="s">
        <v>1782</v>
      </c>
      <c r="D271" s="351" t="s">
        <v>1783</v>
      </c>
      <c r="E271" s="62" t="s">
        <v>1784</v>
      </c>
      <c r="F271" s="63" t="s">
        <v>1785</v>
      </c>
      <c r="G271" s="352">
        <v>9</v>
      </c>
      <c r="H271" s="353">
        <v>72000</v>
      </c>
      <c r="I271" s="354">
        <f t="shared" si="16"/>
        <v>648000</v>
      </c>
      <c r="J271" s="275">
        <f>I271*25%</f>
        <v>162000</v>
      </c>
      <c r="K271" s="355">
        <f t="shared" si="18"/>
        <v>486000</v>
      </c>
      <c r="L271" s="275">
        <v>86013</v>
      </c>
      <c r="N271" s="279">
        <f t="shared" si="17"/>
        <v>572013</v>
      </c>
      <c r="O271" s="261" t="s">
        <v>313</v>
      </c>
      <c r="Q271" s="261" t="s">
        <v>28</v>
      </c>
    </row>
    <row r="272" spans="1:19" s="20" customFormat="1" ht="15.6">
      <c r="A272" s="9">
        <v>44243</v>
      </c>
      <c r="B272" s="10" t="s">
        <v>23</v>
      </c>
      <c r="C272" s="11" t="s">
        <v>1786</v>
      </c>
      <c r="D272" s="228" t="s">
        <v>1787</v>
      </c>
      <c r="E272" s="22" t="s">
        <v>1788</v>
      </c>
      <c r="F272" s="22" t="s">
        <v>1789</v>
      </c>
      <c r="G272" s="56">
        <v>1</v>
      </c>
      <c r="H272" s="341">
        <v>86500</v>
      </c>
      <c r="I272" s="338">
        <f t="shared" si="16"/>
        <v>86500</v>
      </c>
      <c r="K272" s="203">
        <f t="shared" si="18"/>
        <v>86500</v>
      </c>
      <c r="L272" s="17">
        <v>17000</v>
      </c>
      <c r="N272" s="92">
        <f t="shared" si="17"/>
        <v>103500</v>
      </c>
      <c r="O272" s="10" t="s">
        <v>23</v>
      </c>
      <c r="Q272" s="10" t="s">
        <v>40</v>
      </c>
    </row>
    <row r="273" spans="1:19" s="20" customFormat="1" ht="15.6">
      <c r="A273" s="9">
        <v>44243</v>
      </c>
      <c r="B273" s="10" t="s">
        <v>23</v>
      </c>
      <c r="C273" s="11" t="s">
        <v>1790</v>
      </c>
      <c r="D273" s="228" t="s">
        <v>1791</v>
      </c>
      <c r="E273" s="14" t="s">
        <v>73</v>
      </c>
      <c r="F273" s="22" t="s">
        <v>74</v>
      </c>
      <c r="G273" s="56">
        <v>1</v>
      </c>
      <c r="H273" s="341">
        <v>125000</v>
      </c>
      <c r="I273" s="338">
        <f t="shared" si="16"/>
        <v>125000</v>
      </c>
      <c r="K273" s="203">
        <f t="shared" si="18"/>
        <v>125000</v>
      </c>
      <c r="L273" s="17">
        <v>35000</v>
      </c>
      <c r="N273" s="92">
        <f t="shared" si="17"/>
        <v>160000</v>
      </c>
      <c r="O273" s="10" t="s">
        <v>23</v>
      </c>
      <c r="Q273" s="10" t="s">
        <v>54</v>
      </c>
    </row>
    <row r="274" spans="1:19" s="20" customFormat="1" ht="15.6" hidden="1">
      <c r="A274" s="9">
        <v>44243</v>
      </c>
      <c r="B274" s="10" t="s">
        <v>313</v>
      </c>
      <c r="C274" s="11" t="s">
        <v>1792</v>
      </c>
      <c r="D274" s="228" t="s">
        <v>1793</v>
      </c>
      <c r="E274" s="24" t="s">
        <v>247</v>
      </c>
      <c r="F274" s="24" t="s">
        <v>248</v>
      </c>
      <c r="G274" s="56">
        <v>1</v>
      </c>
      <c r="H274" s="341">
        <v>68000</v>
      </c>
      <c r="I274" s="338">
        <f t="shared" si="16"/>
        <v>68000</v>
      </c>
      <c r="K274" s="203">
        <f t="shared" si="18"/>
        <v>68000</v>
      </c>
      <c r="L274" s="17">
        <v>49060</v>
      </c>
      <c r="N274" s="92">
        <f t="shared" si="17"/>
        <v>117060</v>
      </c>
      <c r="O274" s="10" t="s">
        <v>313</v>
      </c>
      <c r="Q274" s="10" t="s">
        <v>40</v>
      </c>
    </row>
    <row r="275" spans="1:19" s="20" customFormat="1" ht="15.6" hidden="1">
      <c r="A275" s="9">
        <v>44243</v>
      </c>
      <c r="B275" s="10" t="s">
        <v>313</v>
      </c>
      <c r="C275" s="11" t="s">
        <v>1792</v>
      </c>
      <c r="D275" s="228" t="s">
        <v>1793</v>
      </c>
      <c r="E275" s="24" t="s">
        <v>221</v>
      </c>
      <c r="F275" s="24" t="s">
        <v>222</v>
      </c>
      <c r="G275" s="56">
        <v>1</v>
      </c>
      <c r="H275" s="341">
        <v>44000</v>
      </c>
      <c r="I275" s="338">
        <f t="shared" si="16"/>
        <v>44000</v>
      </c>
      <c r="K275" s="203">
        <f t="shared" si="18"/>
        <v>44000</v>
      </c>
      <c r="L275" s="17"/>
      <c r="N275" s="92">
        <f t="shared" si="17"/>
        <v>44000</v>
      </c>
      <c r="O275" s="10" t="s">
        <v>313</v>
      </c>
      <c r="Q275" s="10" t="s">
        <v>40</v>
      </c>
    </row>
    <row r="276" spans="1:19" s="275" customFormat="1" ht="15.6">
      <c r="A276" s="349">
        <v>44243</v>
      </c>
      <c r="B276" s="261" t="s">
        <v>23</v>
      </c>
      <c r="C276" s="261" t="s">
        <v>1794</v>
      </c>
      <c r="D276" s="351" t="s">
        <v>1795</v>
      </c>
      <c r="E276" s="298" t="s">
        <v>1796</v>
      </c>
      <c r="F276" s="298" t="s">
        <v>1797</v>
      </c>
      <c r="G276" s="352">
        <v>1</v>
      </c>
      <c r="H276" s="353">
        <v>614000</v>
      </c>
      <c r="I276" s="354">
        <f t="shared" si="16"/>
        <v>614000</v>
      </c>
      <c r="J276" s="275">
        <f>I276*25%</f>
        <v>153500</v>
      </c>
      <c r="K276" s="355">
        <f t="shared" si="18"/>
        <v>460500</v>
      </c>
      <c r="L276" s="274">
        <v>17000</v>
      </c>
      <c r="N276" s="279">
        <f t="shared" si="17"/>
        <v>477500</v>
      </c>
      <c r="O276" s="261" t="s">
        <v>23</v>
      </c>
      <c r="Q276" s="261" t="s">
        <v>40</v>
      </c>
    </row>
    <row r="277" spans="1:19" s="20" customFormat="1" ht="16.8" hidden="1">
      <c r="A277" s="9">
        <v>44243</v>
      </c>
      <c r="B277" s="10" t="s">
        <v>313</v>
      </c>
      <c r="C277" s="70" t="s">
        <v>1798</v>
      </c>
      <c r="D277" s="228" t="s">
        <v>1799</v>
      </c>
      <c r="E277" s="14" t="s">
        <v>489</v>
      </c>
      <c r="F277" s="22" t="s">
        <v>490</v>
      </c>
      <c r="G277" s="56">
        <v>1</v>
      </c>
      <c r="H277" s="341">
        <v>72000</v>
      </c>
      <c r="I277" s="338">
        <f t="shared" si="16"/>
        <v>72000</v>
      </c>
      <c r="J277" s="20">
        <f>I277*20%</f>
        <v>14400</v>
      </c>
      <c r="K277" s="203">
        <f t="shared" si="18"/>
        <v>57600</v>
      </c>
      <c r="L277" s="17">
        <v>7021</v>
      </c>
      <c r="N277" s="92">
        <f t="shared" si="17"/>
        <v>64621</v>
      </c>
      <c r="O277" s="10" t="s">
        <v>313</v>
      </c>
      <c r="Q277" s="10" t="s">
        <v>28</v>
      </c>
    </row>
    <row r="278" spans="1:19" s="20" customFormat="1" ht="16.8" hidden="1">
      <c r="A278" s="9">
        <v>44243</v>
      </c>
      <c r="B278" s="10" t="s">
        <v>313</v>
      </c>
      <c r="C278" s="70" t="s">
        <v>1800</v>
      </c>
      <c r="D278" s="228" t="s">
        <v>1801</v>
      </c>
      <c r="E278" s="285" t="s">
        <v>1802</v>
      </c>
      <c r="F278" s="98" t="s">
        <v>1803</v>
      </c>
      <c r="G278" s="56">
        <v>1</v>
      </c>
      <c r="H278" s="341">
        <v>68000</v>
      </c>
      <c r="I278" s="338">
        <f t="shared" si="16"/>
        <v>68000</v>
      </c>
      <c r="J278" s="20">
        <f t="shared" ref="J278:J281" si="19">I278*20%</f>
        <v>13600</v>
      </c>
      <c r="K278" s="203">
        <f t="shared" si="18"/>
        <v>54400</v>
      </c>
      <c r="L278" s="17">
        <v>16018</v>
      </c>
      <c r="N278" s="92">
        <f t="shared" si="17"/>
        <v>70418</v>
      </c>
      <c r="O278" s="10" t="s">
        <v>313</v>
      </c>
      <c r="Q278" s="10" t="s">
        <v>40</v>
      </c>
    </row>
    <row r="279" spans="1:19" s="20" customFormat="1" ht="16.8" hidden="1">
      <c r="A279" s="9">
        <v>44243</v>
      </c>
      <c r="B279" s="10" t="s">
        <v>313</v>
      </c>
      <c r="C279" s="70" t="s">
        <v>1800</v>
      </c>
      <c r="D279" s="228" t="s">
        <v>1801</v>
      </c>
      <c r="E279" s="285" t="s">
        <v>235</v>
      </c>
      <c r="F279" s="356" t="s">
        <v>1804</v>
      </c>
      <c r="G279" s="56">
        <v>1</v>
      </c>
      <c r="H279" s="341">
        <v>97000</v>
      </c>
      <c r="I279" s="338">
        <f t="shared" si="16"/>
        <v>97000</v>
      </c>
      <c r="J279" s="20">
        <f t="shared" si="19"/>
        <v>19400</v>
      </c>
      <c r="K279" s="203">
        <f t="shared" si="18"/>
        <v>77600</v>
      </c>
      <c r="L279" s="17"/>
      <c r="N279" s="92">
        <f t="shared" si="17"/>
        <v>77600</v>
      </c>
      <c r="O279" s="10" t="s">
        <v>313</v>
      </c>
      <c r="Q279" s="10" t="s">
        <v>40</v>
      </c>
    </row>
    <row r="280" spans="1:19" s="20" customFormat="1" ht="16.8" hidden="1">
      <c r="A280" s="9">
        <v>44243</v>
      </c>
      <c r="B280" s="10" t="s">
        <v>313</v>
      </c>
      <c r="C280" s="70" t="s">
        <v>1800</v>
      </c>
      <c r="D280" s="228" t="s">
        <v>1801</v>
      </c>
      <c r="E280" s="98" t="s">
        <v>1805</v>
      </c>
      <c r="F280" s="98" t="s">
        <v>1806</v>
      </c>
      <c r="G280" s="56">
        <v>1</v>
      </c>
      <c r="H280" s="341">
        <v>107000</v>
      </c>
      <c r="I280" s="338">
        <f t="shared" ref="I280:I343" si="20">G280*H280</f>
        <v>107000</v>
      </c>
      <c r="J280" s="20">
        <f t="shared" si="19"/>
        <v>21400</v>
      </c>
      <c r="K280" s="203">
        <f t="shared" si="18"/>
        <v>85600</v>
      </c>
      <c r="L280" s="17"/>
      <c r="N280" s="92">
        <f t="shared" si="17"/>
        <v>85600</v>
      </c>
      <c r="O280" s="10" t="s">
        <v>313</v>
      </c>
      <c r="Q280" s="10" t="s">
        <v>40</v>
      </c>
    </row>
    <row r="281" spans="1:19" s="20" customFormat="1" ht="16.8" hidden="1">
      <c r="A281" s="9">
        <v>44243</v>
      </c>
      <c r="B281" s="10" t="s">
        <v>313</v>
      </c>
      <c r="C281" s="70" t="s">
        <v>1800</v>
      </c>
      <c r="D281" s="228" t="s">
        <v>1801</v>
      </c>
      <c r="E281" s="285" t="s">
        <v>233</v>
      </c>
      <c r="F281" s="98" t="s">
        <v>234</v>
      </c>
      <c r="G281" s="56">
        <v>1</v>
      </c>
      <c r="H281" s="341">
        <v>83500</v>
      </c>
      <c r="I281" s="338">
        <f t="shared" si="20"/>
        <v>83500</v>
      </c>
      <c r="J281" s="20">
        <f t="shared" si="19"/>
        <v>16700</v>
      </c>
      <c r="K281" s="203">
        <f t="shared" si="18"/>
        <v>66800</v>
      </c>
      <c r="L281" s="17"/>
      <c r="N281" s="92">
        <f t="shared" si="17"/>
        <v>66800</v>
      </c>
      <c r="O281" s="10" t="s">
        <v>313</v>
      </c>
      <c r="Q281" s="10" t="s">
        <v>40</v>
      </c>
    </row>
    <row r="282" spans="1:19" s="20" customFormat="1" ht="15.6" hidden="1">
      <c r="A282" s="9">
        <v>44243</v>
      </c>
      <c r="B282" s="10" t="s">
        <v>43</v>
      </c>
      <c r="C282" s="11" t="s">
        <v>1807</v>
      </c>
      <c r="D282" s="228" t="s">
        <v>1808</v>
      </c>
      <c r="E282" s="90" t="s">
        <v>1809</v>
      </c>
      <c r="F282" s="357" t="s">
        <v>72</v>
      </c>
      <c r="G282" s="56">
        <v>1</v>
      </c>
      <c r="H282" s="341">
        <v>108000</v>
      </c>
      <c r="I282" s="338">
        <f t="shared" si="20"/>
        <v>108000</v>
      </c>
      <c r="K282" s="203">
        <f t="shared" si="18"/>
        <v>108000</v>
      </c>
      <c r="L282" s="17">
        <v>16000</v>
      </c>
      <c r="M282" s="20">
        <v>-4676</v>
      </c>
      <c r="N282" s="92">
        <f t="shared" si="17"/>
        <v>119324</v>
      </c>
      <c r="O282" s="10" t="s">
        <v>43</v>
      </c>
      <c r="P282" s="244" t="s">
        <v>1810</v>
      </c>
      <c r="Q282" s="10" t="s">
        <v>54</v>
      </c>
      <c r="S282" s="244" t="s">
        <v>1811</v>
      </c>
    </row>
    <row r="283" spans="1:19" s="20" customFormat="1" ht="15.6" hidden="1">
      <c r="A283" s="9">
        <v>44243</v>
      </c>
      <c r="B283" s="10" t="s">
        <v>43</v>
      </c>
      <c r="C283" s="10" t="s">
        <v>1812</v>
      </c>
      <c r="D283" s="228" t="s">
        <v>1813</v>
      </c>
      <c r="E283" s="14" t="s">
        <v>1814</v>
      </c>
      <c r="F283" s="339" t="s">
        <v>1815</v>
      </c>
      <c r="G283" s="56">
        <v>1</v>
      </c>
      <c r="H283" s="341">
        <v>68000</v>
      </c>
      <c r="I283" s="338">
        <f t="shared" si="20"/>
        <v>68000</v>
      </c>
      <c r="K283" s="203">
        <f t="shared" si="18"/>
        <v>68000</v>
      </c>
      <c r="L283" s="17">
        <v>6000</v>
      </c>
      <c r="M283" s="20">
        <v>-2944</v>
      </c>
      <c r="N283" s="92">
        <f t="shared" si="17"/>
        <v>71056</v>
      </c>
      <c r="O283" s="10" t="s">
        <v>43</v>
      </c>
      <c r="P283" s="31" t="s">
        <v>1816</v>
      </c>
      <c r="Q283" s="10" t="s">
        <v>54</v>
      </c>
      <c r="S283" s="244" t="s">
        <v>1817</v>
      </c>
    </row>
    <row r="284" spans="1:19" s="20" customFormat="1" ht="15.6" hidden="1">
      <c r="A284" s="9">
        <v>44243</v>
      </c>
      <c r="B284" s="10" t="s">
        <v>206</v>
      </c>
      <c r="C284" s="194" t="s">
        <v>1818</v>
      </c>
      <c r="D284" s="228" t="s">
        <v>1819</v>
      </c>
      <c r="E284" s="160" t="s">
        <v>1820</v>
      </c>
      <c r="F284" s="160" t="s">
        <v>1821</v>
      </c>
      <c r="G284" s="56">
        <v>1</v>
      </c>
      <c r="H284" s="341">
        <v>82000</v>
      </c>
      <c r="I284" s="338">
        <f t="shared" si="20"/>
        <v>82000</v>
      </c>
      <c r="K284" s="203">
        <f t="shared" si="18"/>
        <v>82000</v>
      </c>
      <c r="L284" s="17">
        <v>12400</v>
      </c>
      <c r="N284" s="92">
        <f t="shared" si="17"/>
        <v>94400</v>
      </c>
      <c r="O284" s="10" t="s">
        <v>206</v>
      </c>
      <c r="P284" s="244" t="s">
        <v>1822</v>
      </c>
      <c r="Q284" s="10" t="s">
        <v>40</v>
      </c>
      <c r="S284" s="195" t="s">
        <v>1823</v>
      </c>
    </row>
    <row r="285" spans="1:19" s="20" customFormat="1" ht="15.6" hidden="1">
      <c r="A285" s="9">
        <v>44243</v>
      </c>
      <c r="B285" s="10" t="s">
        <v>170</v>
      </c>
      <c r="C285" s="11" t="s">
        <v>1824</v>
      </c>
      <c r="D285" s="228" t="s">
        <v>1825</v>
      </c>
      <c r="E285" s="14" t="s">
        <v>1826</v>
      </c>
      <c r="F285" s="339" t="s">
        <v>1827</v>
      </c>
      <c r="G285" s="56">
        <v>1</v>
      </c>
      <c r="H285" s="341">
        <v>71000</v>
      </c>
      <c r="I285" s="338">
        <f t="shared" si="20"/>
        <v>71000</v>
      </c>
      <c r="K285" s="203">
        <f t="shared" si="18"/>
        <v>71000</v>
      </c>
      <c r="L285" s="17">
        <f>12000-12000</f>
        <v>0</v>
      </c>
      <c r="N285" s="92">
        <f t="shared" si="17"/>
        <v>71000</v>
      </c>
      <c r="O285" s="10" t="s">
        <v>170</v>
      </c>
      <c r="P285" s="233" t="s">
        <v>1828</v>
      </c>
      <c r="Q285" s="10" t="s">
        <v>478</v>
      </c>
      <c r="S285" s="233" t="s">
        <v>1828</v>
      </c>
    </row>
    <row r="286" spans="1:19" s="20" customFormat="1" ht="16.8" hidden="1">
      <c r="A286" s="9">
        <v>44243</v>
      </c>
      <c r="B286" s="10" t="s">
        <v>170</v>
      </c>
      <c r="C286" s="358" t="s">
        <v>1829</v>
      </c>
      <c r="D286" s="359" t="s">
        <v>1830</v>
      </c>
      <c r="E286" s="14" t="s">
        <v>1831</v>
      </c>
      <c r="F286" s="14" t="s">
        <v>1832</v>
      </c>
      <c r="G286" s="56">
        <v>1</v>
      </c>
      <c r="H286" s="341">
        <v>72000</v>
      </c>
      <c r="I286" s="338">
        <f t="shared" si="20"/>
        <v>72000</v>
      </c>
      <c r="K286" s="203">
        <f t="shared" si="18"/>
        <v>72000</v>
      </c>
      <c r="L286" s="17">
        <f>11000-11000</f>
        <v>0</v>
      </c>
      <c r="N286" s="92">
        <f t="shared" si="17"/>
        <v>72000</v>
      </c>
      <c r="O286" s="10" t="s">
        <v>170</v>
      </c>
      <c r="P286" s="233" t="s">
        <v>1833</v>
      </c>
      <c r="Q286" s="10" t="s">
        <v>478</v>
      </c>
      <c r="S286" s="233" t="s">
        <v>1833</v>
      </c>
    </row>
    <row r="287" spans="1:19" s="20" customFormat="1" ht="15.6" hidden="1">
      <c r="A287" s="9">
        <v>44243</v>
      </c>
      <c r="B287" s="10" t="s">
        <v>177</v>
      </c>
      <c r="C287" s="11" t="s">
        <v>1834</v>
      </c>
      <c r="D287" s="228" t="s">
        <v>1835</v>
      </c>
      <c r="E287" s="298" t="s">
        <v>1836</v>
      </c>
      <c r="F287" s="298" t="s">
        <v>1837</v>
      </c>
      <c r="G287" s="56">
        <v>1</v>
      </c>
      <c r="H287" s="341">
        <v>90000</v>
      </c>
      <c r="I287" s="338">
        <f t="shared" si="20"/>
        <v>90000</v>
      </c>
      <c r="J287" s="20">
        <f>I287*20%</f>
        <v>18000</v>
      </c>
      <c r="K287" s="203">
        <f t="shared" si="18"/>
        <v>72000</v>
      </c>
      <c r="L287" s="17"/>
      <c r="N287" s="92">
        <f t="shared" si="17"/>
        <v>72000</v>
      </c>
      <c r="O287" s="10" t="s">
        <v>177</v>
      </c>
      <c r="P287" s="20">
        <v>542306839955776</v>
      </c>
      <c r="Q287" s="10" t="s">
        <v>54</v>
      </c>
      <c r="S287" s="197" t="s">
        <v>1838</v>
      </c>
    </row>
    <row r="288" spans="1:19" s="20" customFormat="1" ht="15.6" hidden="1">
      <c r="A288" s="9">
        <v>44243</v>
      </c>
      <c r="B288" s="10" t="s">
        <v>177</v>
      </c>
      <c r="C288" s="11" t="s">
        <v>1834</v>
      </c>
      <c r="D288" s="228" t="s">
        <v>1835</v>
      </c>
      <c r="E288" s="62" t="s">
        <v>647</v>
      </c>
      <c r="F288" s="63" t="s">
        <v>648</v>
      </c>
      <c r="G288" s="56">
        <v>1</v>
      </c>
      <c r="H288" s="341">
        <v>93000</v>
      </c>
      <c r="I288" s="338">
        <f t="shared" si="20"/>
        <v>93000</v>
      </c>
      <c r="J288" s="20">
        <f>I288*20%</f>
        <v>18600</v>
      </c>
      <c r="K288" s="203">
        <f t="shared" si="18"/>
        <v>74400</v>
      </c>
      <c r="L288" s="17"/>
      <c r="N288" s="92">
        <f t="shared" si="17"/>
        <v>74400</v>
      </c>
      <c r="O288" s="10" t="s">
        <v>177</v>
      </c>
      <c r="P288" s="20">
        <v>542306839955776</v>
      </c>
      <c r="Q288" s="10" t="s">
        <v>54</v>
      </c>
    </row>
    <row r="289" spans="1:19" s="20" customFormat="1" ht="16.8" hidden="1">
      <c r="A289" s="9">
        <v>44243</v>
      </c>
      <c r="B289" s="10" t="s">
        <v>313</v>
      </c>
      <c r="C289" s="70" t="s">
        <v>1839</v>
      </c>
      <c r="D289" s="228" t="s">
        <v>1840</v>
      </c>
      <c r="E289" s="360" t="s">
        <v>1302</v>
      </c>
      <c r="F289" s="360" t="s">
        <v>1303</v>
      </c>
      <c r="G289" s="56">
        <v>1</v>
      </c>
      <c r="H289" s="341">
        <v>219500</v>
      </c>
      <c r="I289" s="338">
        <f t="shared" si="20"/>
        <v>219500</v>
      </c>
      <c r="K289" s="203">
        <f t="shared" si="18"/>
        <v>219500</v>
      </c>
      <c r="L289" s="17">
        <v>63067</v>
      </c>
      <c r="N289" s="92">
        <f t="shared" si="17"/>
        <v>282567</v>
      </c>
      <c r="O289" s="10" t="s">
        <v>313</v>
      </c>
      <c r="Q289" s="10" t="s">
        <v>40</v>
      </c>
    </row>
    <row r="290" spans="1:19" s="20" customFormat="1" ht="16.8" hidden="1">
      <c r="A290" s="9">
        <v>44243</v>
      </c>
      <c r="B290" s="10" t="s">
        <v>313</v>
      </c>
      <c r="C290" s="70" t="s">
        <v>1839</v>
      </c>
      <c r="D290" s="228" t="s">
        <v>1840</v>
      </c>
      <c r="E290" s="361" t="s">
        <v>471</v>
      </c>
      <c r="F290" s="361" t="s">
        <v>472</v>
      </c>
      <c r="G290" s="56">
        <v>1</v>
      </c>
      <c r="H290" s="341">
        <v>111000</v>
      </c>
      <c r="I290" s="338">
        <f t="shared" si="20"/>
        <v>111000</v>
      </c>
      <c r="K290" s="203">
        <f t="shared" si="18"/>
        <v>111000</v>
      </c>
      <c r="L290" s="17"/>
      <c r="N290" s="92">
        <f t="shared" si="17"/>
        <v>111000</v>
      </c>
      <c r="O290" s="10" t="s">
        <v>313</v>
      </c>
      <c r="Q290" s="10" t="s">
        <v>40</v>
      </c>
    </row>
    <row r="291" spans="1:19" s="20" customFormat="1" ht="16.8" hidden="1">
      <c r="A291" s="9">
        <v>44243</v>
      </c>
      <c r="B291" s="10" t="s">
        <v>313</v>
      </c>
      <c r="C291" s="70" t="s">
        <v>1839</v>
      </c>
      <c r="D291" s="228" t="s">
        <v>1840</v>
      </c>
      <c r="E291" s="361" t="s">
        <v>1841</v>
      </c>
      <c r="F291" s="361" t="s">
        <v>1842</v>
      </c>
      <c r="G291" s="56">
        <v>1</v>
      </c>
      <c r="H291" s="341">
        <v>172000</v>
      </c>
      <c r="I291" s="338">
        <f t="shared" si="20"/>
        <v>172000</v>
      </c>
      <c r="K291" s="203">
        <f t="shared" si="18"/>
        <v>172000</v>
      </c>
      <c r="L291" s="17"/>
      <c r="N291" s="92">
        <f t="shared" si="17"/>
        <v>172000</v>
      </c>
      <c r="O291" s="10" t="s">
        <v>313</v>
      </c>
      <c r="Q291" s="10" t="s">
        <v>40</v>
      </c>
    </row>
    <row r="292" spans="1:19" s="20" customFormat="1" ht="15.6">
      <c r="A292" s="9">
        <v>44243</v>
      </c>
      <c r="B292" s="10" t="s">
        <v>23</v>
      </c>
      <c r="C292" s="11" t="s">
        <v>1843</v>
      </c>
      <c r="D292" s="228" t="s">
        <v>1844</v>
      </c>
      <c r="E292" s="22" t="s">
        <v>1845</v>
      </c>
      <c r="F292" s="22" t="s">
        <v>1846</v>
      </c>
      <c r="G292" s="56">
        <v>1</v>
      </c>
      <c r="H292" s="341">
        <v>434000</v>
      </c>
      <c r="I292" s="338">
        <f t="shared" si="20"/>
        <v>434000</v>
      </c>
      <c r="J292" s="20">
        <f>I292*20%</f>
        <v>86800</v>
      </c>
      <c r="K292" s="203">
        <f t="shared" si="18"/>
        <v>347200</v>
      </c>
      <c r="L292" s="17">
        <v>6000</v>
      </c>
      <c r="N292" s="92">
        <f t="shared" si="17"/>
        <v>353200</v>
      </c>
      <c r="O292" s="10" t="s">
        <v>23</v>
      </c>
      <c r="Q292" s="10" t="s">
        <v>28</v>
      </c>
    </row>
    <row r="293" spans="1:19" s="20" customFormat="1" ht="15.6">
      <c r="A293" s="9">
        <v>44243</v>
      </c>
      <c r="B293" s="10" t="s">
        <v>23</v>
      </c>
      <c r="C293" s="10" t="s">
        <v>1847</v>
      </c>
      <c r="D293" s="228" t="s">
        <v>1848</v>
      </c>
      <c r="E293" s="74" t="s">
        <v>489</v>
      </c>
      <c r="F293" s="15" t="s">
        <v>490</v>
      </c>
      <c r="G293" s="56">
        <v>1</v>
      </c>
      <c r="H293" s="341">
        <v>72000</v>
      </c>
      <c r="I293" s="338">
        <f t="shared" si="20"/>
        <v>72000</v>
      </c>
      <c r="K293" s="203">
        <f t="shared" si="18"/>
        <v>72000</v>
      </c>
      <c r="L293" s="17">
        <v>25000</v>
      </c>
      <c r="N293" s="92">
        <f t="shared" ref="N293:N356" si="21">K293+L293+M293</f>
        <v>97000</v>
      </c>
      <c r="O293" s="10" t="s">
        <v>23</v>
      </c>
      <c r="Q293" s="10" t="s">
        <v>40</v>
      </c>
    </row>
    <row r="294" spans="1:19" s="20" customFormat="1" ht="15.6">
      <c r="A294" s="9">
        <v>44243</v>
      </c>
      <c r="B294" s="91" t="s">
        <v>23</v>
      </c>
      <c r="C294" s="337" t="s">
        <v>1849</v>
      </c>
      <c r="D294" s="228" t="s">
        <v>1850</v>
      </c>
      <c r="E294" s="74" t="s">
        <v>395</v>
      </c>
      <c r="F294" s="74" t="s">
        <v>396</v>
      </c>
      <c r="G294" s="245">
        <v>1</v>
      </c>
      <c r="H294" s="341">
        <v>81000</v>
      </c>
      <c r="I294" s="338">
        <f t="shared" si="20"/>
        <v>81000</v>
      </c>
      <c r="J294" s="20">
        <f>I294*30%</f>
        <v>24300</v>
      </c>
      <c r="K294" s="203">
        <f t="shared" si="18"/>
        <v>56700</v>
      </c>
      <c r="L294" s="17">
        <v>17000</v>
      </c>
      <c r="N294" s="92">
        <f t="shared" si="21"/>
        <v>73700</v>
      </c>
      <c r="O294" s="91" t="s">
        <v>23</v>
      </c>
      <c r="Q294" s="242" t="s">
        <v>40</v>
      </c>
    </row>
    <row r="295" spans="1:19" s="20" customFormat="1" ht="16.8" hidden="1">
      <c r="A295" s="9">
        <v>44244</v>
      </c>
      <c r="B295" s="10" t="s">
        <v>313</v>
      </c>
      <c r="C295" s="182" t="s">
        <v>1851</v>
      </c>
      <c r="D295" s="228" t="s">
        <v>1852</v>
      </c>
      <c r="E295" s="130" t="s">
        <v>1853</v>
      </c>
      <c r="F295" s="130" t="s">
        <v>1854</v>
      </c>
      <c r="G295" s="56">
        <v>1</v>
      </c>
      <c r="H295" s="341">
        <v>103000</v>
      </c>
      <c r="I295" s="338">
        <f t="shared" si="20"/>
        <v>103000</v>
      </c>
      <c r="K295" s="203">
        <f t="shared" si="18"/>
        <v>103000</v>
      </c>
      <c r="L295" s="17">
        <v>17074</v>
      </c>
      <c r="N295" s="92">
        <f t="shared" si="21"/>
        <v>120074</v>
      </c>
      <c r="O295" s="10" t="s">
        <v>313</v>
      </c>
      <c r="Q295" s="10" t="s">
        <v>40</v>
      </c>
    </row>
    <row r="296" spans="1:19" s="20" customFormat="1" ht="16.8" hidden="1">
      <c r="A296" s="9">
        <v>44244</v>
      </c>
      <c r="B296" s="10" t="s">
        <v>313</v>
      </c>
      <c r="C296" s="182" t="s">
        <v>1851</v>
      </c>
      <c r="D296" s="228" t="s">
        <v>1852</v>
      </c>
      <c r="E296" s="362" t="s">
        <v>1855</v>
      </c>
      <c r="F296" s="362" t="s">
        <v>1856</v>
      </c>
      <c r="G296" s="56">
        <v>1</v>
      </c>
      <c r="H296" s="341">
        <v>74000</v>
      </c>
      <c r="I296" s="338">
        <f t="shared" si="20"/>
        <v>74000</v>
      </c>
      <c r="K296" s="203">
        <f t="shared" si="18"/>
        <v>74000</v>
      </c>
      <c r="L296" s="17"/>
      <c r="N296" s="92">
        <f t="shared" si="21"/>
        <v>74000</v>
      </c>
      <c r="O296" s="10" t="s">
        <v>313</v>
      </c>
      <c r="Q296" s="10" t="s">
        <v>40</v>
      </c>
    </row>
    <row r="297" spans="1:19" s="275" customFormat="1" ht="16.8" hidden="1">
      <c r="A297" s="349">
        <v>44244</v>
      </c>
      <c r="B297" s="261" t="s">
        <v>313</v>
      </c>
      <c r="C297" s="350" t="s">
        <v>1851</v>
      </c>
      <c r="D297" s="351" t="s">
        <v>1852</v>
      </c>
      <c r="E297" s="298" t="s">
        <v>1857</v>
      </c>
      <c r="F297" s="298" t="s">
        <v>1858</v>
      </c>
      <c r="G297" s="352">
        <v>1</v>
      </c>
      <c r="H297" s="353">
        <v>66000</v>
      </c>
      <c r="I297" s="354">
        <f t="shared" si="20"/>
        <v>66000</v>
      </c>
      <c r="K297" s="355">
        <f t="shared" si="18"/>
        <v>66000</v>
      </c>
      <c r="L297" s="274"/>
      <c r="N297" s="279">
        <f t="shared" si="21"/>
        <v>66000</v>
      </c>
      <c r="O297" s="261" t="s">
        <v>313</v>
      </c>
      <c r="Q297" s="261" t="s">
        <v>40</v>
      </c>
    </row>
    <row r="298" spans="1:19" s="364" customFormat="1" ht="15.6">
      <c r="A298" s="9">
        <v>44244</v>
      </c>
      <c r="B298" s="10" t="s">
        <v>23</v>
      </c>
      <c r="C298" s="10" t="s">
        <v>1859</v>
      </c>
      <c r="D298" s="337" t="s">
        <v>1860</v>
      </c>
      <c r="E298" s="14" t="s">
        <v>1861</v>
      </c>
      <c r="F298" s="339" t="s">
        <v>1862</v>
      </c>
      <c r="G298" s="56">
        <v>2</v>
      </c>
      <c r="H298" s="341">
        <v>143000</v>
      </c>
      <c r="I298" s="338">
        <f t="shared" si="20"/>
        <v>286000</v>
      </c>
      <c r="K298" s="203">
        <f t="shared" si="18"/>
        <v>286000</v>
      </c>
      <c r="L298" s="365">
        <v>17000</v>
      </c>
      <c r="N298" s="92">
        <f t="shared" si="21"/>
        <v>303000</v>
      </c>
      <c r="O298" s="10" t="s">
        <v>23</v>
      </c>
      <c r="Q298" s="10" t="s">
        <v>40</v>
      </c>
    </row>
    <row r="299" spans="1:19" s="364" customFormat="1" ht="15.6">
      <c r="A299" s="9">
        <v>44244</v>
      </c>
      <c r="B299" s="10" t="s">
        <v>23</v>
      </c>
      <c r="C299" s="11" t="s">
        <v>1863</v>
      </c>
      <c r="D299" s="337" t="s">
        <v>1864</v>
      </c>
      <c r="E299" s="160" t="s">
        <v>1865</v>
      </c>
      <c r="F299" s="160" t="s">
        <v>1866</v>
      </c>
      <c r="G299" s="56">
        <v>1</v>
      </c>
      <c r="H299" s="341">
        <v>87000</v>
      </c>
      <c r="I299" s="338">
        <f t="shared" si="20"/>
        <v>87000</v>
      </c>
      <c r="K299" s="203">
        <f t="shared" si="18"/>
        <v>87000</v>
      </c>
      <c r="L299" s="17">
        <v>36000</v>
      </c>
      <c r="N299" s="92">
        <f t="shared" si="21"/>
        <v>123000</v>
      </c>
      <c r="O299" s="10" t="s">
        <v>23</v>
      </c>
      <c r="Q299" s="10" t="s">
        <v>54</v>
      </c>
    </row>
    <row r="300" spans="1:19" s="364" customFormat="1" ht="15.6" hidden="1">
      <c r="A300" s="9">
        <v>44244</v>
      </c>
      <c r="B300" s="10" t="s">
        <v>43</v>
      </c>
      <c r="C300" s="10" t="s">
        <v>1867</v>
      </c>
      <c r="D300" s="337" t="s">
        <v>1868</v>
      </c>
      <c r="E300" s="74" t="s">
        <v>489</v>
      </c>
      <c r="F300" s="74" t="s">
        <v>490</v>
      </c>
      <c r="G300" s="56">
        <v>1</v>
      </c>
      <c r="H300" s="341">
        <v>72000</v>
      </c>
      <c r="I300" s="338">
        <f t="shared" si="20"/>
        <v>72000</v>
      </c>
      <c r="K300" s="203">
        <f t="shared" si="18"/>
        <v>72000</v>
      </c>
      <c r="L300" s="17">
        <v>13000</v>
      </c>
      <c r="M300" s="364">
        <v>-3118</v>
      </c>
      <c r="N300" s="92">
        <f t="shared" si="21"/>
        <v>81882</v>
      </c>
      <c r="O300" s="10" t="s">
        <v>43</v>
      </c>
      <c r="P300" s="337" t="s">
        <v>1869</v>
      </c>
      <c r="Q300" s="10" t="s">
        <v>54</v>
      </c>
      <c r="S300" s="32" t="s">
        <v>1870</v>
      </c>
    </row>
    <row r="301" spans="1:19" s="364" customFormat="1" ht="15.6" hidden="1">
      <c r="A301" s="9">
        <v>44244</v>
      </c>
      <c r="B301" s="10" t="s">
        <v>43</v>
      </c>
      <c r="C301" s="10" t="s">
        <v>1871</v>
      </c>
      <c r="D301" s="337" t="s">
        <v>1872</v>
      </c>
      <c r="E301" s="289" t="s">
        <v>1873</v>
      </c>
      <c r="F301" s="366" t="s">
        <v>1874</v>
      </c>
      <c r="G301" s="56">
        <v>1</v>
      </c>
      <c r="H301" s="341">
        <v>65500</v>
      </c>
      <c r="I301" s="338">
        <f t="shared" si="20"/>
        <v>65500</v>
      </c>
      <c r="K301" s="203">
        <f t="shared" ref="K301:K364" si="22">I301-J301</f>
        <v>65500</v>
      </c>
      <c r="L301" s="17">
        <v>20000</v>
      </c>
      <c r="M301" s="364">
        <v>-2837</v>
      </c>
      <c r="N301" s="92">
        <f t="shared" si="21"/>
        <v>82663</v>
      </c>
      <c r="O301" s="10" t="s">
        <v>43</v>
      </c>
      <c r="P301" s="367" t="s">
        <v>1875</v>
      </c>
      <c r="Q301" s="10" t="s">
        <v>54</v>
      </c>
      <c r="S301" s="368" t="s">
        <v>1876</v>
      </c>
    </row>
    <row r="302" spans="1:19" s="364" customFormat="1" ht="15.6" hidden="1">
      <c r="A302" s="9">
        <v>44244</v>
      </c>
      <c r="B302" s="10" t="s">
        <v>43</v>
      </c>
      <c r="C302" s="11" t="s">
        <v>1877</v>
      </c>
      <c r="D302" s="337" t="s">
        <v>1878</v>
      </c>
      <c r="E302" s="14" t="s">
        <v>288</v>
      </c>
      <c r="F302" s="14" t="s">
        <v>289</v>
      </c>
      <c r="G302" s="56">
        <v>1</v>
      </c>
      <c r="H302" s="341">
        <v>113000</v>
      </c>
      <c r="I302" s="338">
        <f t="shared" si="20"/>
        <v>113000</v>
      </c>
      <c r="K302" s="203">
        <f t="shared" si="22"/>
        <v>113000</v>
      </c>
      <c r="L302" s="365"/>
      <c r="M302" s="364">
        <v>-4893</v>
      </c>
      <c r="N302" s="92">
        <f t="shared" si="21"/>
        <v>108107</v>
      </c>
      <c r="O302" s="10" t="s">
        <v>43</v>
      </c>
      <c r="P302" s="368" t="s">
        <v>1879</v>
      </c>
      <c r="Q302" s="10" t="s">
        <v>54</v>
      </c>
      <c r="S302" s="368" t="s">
        <v>1880</v>
      </c>
    </row>
    <row r="303" spans="1:19" s="364" customFormat="1" ht="15.6" hidden="1">
      <c r="A303" s="9">
        <v>44244</v>
      </c>
      <c r="B303" s="10" t="s">
        <v>177</v>
      </c>
      <c r="C303" s="10" t="s">
        <v>1881</v>
      </c>
      <c r="D303" s="337" t="s">
        <v>1882</v>
      </c>
      <c r="E303" s="98" t="s">
        <v>158</v>
      </c>
      <c r="F303" s="98" t="s">
        <v>159</v>
      </c>
      <c r="G303" s="56">
        <v>1</v>
      </c>
      <c r="H303" s="341">
        <v>58000</v>
      </c>
      <c r="I303" s="338">
        <f t="shared" si="20"/>
        <v>58000</v>
      </c>
      <c r="K303" s="203">
        <f t="shared" si="22"/>
        <v>58000</v>
      </c>
      <c r="L303" s="17">
        <v>23000</v>
      </c>
      <c r="N303" s="92">
        <f t="shared" si="21"/>
        <v>81000</v>
      </c>
      <c r="O303" s="10" t="s">
        <v>177</v>
      </c>
      <c r="P303" s="364">
        <v>546842750734117</v>
      </c>
      <c r="Q303" s="10" t="s">
        <v>54</v>
      </c>
      <c r="S303" s="197" t="s">
        <v>1883</v>
      </c>
    </row>
    <row r="304" spans="1:19" s="364" customFormat="1" ht="15.6" hidden="1">
      <c r="A304" s="9">
        <v>44244</v>
      </c>
      <c r="B304" s="10" t="s">
        <v>177</v>
      </c>
      <c r="C304" s="10" t="s">
        <v>1881</v>
      </c>
      <c r="D304" s="337" t="s">
        <v>1882</v>
      </c>
      <c r="E304" s="285" t="s">
        <v>221</v>
      </c>
      <c r="F304" s="285" t="s">
        <v>222</v>
      </c>
      <c r="G304" s="56">
        <v>1</v>
      </c>
      <c r="H304" s="341">
        <v>44000</v>
      </c>
      <c r="I304" s="338">
        <f t="shared" si="20"/>
        <v>44000</v>
      </c>
      <c r="K304" s="203">
        <f t="shared" si="22"/>
        <v>44000</v>
      </c>
      <c r="L304" s="365"/>
      <c r="N304" s="92">
        <f t="shared" si="21"/>
        <v>44000</v>
      </c>
      <c r="O304" s="10" t="s">
        <v>177</v>
      </c>
      <c r="P304" s="364">
        <v>546842750734117</v>
      </c>
      <c r="Q304" s="10" t="s">
        <v>54</v>
      </c>
      <c r="S304" s="197" t="s">
        <v>1883</v>
      </c>
    </row>
    <row r="305" spans="1:19" s="364" customFormat="1" ht="16.8" hidden="1">
      <c r="A305" s="9">
        <v>44244</v>
      </c>
      <c r="B305" s="10" t="s">
        <v>177</v>
      </c>
      <c r="C305" s="11" t="s">
        <v>1884</v>
      </c>
      <c r="D305" s="337" t="s">
        <v>1885</v>
      </c>
      <c r="E305" s="22" t="s">
        <v>399</v>
      </c>
      <c r="F305" s="94" t="s">
        <v>400</v>
      </c>
      <c r="G305" s="56">
        <v>1</v>
      </c>
      <c r="H305" s="341">
        <v>185000</v>
      </c>
      <c r="I305" s="338">
        <f t="shared" si="20"/>
        <v>185000</v>
      </c>
      <c r="J305" s="364">
        <f>I305*20%</f>
        <v>37000</v>
      </c>
      <c r="K305" s="203">
        <f t="shared" si="22"/>
        <v>148000</v>
      </c>
      <c r="L305" s="17">
        <v>9000</v>
      </c>
      <c r="N305" s="92">
        <f t="shared" si="21"/>
        <v>157000</v>
      </c>
      <c r="O305" s="10" t="s">
        <v>177</v>
      </c>
      <c r="P305" s="229">
        <v>547260935278906</v>
      </c>
      <c r="Q305" s="10" t="s">
        <v>54</v>
      </c>
      <c r="S305" s="197" t="s">
        <v>1886</v>
      </c>
    </row>
    <row r="306" spans="1:19" s="364" customFormat="1" ht="16.8" hidden="1">
      <c r="A306" s="9">
        <v>44244</v>
      </c>
      <c r="B306" s="10" t="s">
        <v>170</v>
      </c>
      <c r="C306" s="358" t="s">
        <v>1887</v>
      </c>
      <c r="D306" s="337" t="s">
        <v>1888</v>
      </c>
      <c r="E306" s="160" t="s">
        <v>1889</v>
      </c>
      <c r="F306" s="161" t="s">
        <v>1890</v>
      </c>
      <c r="G306" s="56">
        <v>1</v>
      </c>
      <c r="H306" s="341">
        <v>134000</v>
      </c>
      <c r="I306" s="338">
        <f t="shared" si="20"/>
        <v>134000</v>
      </c>
      <c r="K306" s="203">
        <f t="shared" si="22"/>
        <v>134000</v>
      </c>
      <c r="L306" s="365">
        <f>17000-17000</f>
        <v>0</v>
      </c>
      <c r="N306" s="92">
        <f t="shared" si="21"/>
        <v>134000</v>
      </c>
      <c r="O306" s="10" t="s">
        <v>170</v>
      </c>
      <c r="P306" s="368" t="s">
        <v>1891</v>
      </c>
      <c r="Q306" s="10" t="s">
        <v>40</v>
      </c>
      <c r="S306" s="368" t="s">
        <v>1891</v>
      </c>
    </row>
    <row r="307" spans="1:19" s="275" customFormat="1" ht="15.6">
      <c r="A307" s="349">
        <v>44244</v>
      </c>
      <c r="B307" s="261" t="s">
        <v>23</v>
      </c>
      <c r="C307" s="261" t="s">
        <v>1892</v>
      </c>
      <c r="D307" s="351" t="s">
        <v>31</v>
      </c>
      <c r="E307" s="263" t="s">
        <v>1893</v>
      </c>
      <c r="F307" s="263" t="s">
        <v>1894</v>
      </c>
      <c r="G307" s="370">
        <v>1</v>
      </c>
      <c r="H307" s="353">
        <v>63000</v>
      </c>
      <c r="I307" s="354">
        <f t="shared" si="20"/>
        <v>63000</v>
      </c>
      <c r="J307" s="275">
        <f>I307-40000</f>
        <v>23000</v>
      </c>
      <c r="K307" s="355">
        <f t="shared" si="22"/>
        <v>40000</v>
      </c>
      <c r="L307" s="274"/>
      <c r="N307" s="279">
        <f t="shared" si="21"/>
        <v>40000</v>
      </c>
      <c r="O307" s="261" t="s">
        <v>23</v>
      </c>
      <c r="Q307" s="351" t="s">
        <v>35</v>
      </c>
    </row>
    <row r="308" spans="1:19" s="275" customFormat="1" ht="15.6">
      <c r="A308" s="349">
        <v>44244</v>
      </c>
      <c r="B308" s="261" t="s">
        <v>23</v>
      </c>
      <c r="C308" s="261" t="s">
        <v>1895</v>
      </c>
      <c r="D308" s="351" t="s">
        <v>31</v>
      </c>
      <c r="E308" s="263" t="s">
        <v>1893</v>
      </c>
      <c r="F308" s="263" t="s">
        <v>1894</v>
      </c>
      <c r="G308" s="370">
        <v>1</v>
      </c>
      <c r="H308" s="353">
        <v>63000</v>
      </c>
      <c r="I308" s="354">
        <f t="shared" si="20"/>
        <v>63000</v>
      </c>
      <c r="J308" s="275">
        <f>I308-36000</f>
        <v>27000</v>
      </c>
      <c r="K308" s="355">
        <f t="shared" si="22"/>
        <v>36000</v>
      </c>
      <c r="L308" s="274"/>
      <c r="N308" s="279">
        <f t="shared" si="21"/>
        <v>36000</v>
      </c>
      <c r="O308" s="261" t="s">
        <v>23</v>
      </c>
      <c r="Q308" s="351" t="s">
        <v>35</v>
      </c>
    </row>
    <row r="309" spans="1:19" s="364" customFormat="1" ht="15.6">
      <c r="A309" s="9">
        <v>44244</v>
      </c>
      <c r="B309" s="91" t="s">
        <v>23</v>
      </c>
      <c r="C309" s="337" t="s">
        <v>1896</v>
      </c>
      <c r="D309" s="337" t="s">
        <v>31</v>
      </c>
      <c r="E309" s="15" t="s">
        <v>1897</v>
      </c>
      <c r="F309" s="15" t="s">
        <v>1898</v>
      </c>
      <c r="G309" s="245">
        <v>1</v>
      </c>
      <c r="H309" s="341">
        <v>78000</v>
      </c>
      <c r="I309" s="338">
        <f t="shared" si="20"/>
        <v>78000</v>
      </c>
      <c r="K309" s="203">
        <f t="shared" si="22"/>
        <v>78000</v>
      </c>
      <c r="L309" s="365"/>
      <c r="N309" s="92">
        <f t="shared" si="21"/>
        <v>78000</v>
      </c>
      <c r="O309" s="91" t="s">
        <v>23</v>
      </c>
      <c r="Q309" s="337" t="s">
        <v>35</v>
      </c>
    </row>
    <row r="310" spans="1:19" s="364" customFormat="1" ht="16.8" hidden="1">
      <c r="A310" s="9">
        <v>44244</v>
      </c>
      <c r="B310" s="10" t="s">
        <v>313</v>
      </c>
      <c r="C310" s="70" t="s">
        <v>1899</v>
      </c>
      <c r="D310" s="337" t="s">
        <v>1900</v>
      </c>
      <c r="E310" s="15" t="s">
        <v>1784</v>
      </c>
      <c r="F310" s="33" t="s">
        <v>1785</v>
      </c>
      <c r="G310" s="245">
        <v>1</v>
      </c>
      <c r="H310" s="341">
        <v>54000</v>
      </c>
      <c r="I310" s="338">
        <f t="shared" si="20"/>
        <v>54000</v>
      </c>
      <c r="K310" s="203">
        <f t="shared" si="22"/>
        <v>54000</v>
      </c>
      <c r="L310" s="365">
        <v>83009</v>
      </c>
      <c r="N310" s="92">
        <f t="shared" si="21"/>
        <v>137009</v>
      </c>
      <c r="O310" s="10" t="s">
        <v>313</v>
      </c>
      <c r="Q310" s="337" t="s">
        <v>40</v>
      </c>
    </row>
    <row r="311" spans="1:19" s="364" customFormat="1" ht="15.6">
      <c r="A311" s="9">
        <v>44244</v>
      </c>
      <c r="B311" s="10" t="s">
        <v>23</v>
      </c>
      <c r="C311" s="10" t="s">
        <v>1901</v>
      </c>
      <c r="D311" s="337" t="s">
        <v>1902</v>
      </c>
      <c r="E311" s="74" t="s">
        <v>1903</v>
      </c>
      <c r="F311" s="74" t="s">
        <v>595</v>
      </c>
      <c r="G311" s="245">
        <v>1</v>
      </c>
      <c r="H311" s="341">
        <v>104000</v>
      </c>
      <c r="I311" s="338">
        <f t="shared" si="20"/>
        <v>104000</v>
      </c>
      <c r="K311" s="203">
        <f t="shared" si="22"/>
        <v>104000</v>
      </c>
      <c r="L311" s="365">
        <v>17000</v>
      </c>
      <c r="N311" s="92">
        <f t="shared" si="21"/>
        <v>121000</v>
      </c>
      <c r="O311" s="10" t="s">
        <v>23</v>
      </c>
      <c r="Q311" s="337" t="s">
        <v>40</v>
      </c>
    </row>
    <row r="312" spans="1:19" s="364" customFormat="1" ht="16.8" hidden="1">
      <c r="A312" s="9">
        <v>44244</v>
      </c>
      <c r="B312" s="10" t="s">
        <v>313</v>
      </c>
      <c r="C312" s="70" t="s">
        <v>1904</v>
      </c>
      <c r="D312" s="337" t="s">
        <v>1905</v>
      </c>
      <c r="E312" s="74" t="s">
        <v>1906</v>
      </c>
      <c r="F312" s="74" t="s">
        <v>1907</v>
      </c>
      <c r="G312" s="245">
        <v>1</v>
      </c>
      <c r="H312" s="341">
        <v>126500</v>
      </c>
      <c r="I312" s="338">
        <f t="shared" si="20"/>
        <v>126500</v>
      </c>
      <c r="J312" s="364">
        <f>I312*20%</f>
        <v>25300</v>
      </c>
      <c r="K312" s="203">
        <f t="shared" si="22"/>
        <v>101200</v>
      </c>
      <c r="L312" s="365">
        <v>17078</v>
      </c>
      <c r="N312" s="92">
        <f t="shared" si="21"/>
        <v>118278</v>
      </c>
      <c r="O312" s="10" t="s">
        <v>313</v>
      </c>
      <c r="Q312" s="10" t="s">
        <v>40</v>
      </c>
    </row>
    <row r="313" spans="1:19" s="364" customFormat="1" ht="15.6" customHeight="1">
      <c r="A313" s="9">
        <v>44244</v>
      </c>
      <c r="B313" s="10" t="s">
        <v>23</v>
      </c>
      <c r="C313" s="11" t="s">
        <v>1908</v>
      </c>
      <c r="D313" s="1095" t="s">
        <v>9416</v>
      </c>
      <c r="E313" s="22" t="s">
        <v>668</v>
      </c>
      <c r="F313" s="22" t="s">
        <v>669</v>
      </c>
      <c r="G313" s="245">
        <v>1</v>
      </c>
      <c r="H313" s="341">
        <v>113000</v>
      </c>
      <c r="I313" s="338">
        <f t="shared" si="20"/>
        <v>113000</v>
      </c>
      <c r="K313" s="203">
        <f t="shared" si="22"/>
        <v>113000</v>
      </c>
      <c r="L313" s="17">
        <v>47000</v>
      </c>
      <c r="N313" s="92">
        <f t="shared" si="21"/>
        <v>160000</v>
      </c>
      <c r="O313" s="10" t="s">
        <v>23</v>
      </c>
      <c r="Q313" s="10" t="s">
        <v>40</v>
      </c>
    </row>
    <row r="314" spans="1:19" s="364" customFormat="1" ht="15.6">
      <c r="A314" s="9">
        <v>44244</v>
      </c>
      <c r="B314" s="10" t="s">
        <v>177</v>
      </c>
      <c r="C314" s="11" t="s">
        <v>1909</v>
      </c>
      <c r="D314" s="337" t="s">
        <v>1910</v>
      </c>
      <c r="E314" s="15" t="s">
        <v>1911</v>
      </c>
      <c r="F314" s="15" t="s">
        <v>1912</v>
      </c>
      <c r="G314" s="245">
        <v>1</v>
      </c>
      <c r="H314" s="341">
        <v>98000</v>
      </c>
      <c r="I314" s="338">
        <f t="shared" si="20"/>
        <v>98000</v>
      </c>
      <c r="J314" s="364">
        <f>I314*20%</f>
        <v>19600</v>
      </c>
      <c r="K314" s="203">
        <f t="shared" si="22"/>
        <v>78400</v>
      </c>
      <c r="L314" s="17">
        <v>9500</v>
      </c>
      <c r="N314" s="92">
        <f t="shared" si="21"/>
        <v>87900</v>
      </c>
      <c r="O314" s="10" t="s">
        <v>177</v>
      </c>
      <c r="P314" s="364">
        <v>543653466420767</v>
      </c>
      <c r="Q314" s="10" t="s">
        <v>54</v>
      </c>
      <c r="S314" s="368" t="s">
        <v>1913</v>
      </c>
    </row>
    <row r="315" spans="1:19" s="364" customFormat="1" ht="15.6">
      <c r="A315" s="9">
        <v>44244</v>
      </c>
      <c r="B315" s="10" t="s">
        <v>23</v>
      </c>
      <c r="C315" s="10" t="s">
        <v>1914</v>
      </c>
      <c r="D315" s="337" t="s">
        <v>1915</v>
      </c>
      <c r="E315" s="74" t="s">
        <v>489</v>
      </c>
      <c r="F315" s="15" t="s">
        <v>490</v>
      </c>
      <c r="G315" s="245">
        <v>1</v>
      </c>
      <c r="H315" s="341">
        <v>72000</v>
      </c>
      <c r="I315" s="338">
        <f t="shared" si="20"/>
        <v>72000</v>
      </c>
      <c r="K315" s="203">
        <f t="shared" si="22"/>
        <v>72000</v>
      </c>
      <c r="L315" s="17">
        <v>26000</v>
      </c>
      <c r="N315" s="92">
        <f t="shared" si="21"/>
        <v>98000</v>
      </c>
      <c r="O315" s="10" t="s">
        <v>23</v>
      </c>
      <c r="Q315" s="10" t="s">
        <v>40</v>
      </c>
    </row>
    <row r="316" spans="1:19" s="364" customFormat="1" ht="15.6">
      <c r="A316" s="9">
        <v>44244</v>
      </c>
      <c r="B316" s="10" t="s">
        <v>23</v>
      </c>
      <c r="C316" s="11" t="s">
        <v>1916</v>
      </c>
      <c r="D316" s="337" t="s">
        <v>1917</v>
      </c>
      <c r="E316" s="15" t="s">
        <v>1918</v>
      </c>
      <c r="F316" s="33" t="s">
        <v>1919</v>
      </c>
      <c r="G316" s="245">
        <v>1</v>
      </c>
      <c r="H316" s="341">
        <v>109000</v>
      </c>
      <c r="I316" s="338">
        <f t="shared" si="20"/>
        <v>109000</v>
      </c>
      <c r="K316" s="203">
        <f t="shared" si="22"/>
        <v>109000</v>
      </c>
      <c r="L316" s="17">
        <v>19000</v>
      </c>
      <c r="N316" s="92">
        <f t="shared" si="21"/>
        <v>128000</v>
      </c>
      <c r="O316" s="10" t="s">
        <v>23</v>
      </c>
      <c r="Q316" s="10" t="s">
        <v>40</v>
      </c>
    </row>
    <row r="317" spans="1:19" s="364" customFormat="1" ht="15.6">
      <c r="A317" s="9">
        <v>44245</v>
      </c>
      <c r="B317" s="10" t="s">
        <v>23</v>
      </c>
      <c r="C317" s="10" t="s">
        <v>1920</v>
      </c>
      <c r="D317" s="337" t="s">
        <v>1921</v>
      </c>
      <c r="E317" s="10" t="s">
        <v>1922</v>
      </c>
      <c r="F317" s="10" t="s">
        <v>1923</v>
      </c>
      <c r="G317" s="30">
        <v>1</v>
      </c>
      <c r="H317" s="341">
        <v>148000</v>
      </c>
      <c r="I317" s="338">
        <f t="shared" si="20"/>
        <v>148000</v>
      </c>
      <c r="K317" s="203">
        <f t="shared" si="22"/>
        <v>148000</v>
      </c>
      <c r="L317" s="17">
        <v>36000</v>
      </c>
      <c r="N317" s="92">
        <f t="shared" si="21"/>
        <v>184000</v>
      </c>
      <c r="O317" s="10" t="s">
        <v>23</v>
      </c>
      <c r="Q317" s="10" t="s">
        <v>740</v>
      </c>
    </row>
    <row r="318" spans="1:19" s="364" customFormat="1" ht="15.6">
      <c r="A318" s="9">
        <v>44245</v>
      </c>
      <c r="B318" s="10" t="s">
        <v>23</v>
      </c>
      <c r="C318" s="11" t="s">
        <v>1924</v>
      </c>
      <c r="D318" s="337" t="s">
        <v>1925</v>
      </c>
      <c r="E318" s="10" t="s">
        <v>1926</v>
      </c>
      <c r="F318" s="11" t="s">
        <v>261</v>
      </c>
      <c r="G318" s="30">
        <v>1</v>
      </c>
      <c r="H318" s="341">
        <v>82000</v>
      </c>
      <c r="I318" s="338">
        <f t="shared" si="20"/>
        <v>82000</v>
      </c>
      <c r="K318" s="288">
        <f t="shared" si="22"/>
        <v>82000</v>
      </c>
      <c r="L318" s="17">
        <v>7000</v>
      </c>
      <c r="N318" s="92">
        <f t="shared" si="21"/>
        <v>89000</v>
      </c>
      <c r="O318" s="10" t="s">
        <v>23</v>
      </c>
      <c r="Q318" s="10" t="s">
        <v>28</v>
      </c>
    </row>
    <row r="319" spans="1:19" s="364" customFormat="1" ht="15.6">
      <c r="A319" s="9">
        <v>44245</v>
      </c>
      <c r="B319" s="10" t="s">
        <v>23</v>
      </c>
      <c r="C319" s="11" t="s">
        <v>1927</v>
      </c>
      <c r="D319" s="337" t="s">
        <v>1928</v>
      </c>
      <c r="E319" s="15" t="s">
        <v>1929</v>
      </c>
      <c r="F319" s="33" t="s">
        <v>1930</v>
      </c>
      <c r="G319" s="30">
        <v>1</v>
      </c>
      <c r="H319" s="341">
        <v>74000</v>
      </c>
      <c r="I319" s="338">
        <f t="shared" si="20"/>
        <v>74000</v>
      </c>
      <c r="K319" s="371">
        <f t="shared" si="22"/>
        <v>74000</v>
      </c>
      <c r="L319" s="17">
        <v>22000</v>
      </c>
      <c r="N319" s="92">
        <f t="shared" si="21"/>
        <v>96000</v>
      </c>
      <c r="O319" s="10" t="s">
        <v>23</v>
      </c>
      <c r="Q319" s="10" t="s">
        <v>40</v>
      </c>
    </row>
    <row r="320" spans="1:19" s="364" customFormat="1" ht="15.6" hidden="1">
      <c r="A320" s="9">
        <v>44245</v>
      </c>
      <c r="B320" s="10" t="s">
        <v>43</v>
      </c>
      <c r="C320" s="11" t="s">
        <v>1931</v>
      </c>
      <c r="D320" s="337" t="s">
        <v>1932</v>
      </c>
      <c r="E320" s="10" t="s">
        <v>1933</v>
      </c>
      <c r="F320" s="15" t="s">
        <v>202</v>
      </c>
      <c r="G320" s="30">
        <v>1</v>
      </c>
      <c r="H320" s="341">
        <v>141500</v>
      </c>
      <c r="I320" s="338">
        <f t="shared" si="20"/>
        <v>141500</v>
      </c>
      <c r="K320" s="371">
        <f t="shared" si="22"/>
        <v>141500</v>
      </c>
      <c r="L320" s="17">
        <v>-6127</v>
      </c>
      <c r="N320" s="92">
        <f>K320+L320+M320</f>
        <v>135373</v>
      </c>
      <c r="O320" s="10" t="s">
        <v>43</v>
      </c>
      <c r="P320" s="31" t="s">
        <v>1934</v>
      </c>
      <c r="Q320" s="10" t="s">
        <v>54</v>
      </c>
      <c r="S320" s="368" t="s">
        <v>1935</v>
      </c>
    </row>
    <row r="321" spans="1:19" s="364" customFormat="1" ht="15.6" hidden="1">
      <c r="A321" s="9">
        <v>44245</v>
      </c>
      <c r="B321" s="10" t="s">
        <v>43</v>
      </c>
      <c r="C321" s="10" t="s">
        <v>1936</v>
      </c>
      <c r="D321" s="337" t="s">
        <v>1937</v>
      </c>
      <c r="E321" s="22" t="s">
        <v>345</v>
      </c>
      <c r="F321" s="22" t="s">
        <v>346</v>
      </c>
      <c r="G321" s="30">
        <v>1</v>
      </c>
      <c r="H321" s="341">
        <v>66000</v>
      </c>
      <c r="I321" s="338">
        <f t="shared" si="20"/>
        <v>66000</v>
      </c>
      <c r="K321" s="371">
        <f t="shared" si="22"/>
        <v>66000</v>
      </c>
      <c r="L321" s="17">
        <v>23000</v>
      </c>
      <c r="M321" s="364">
        <v>-2858</v>
      </c>
      <c r="N321" s="92">
        <f t="shared" si="21"/>
        <v>86142</v>
      </c>
      <c r="O321" s="10" t="s">
        <v>43</v>
      </c>
      <c r="P321" s="368" t="s">
        <v>1938</v>
      </c>
      <c r="Q321" s="10" t="s">
        <v>54</v>
      </c>
      <c r="S321" s="368" t="s">
        <v>1939</v>
      </c>
    </row>
    <row r="322" spans="1:19" s="364" customFormat="1" ht="15.6" hidden="1">
      <c r="A322" s="9">
        <v>44245</v>
      </c>
      <c r="B322" s="10" t="s">
        <v>43</v>
      </c>
      <c r="C322" s="11" t="s">
        <v>1940</v>
      </c>
      <c r="D322" s="337" t="s">
        <v>1941</v>
      </c>
      <c r="E322" s="71" t="s">
        <v>62</v>
      </c>
      <c r="F322" s="71" t="s">
        <v>63</v>
      </c>
      <c r="G322" s="30">
        <v>1</v>
      </c>
      <c r="H322" s="341">
        <v>66000</v>
      </c>
      <c r="I322" s="338">
        <f t="shared" si="20"/>
        <v>66000</v>
      </c>
      <c r="K322" s="371">
        <f t="shared" si="22"/>
        <v>66000</v>
      </c>
      <c r="L322" s="17">
        <v>6000</v>
      </c>
      <c r="M322" s="364">
        <v>-2858</v>
      </c>
      <c r="N322" s="92">
        <f t="shared" si="21"/>
        <v>69142</v>
      </c>
      <c r="O322" s="10" t="s">
        <v>43</v>
      </c>
      <c r="P322" s="31" t="s">
        <v>1942</v>
      </c>
      <c r="Q322" s="10" t="s">
        <v>54</v>
      </c>
      <c r="S322" s="368" t="s">
        <v>1943</v>
      </c>
    </row>
    <row r="323" spans="1:19" s="364" customFormat="1" ht="15.6" hidden="1">
      <c r="A323" s="9">
        <v>44245</v>
      </c>
      <c r="B323" s="10" t="s">
        <v>43</v>
      </c>
      <c r="C323" s="11" t="s">
        <v>1677</v>
      </c>
      <c r="D323" s="337" t="s">
        <v>1678</v>
      </c>
      <c r="E323" s="15" t="s">
        <v>1944</v>
      </c>
      <c r="F323" s="15" t="s">
        <v>1945</v>
      </c>
      <c r="G323" s="30">
        <v>1</v>
      </c>
      <c r="H323" s="341">
        <v>100000</v>
      </c>
      <c r="I323" s="338">
        <f t="shared" si="20"/>
        <v>100000</v>
      </c>
      <c r="K323" s="371">
        <f t="shared" si="22"/>
        <v>100000</v>
      </c>
      <c r="L323" s="17">
        <v>25000</v>
      </c>
      <c r="M323" s="364">
        <v>-4330</v>
      </c>
      <c r="N323" s="92">
        <f t="shared" si="21"/>
        <v>120670</v>
      </c>
      <c r="O323" s="10" t="s">
        <v>43</v>
      </c>
      <c r="P323" s="368" t="s">
        <v>1946</v>
      </c>
      <c r="Q323" s="10" t="s">
        <v>54</v>
      </c>
      <c r="S323" s="368" t="s">
        <v>1947</v>
      </c>
    </row>
    <row r="324" spans="1:19" s="364" customFormat="1" ht="15.6" hidden="1">
      <c r="A324" s="9">
        <v>44245</v>
      </c>
      <c r="B324" s="10" t="s">
        <v>43</v>
      </c>
      <c r="C324" s="11" t="s">
        <v>1948</v>
      </c>
      <c r="D324" s="337" t="s">
        <v>1949</v>
      </c>
      <c r="E324" s="10" t="s">
        <v>559</v>
      </c>
      <c r="F324" s="10" t="s">
        <v>114</v>
      </c>
      <c r="G324" s="30">
        <v>1</v>
      </c>
      <c r="H324" s="341">
        <v>96000</v>
      </c>
      <c r="I324" s="338">
        <f t="shared" si="20"/>
        <v>96000</v>
      </c>
      <c r="K324" s="371">
        <f t="shared" si="22"/>
        <v>96000</v>
      </c>
      <c r="L324" s="17">
        <v>16000</v>
      </c>
      <c r="M324" s="20">
        <v>-4517</v>
      </c>
      <c r="N324" s="92">
        <f t="shared" si="21"/>
        <v>107483</v>
      </c>
      <c r="O324" s="10" t="s">
        <v>43</v>
      </c>
      <c r="P324" s="368" t="s">
        <v>1950</v>
      </c>
      <c r="Q324" s="10" t="s">
        <v>40</v>
      </c>
      <c r="S324" s="368" t="s">
        <v>1951</v>
      </c>
    </row>
    <row r="325" spans="1:19" s="364" customFormat="1" ht="15.6">
      <c r="A325" s="9">
        <v>44245</v>
      </c>
      <c r="B325" s="10" t="s">
        <v>23</v>
      </c>
      <c r="C325" s="10" t="s">
        <v>1952</v>
      </c>
      <c r="D325" s="337" t="s">
        <v>1953</v>
      </c>
      <c r="E325" s="15" t="s">
        <v>1954</v>
      </c>
      <c r="F325" s="15" t="s">
        <v>1955</v>
      </c>
      <c r="G325" s="30">
        <v>1</v>
      </c>
      <c r="H325" s="341">
        <v>85000</v>
      </c>
      <c r="I325" s="338">
        <f t="shared" si="20"/>
        <v>85000</v>
      </c>
      <c r="K325" s="371">
        <f t="shared" si="22"/>
        <v>85000</v>
      </c>
      <c r="L325" s="17">
        <v>17000</v>
      </c>
      <c r="N325" s="92">
        <f t="shared" si="21"/>
        <v>102000</v>
      </c>
      <c r="O325" s="10" t="s">
        <v>23</v>
      </c>
      <c r="Q325" s="10" t="s">
        <v>40</v>
      </c>
    </row>
    <row r="326" spans="1:19" s="364" customFormat="1" ht="16.8" hidden="1">
      <c r="A326" s="9">
        <v>44245</v>
      </c>
      <c r="B326" s="10" t="s">
        <v>313</v>
      </c>
      <c r="C326" s="70" t="s">
        <v>1956</v>
      </c>
      <c r="D326" s="337" t="s">
        <v>1957</v>
      </c>
      <c r="E326" s="74" t="s">
        <v>489</v>
      </c>
      <c r="F326" s="15" t="s">
        <v>490</v>
      </c>
      <c r="G326" s="30">
        <v>1</v>
      </c>
      <c r="H326" s="341">
        <v>72000</v>
      </c>
      <c r="I326" s="338">
        <f t="shared" si="20"/>
        <v>72000</v>
      </c>
      <c r="K326" s="371">
        <f t="shared" si="22"/>
        <v>72000</v>
      </c>
      <c r="L326" s="17">
        <v>17024</v>
      </c>
      <c r="N326" s="92">
        <f t="shared" si="21"/>
        <v>89024</v>
      </c>
      <c r="O326" s="10" t="s">
        <v>23</v>
      </c>
      <c r="Q326" s="10" t="s">
        <v>40</v>
      </c>
    </row>
    <row r="327" spans="1:19" s="364" customFormat="1" ht="15.6" hidden="1">
      <c r="A327" s="9">
        <v>44245</v>
      </c>
      <c r="B327" s="10" t="s">
        <v>170</v>
      </c>
      <c r="C327" s="11" t="s">
        <v>1958</v>
      </c>
      <c r="D327" s="337" t="s">
        <v>1959</v>
      </c>
      <c r="E327" s="372" t="s">
        <v>1960</v>
      </c>
      <c r="F327" s="372" t="s">
        <v>1961</v>
      </c>
      <c r="G327" s="30">
        <v>1</v>
      </c>
      <c r="H327" s="341">
        <v>98000</v>
      </c>
      <c r="I327" s="338">
        <f t="shared" si="20"/>
        <v>98000</v>
      </c>
      <c r="K327" s="371">
        <f t="shared" si="22"/>
        <v>98000</v>
      </c>
      <c r="L327" s="365">
        <f>13000-13000</f>
        <v>0</v>
      </c>
      <c r="N327" s="92">
        <f t="shared" si="21"/>
        <v>98000</v>
      </c>
      <c r="O327" s="10" t="s">
        <v>170</v>
      </c>
      <c r="P327" s="373" t="s">
        <v>1962</v>
      </c>
      <c r="Q327" s="10" t="s">
        <v>176</v>
      </c>
      <c r="S327" s="373" t="s">
        <v>1962</v>
      </c>
    </row>
    <row r="328" spans="1:19" s="364" customFormat="1" ht="15.6" hidden="1">
      <c r="A328" s="9">
        <v>44245</v>
      </c>
      <c r="B328" s="10" t="s">
        <v>170</v>
      </c>
      <c r="C328" s="11" t="s">
        <v>1958</v>
      </c>
      <c r="D328" s="337" t="s">
        <v>1963</v>
      </c>
      <c r="E328" s="372" t="s">
        <v>1964</v>
      </c>
      <c r="F328" s="374" t="s">
        <v>1965</v>
      </c>
      <c r="G328" s="30">
        <v>1</v>
      </c>
      <c r="H328" s="341">
        <v>96500</v>
      </c>
      <c r="I328" s="338">
        <f t="shared" si="20"/>
        <v>96500</v>
      </c>
      <c r="K328" s="371">
        <f t="shared" si="22"/>
        <v>96500</v>
      </c>
      <c r="L328" s="365"/>
      <c r="N328" s="92">
        <f t="shared" si="21"/>
        <v>96500</v>
      </c>
      <c r="O328" s="10" t="s">
        <v>170</v>
      </c>
      <c r="P328" s="373" t="s">
        <v>1962</v>
      </c>
      <c r="Q328" s="10" t="s">
        <v>176</v>
      </c>
      <c r="S328" s="373" t="s">
        <v>1962</v>
      </c>
    </row>
    <row r="329" spans="1:19" s="364" customFormat="1" ht="15.6">
      <c r="A329" s="9">
        <v>44245</v>
      </c>
      <c r="B329" s="10" t="s">
        <v>23</v>
      </c>
      <c r="C329" s="10" t="s">
        <v>1966</v>
      </c>
      <c r="D329" s="337" t="s">
        <v>1967</v>
      </c>
      <c r="E329" s="15" t="s">
        <v>899</v>
      </c>
      <c r="F329" s="15" t="s">
        <v>900</v>
      </c>
      <c r="G329" s="242">
        <v>1</v>
      </c>
      <c r="H329" s="341">
        <v>120000</v>
      </c>
      <c r="I329" s="338">
        <f t="shared" si="20"/>
        <v>120000</v>
      </c>
      <c r="K329" s="371">
        <f t="shared" si="22"/>
        <v>120000</v>
      </c>
      <c r="L329" s="17">
        <v>10000</v>
      </c>
      <c r="N329" s="92">
        <f t="shared" si="21"/>
        <v>130000</v>
      </c>
      <c r="O329" s="10" t="s">
        <v>23</v>
      </c>
      <c r="Q329" s="10" t="s">
        <v>40</v>
      </c>
    </row>
    <row r="330" spans="1:19" s="364" customFormat="1" ht="15.6" hidden="1">
      <c r="A330" s="9">
        <v>44245</v>
      </c>
      <c r="B330" s="10" t="s">
        <v>43</v>
      </c>
      <c r="C330" s="11" t="s">
        <v>1968</v>
      </c>
      <c r="D330" s="337" t="s">
        <v>1969</v>
      </c>
      <c r="E330" s="289" t="s">
        <v>1970</v>
      </c>
      <c r="F330" s="273" t="s">
        <v>1971</v>
      </c>
      <c r="G330" s="242">
        <v>1</v>
      </c>
      <c r="H330" s="341">
        <v>70500</v>
      </c>
      <c r="I330" s="338">
        <f t="shared" si="20"/>
        <v>70500</v>
      </c>
      <c r="K330" s="371">
        <f t="shared" si="22"/>
        <v>70500</v>
      </c>
      <c r="L330" s="17">
        <v>30500</v>
      </c>
      <c r="M330" s="364">
        <v>-3053</v>
      </c>
      <c r="N330" s="92">
        <f t="shared" si="21"/>
        <v>97947</v>
      </c>
      <c r="O330" s="10" t="s">
        <v>43</v>
      </c>
      <c r="P330" s="368" t="s">
        <v>1972</v>
      </c>
      <c r="Q330" s="10" t="s">
        <v>54</v>
      </c>
      <c r="S330" s="368" t="s">
        <v>1973</v>
      </c>
    </row>
    <row r="331" spans="1:19" s="364" customFormat="1" ht="15.6">
      <c r="A331" s="9">
        <v>44245</v>
      </c>
      <c r="B331" s="10" t="s">
        <v>23</v>
      </c>
      <c r="C331" s="10" t="s">
        <v>1974</v>
      </c>
      <c r="D331" s="337" t="s">
        <v>1975</v>
      </c>
      <c r="E331" s="74" t="s">
        <v>489</v>
      </c>
      <c r="F331" s="15" t="s">
        <v>490</v>
      </c>
      <c r="G331" s="242">
        <v>1</v>
      </c>
      <c r="H331" s="341">
        <v>72000</v>
      </c>
      <c r="I331" s="338">
        <f t="shared" si="20"/>
        <v>72000</v>
      </c>
      <c r="K331" s="371">
        <f t="shared" si="22"/>
        <v>72000</v>
      </c>
      <c r="L331" s="17">
        <v>17000</v>
      </c>
      <c r="N331" s="92">
        <f t="shared" si="21"/>
        <v>89000</v>
      </c>
      <c r="O331" s="10" t="s">
        <v>23</v>
      </c>
      <c r="Q331" s="10" t="s">
        <v>40</v>
      </c>
    </row>
    <row r="332" spans="1:19" s="364" customFormat="1" ht="15.6">
      <c r="A332" s="9">
        <v>44245</v>
      </c>
      <c r="B332" s="10" t="s">
        <v>23</v>
      </c>
      <c r="C332" s="11" t="s">
        <v>1976</v>
      </c>
      <c r="D332" s="337" t="s">
        <v>1977</v>
      </c>
      <c r="E332" s="311" t="s">
        <v>1529</v>
      </c>
      <c r="F332" s="15" t="s">
        <v>1530</v>
      </c>
      <c r="G332" s="242">
        <v>1</v>
      </c>
      <c r="H332" s="341">
        <v>104000</v>
      </c>
      <c r="I332" s="338">
        <f t="shared" si="20"/>
        <v>104000</v>
      </c>
      <c r="K332" s="371">
        <f t="shared" si="22"/>
        <v>104000</v>
      </c>
      <c r="L332" s="17">
        <v>19000</v>
      </c>
      <c r="N332" s="92">
        <f t="shared" si="21"/>
        <v>123000</v>
      </c>
      <c r="O332" s="10" t="s">
        <v>23</v>
      </c>
      <c r="Q332" s="337" t="s">
        <v>40</v>
      </c>
    </row>
    <row r="333" spans="1:19" s="364" customFormat="1" ht="15.6">
      <c r="A333" s="9">
        <v>44246</v>
      </c>
      <c r="B333" s="10" t="s">
        <v>23</v>
      </c>
      <c r="C333" s="11" t="s">
        <v>1978</v>
      </c>
      <c r="D333" s="337" t="s">
        <v>1979</v>
      </c>
      <c r="E333" s="91" t="s">
        <v>1980</v>
      </c>
      <c r="F333" s="91" t="s">
        <v>1981</v>
      </c>
      <c r="G333" s="242">
        <v>1</v>
      </c>
      <c r="H333" s="341">
        <v>172000</v>
      </c>
      <c r="I333" s="338">
        <f t="shared" si="20"/>
        <v>172000</v>
      </c>
      <c r="K333" s="203">
        <f t="shared" si="22"/>
        <v>172000</v>
      </c>
      <c r="L333" s="17">
        <v>25000</v>
      </c>
      <c r="N333" s="92">
        <f t="shared" si="21"/>
        <v>197000</v>
      </c>
      <c r="O333" s="10" t="s">
        <v>23</v>
      </c>
      <c r="Q333" s="10" t="s">
        <v>40</v>
      </c>
    </row>
    <row r="334" spans="1:19" s="364" customFormat="1" ht="15.6">
      <c r="A334" s="9">
        <v>44246</v>
      </c>
      <c r="B334" s="10" t="s">
        <v>23</v>
      </c>
      <c r="C334" s="11" t="s">
        <v>1982</v>
      </c>
      <c r="D334" s="337" t="s">
        <v>1983</v>
      </c>
      <c r="E334" s="128" t="s">
        <v>1984</v>
      </c>
      <c r="F334" s="128" t="s">
        <v>1985</v>
      </c>
      <c r="G334" s="242">
        <v>1</v>
      </c>
      <c r="H334" s="341">
        <v>74000</v>
      </c>
      <c r="I334" s="338">
        <f t="shared" si="20"/>
        <v>74000</v>
      </c>
      <c r="K334" s="203">
        <f t="shared" si="22"/>
        <v>74000</v>
      </c>
      <c r="L334" s="17">
        <v>45000</v>
      </c>
      <c r="N334" s="92">
        <f t="shared" si="21"/>
        <v>119000</v>
      </c>
      <c r="O334" s="10" t="s">
        <v>23</v>
      </c>
      <c r="Q334" s="10" t="s">
        <v>40</v>
      </c>
    </row>
    <row r="335" spans="1:19" s="364" customFormat="1" ht="15.6">
      <c r="A335" s="9">
        <v>44246</v>
      </c>
      <c r="B335" s="10" t="s">
        <v>23</v>
      </c>
      <c r="C335" s="11" t="s">
        <v>1986</v>
      </c>
      <c r="D335" s="337" t="s">
        <v>1987</v>
      </c>
      <c r="E335" s="98" t="s">
        <v>489</v>
      </c>
      <c r="F335" s="98" t="s">
        <v>490</v>
      </c>
      <c r="G335" s="242">
        <v>1</v>
      </c>
      <c r="H335" s="341">
        <v>72000</v>
      </c>
      <c r="I335" s="338">
        <f t="shared" si="20"/>
        <v>72000</v>
      </c>
      <c r="K335" s="203">
        <f t="shared" si="22"/>
        <v>72000</v>
      </c>
      <c r="L335" s="17">
        <v>49000</v>
      </c>
      <c r="N335" s="92">
        <f t="shared" si="21"/>
        <v>121000</v>
      </c>
      <c r="O335" s="10" t="s">
        <v>23</v>
      </c>
      <c r="Q335" s="10" t="s">
        <v>54</v>
      </c>
    </row>
    <row r="336" spans="1:19" s="364" customFormat="1" ht="15.6">
      <c r="A336" s="9">
        <v>44246</v>
      </c>
      <c r="B336" s="10" t="s">
        <v>23</v>
      </c>
      <c r="C336" s="11" t="s">
        <v>1986</v>
      </c>
      <c r="D336" s="337" t="s">
        <v>1987</v>
      </c>
      <c r="E336" s="98" t="s">
        <v>1988</v>
      </c>
      <c r="F336" s="99" t="s">
        <v>1989</v>
      </c>
      <c r="G336" s="242">
        <v>1</v>
      </c>
      <c r="H336" s="341">
        <v>75500</v>
      </c>
      <c r="I336" s="338">
        <f t="shared" si="20"/>
        <v>75500</v>
      </c>
      <c r="K336" s="203">
        <f t="shared" si="22"/>
        <v>75500</v>
      </c>
      <c r="L336" s="365"/>
      <c r="N336" s="92">
        <f t="shared" si="21"/>
        <v>75500</v>
      </c>
      <c r="O336" s="10" t="s">
        <v>23</v>
      </c>
      <c r="Q336" s="10" t="s">
        <v>54</v>
      </c>
    </row>
    <row r="337" spans="1:19" s="364" customFormat="1" ht="15.6">
      <c r="A337" s="9">
        <v>44246</v>
      </c>
      <c r="B337" s="10" t="s">
        <v>23</v>
      </c>
      <c r="C337" s="11" t="s">
        <v>1986</v>
      </c>
      <c r="D337" s="337" t="s">
        <v>1987</v>
      </c>
      <c r="E337" s="246" t="s">
        <v>945</v>
      </c>
      <c r="F337" s="247" t="s">
        <v>946</v>
      </c>
      <c r="G337" s="242">
        <v>1</v>
      </c>
      <c r="H337" s="341">
        <v>72500</v>
      </c>
      <c r="I337" s="338">
        <f t="shared" si="20"/>
        <v>72500</v>
      </c>
      <c r="K337" s="203">
        <f t="shared" si="22"/>
        <v>72500</v>
      </c>
      <c r="L337" s="365"/>
      <c r="N337" s="92">
        <f t="shared" si="21"/>
        <v>72500</v>
      </c>
      <c r="O337" s="10" t="s">
        <v>23</v>
      </c>
      <c r="Q337" s="10" t="s">
        <v>649</v>
      </c>
    </row>
    <row r="338" spans="1:19" s="364" customFormat="1" ht="15.6">
      <c r="A338" s="9">
        <v>44246</v>
      </c>
      <c r="B338" s="10" t="s">
        <v>23</v>
      </c>
      <c r="C338" s="10" t="s">
        <v>1990</v>
      </c>
      <c r="D338" s="337" t="s">
        <v>1991</v>
      </c>
      <c r="E338" s="14" t="s">
        <v>1992</v>
      </c>
      <c r="F338" s="14" t="s">
        <v>1993</v>
      </c>
      <c r="G338" s="242">
        <v>1</v>
      </c>
      <c r="H338" s="341">
        <v>75500</v>
      </c>
      <c r="I338" s="338">
        <f t="shared" si="20"/>
        <v>75500</v>
      </c>
      <c r="K338" s="203">
        <f t="shared" si="22"/>
        <v>75500</v>
      </c>
      <c r="L338" s="17">
        <v>7000</v>
      </c>
      <c r="N338" s="92">
        <f t="shared" si="21"/>
        <v>82500</v>
      </c>
      <c r="O338" s="10" t="s">
        <v>23</v>
      </c>
      <c r="Q338" s="337" t="s">
        <v>28</v>
      </c>
    </row>
    <row r="339" spans="1:19" s="364" customFormat="1" ht="15.6">
      <c r="A339" s="9">
        <v>44246</v>
      </c>
      <c r="B339" s="10" t="s">
        <v>23</v>
      </c>
      <c r="C339" s="11" t="s">
        <v>1994</v>
      </c>
      <c r="D339" s="337" t="s">
        <v>1995</v>
      </c>
      <c r="E339" s="14" t="s">
        <v>1996</v>
      </c>
      <c r="F339" s="14" t="s">
        <v>1997</v>
      </c>
      <c r="G339" s="242">
        <v>1</v>
      </c>
      <c r="H339" s="341">
        <v>94000</v>
      </c>
      <c r="I339" s="338">
        <f t="shared" si="20"/>
        <v>94000</v>
      </c>
      <c r="K339" s="203">
        <f t="shared" si="22"/>
        <v>94000</v>
      </c>
      <c r="L339" s="17">
        <v>55000</v>
      </c>
      <c r="N339" s="92">
        <f t="shared" si="21"/>
        <v>149000</v>
      </c>
      <c r="O339" s="10" t="s">
        <v>23</v>
      </c>
      <c r="Q339" s="337" t="s">
        <v>40</v>
      </c>
    </row>
    <row r="340" spans="1:19" ht="15.6">
      <c r="A340" s="9">
        <v>44246</v>
      </c>
      <c r="B340" s="10" t="s">
        <v>23</v>
      </c>
      <c r="C340" s="375" t="s">
        <v>1998</v>
      </c>
      <c r="D340" s="376" t="s">
        <v>1999</v>
      </c>
      <c r="E340" t="s">
        <v>2000</v>
      </c>
      <c r="F340" s="375" t="s">
        <v>2001</v>
      </c>
      <c r="G340" s="245">
        <v>4</v>
      </c>
      <c r="H340" s="341">
        <v>75000</v>
      </c>
      <c r="I340" s="338">
        <f t="shared" si="20"/>
        <v>300000</v>
      </c>
      <c r="J340">
        <f>I340*35%</f>
        <v>105000</v>
      </c>
      <c r="K340" s="203">
        <f t="shared" si="22"/>
        <v>195000</v>
      </c>
      <c r="L340" s="17">
        <v>16000</v>
      </c>
      <c r="N340" s="92">
        <f t="shared" si="21"/>
        <v>211000</v>
      </c>
      <c r="O340" s="10" t="s">
        <v>23</v>
      </c>
      <c r="Q340" s="375" t="s">
        <v>2002</v>
      </c>
    </row>
    <row r="341" spans="1:19" ht="15.6">
      <c r="A341" s="9">
        <v>44246</v>
      </c>
      <c r="B341" s="10" t="s">
        <v>23</v>
      </c>
      <c r="C341" t="s">
        <v>2003</v>
      </c>
      <c r="D341" s="377" t="s">
        <v>2004</v>
      </c>
      <c r="E341" t="s">
        <v>2000</v>
      </c>
      <c r="F341" s="375" t="s">
        <v>2001</v>
      </c>
      <c r="G341" s="245">
        <v>2</v>
      </c>
      <c r="H341" s="341">
        <v>75000</v>
      </c>
      <c r="I341" s="338">
        <f t="shared" si="20"/>
        <v>150000</v>
      </c>
      <c r="J341">
        <f t="shared" ref="J341:J342" si="23">I341*35%</f>
        <v>52500</v>
      </c>
      <c r="K341" s="203">
        <f t="shared" si="22"/>
        <v>97500</v>
      </c>
      <c r="L341" s="378"/>
      <c r="N341" s="92">
        <f t="shared" si="21"/>
        <v>97500</v>
      </c>
      <c r="O341" s="10" t="s">
        <v>23</v>
      </c>
      <c r="Q341" s="375" t="s">
        <v>2005</v>
      </c>
    </row>
    <row r="342" spans="1:19" ht="15.6">
      <c r="A342" s="9">
        <v>44246</v>
      </c>
      <c r="B342" s="10" t="s">
        <v>23</v>
      </c>
      <c r="C342" t="s">
        <v>2006</v>
      </c>
      <c r="D342" s="377" t="s">
        <v>2007</v>
      </c>
      <c r="E342" t="s">
        <v>2000</v>
      </c>
      <c r="F342" s="375" t="s">
        <v>2001</v>
      </c>
      <c r="G342" s="245">
        <v>1</v>
      </c>
      <c r="H342" s="341">
        <v>75000</v>
      </c>
      <c r="I342" s="338">
        <f t="shared" si="20"/>
        <v>75000</v>
      </c>
      <c r="J342">
        <f t="shared" si="23"/>
        <v>26250</v>
      </c>
      <c r="K342" s="203">
        <f t="shared" si="22"/>
        <v>48750</v>
      </c>
      <c r="L342" s="378"/>
      <c r="N342" s="92">
        <f t="shared" si="21"/>
        <v>48750</v>
      </c>
      <c r="O342" s="10" t="s">
        <v>23</v>
      </c>
      <c r="Q342" s="375" t="s">
        <v>2005</v>
      </c>
    </row>
    <row r="343" spans="1:19" s="364" customFormat="1" ht="15.6">
      <c r="A343" s="9">
        <v>44249</v>
      </c>
      <c r="B343" s="10" t="s">
        <v>23</v>
      </c>
      <c r="C343" s="11" t="s">
        <v>2008</v>
      </c>
      <c r="D343" s="337" t="s">
        <v>2009</v>
      </c>
      <c r="E343" s="14" t="s">
        <v>489</v>
      </c>
      <c r="F343" s="22" t="s">
        <v>490</v>
      </c>
      <c r="G343" s="56">
        <v>1</v>
      </c>
      <c r="H343" s="341">
        <v>72000</v>
      </c>
      <c r="I343" s="338">
        <f t="shared" si="20"/>
        <v>72000</v>
      </c>
      <c r="K343" s="203">
        <f t="shared" si="22"/>
        <v>72000</v>
      </c>
      <c r="L343" s="365">
        <v>17000</v>
      </c>
      <c r="N343" s="92">
        <f t="shared" si="21"/>
        <v>89000</v>
      </c>
      <c r="O343" s="10" t="s">
        <v>23</v>
      </c>
      <c r="Q343" s="10" t="s">
        <v>40</v>
      </c>
    </row>
    <row r="344" spans="1:19" s="275" customFormat="1" ht="15.6">
      <c r="A344" s="349">
        <v>44249</v>
      </c>
      <c r="B344" s="261" t="s">
        <v>23</v>
      </c>
      <c r="C344" s="379" t="s">
        <v>2010</v>
      </c>
      <c r="D344" s="351" t="s">
        <v>2011</v>
      </c>
      <c r="E344" s="62" t="s">
        <v>1784</v>
      </c>
      <c r="F344" s="63" t="s">
        <v>1785</v>
      </c>
      <c r="G344" s="56">
        <v>1</v>
      </c>
      <c r="H344" s="353">
        <v>72000</v>
      </c>
      <c r="I344" s="354">
        <f t="shared" ref="I344:I418" si="24">G344*H344</f>
        <v>72000</v>
      </c>
      <c r="J344" s="275">
        <f>I344*25%</f>
        <v>18000</v>
      </c>
      <c r="K344" s="355">
        <f t="shared" si="22"/>
        <v>54000</v>
      </c>
      <c r="L344" s="274">
        <v>66000</v>
      </c>
      <c r="N344" s="279">
        <f t="shared" si="21"/>
        <v>120000</v>
      </c>
      <c r="O344" s="261" t="s">
        <v>23</v>
      </c>
      <c r="Q344" s="261" t="s">
        <v>54</v>
      </c>
    </row>
    <row r="345" spans="1:19" s="364" customFormat="1" ht="15.6" hidden="1">
      <c r="A345" s="9">
        <v>44249</v>
      </c>
      <c r="B345" s="10" t="s">
        <v>43</v>
      </c>
      <c r="C345" s="11" t="s">
        <v>2012</v>
      </c>
      <c r="D345" s="380" t="s">
        <v>2013</v>
      </c>
      <c r="E345" s="81" t="s">
        <v>1371</v>
      </c>
      <c r="F345" s="82" t="s">
        <v>1372</v>
      </c>
      <c r="G345" s="56">
        <v>1</v>
      </c>
      <c r="H345" s="341">
        <v>98000</v>
      </c>
      <c r="I345" s="338">
        <f t="shared" si="24"/>
        <v>98000</v>
      </c>
      <c r="K345" s="203">
        <f t="shared" si="22"/>
        <v>98000</v>
      </c>
      <c r="L345" s="17">
        <v>17000</v>
      </c>
      <c r="M345" s="364">
        <v>-7101</v>
      </c>
      <c r="N345" s="92">
        <f t="shared" si="21"/>
        <v>107899</v>
      </c>
      <c r="O345" s="10" t="s">
        <v>43</v>
      </c>
      <c r="P345" s="31" t="s">
        <v>2014</v>
      </c>
      <c r="Q345" s="10" t="s">
        <v>40</v>
      </c>
      <c r="S345" s="32" t="s">
        <v>2015</v>
      </c>
    </row>
    <row r="346" spans="1:19" s="364" customFormat="1" ht="15.6" hidden="1">
      <c r="A346" s="9">
        <v>44249</v>
      </c>
      <c r="B346" s="10" t="s">
        <v>43</v>
      </c>
      <c r="C346" s="11" t="s">
        <v>2012</v>
      </c>
      <c r="D346" s="380" t="s">
        <v>2013</v>
      </c>
      <c r="E346" s="81" t="s">
        <v>345</v>
      </c>
      <c r="F346" s="81" t="s">
        <v>346</v>
      </c>
      <c r="G346" s="56">
        <v>1</v>
      </c>
      <c r="H346" s="341">
        <v>66000</v>
      </c>
      <c r="I346" s="338">
        <f t="shared" si="24"/>
        <v>66000</v>
      </c>
      <c r="K346" s="203">
        <f t="shared" si="22"/>
        <v>66000</v>
      </c>
      <c r="L346" s="365"/>
      <c r="N346" s="92">
        <f t="shared" si="21"/>
        <v>66000</v>
      </c>
      <c r="O346" s="10" t="s">
        <v>43</v>
      </c>
      <c r="P346" s="31" t="s">
        <v>2014</v>
      </c>
      <c r="Q346" s="10" t="s">
        <v>40</v>
      </c>
      <c r="S346" s="32" t="s">
        <v>2015</v>
      </c>
    </row>
    <row r="347" spans="1:19" s="364" customFormat="1" ht="15.6" hidden="1">
      <c r="A347" s="9">
        <v>44249</v>
      </c>
      <c r="B347" s="10" t="s">
        <v>43</v>
      </c>
      <c r="C347" s="10" t="s">
        <v>2016</v>
      </c>
      <c r="D347" s="337" t="s">
        <v>2017</v>
      </c>
      <c r="E347" s="14" t="s">
        <v>824</v>
      </c>
      <c r="F347" s="14" t="s">
        <v>825</v>
      </c>
      <c r="G347" s="56">
        <v>1</v>
      </c>
      <c r="H347" s="341">
        <v>136500</v>
      </c>
      <c r="I347" s="338">
        <f t="shared" si="24"/>
        <v>136500</v>
      </c>
      <c r="K347" s="203">
        <f t="shared" si="22"/>
        <v>136500</v>
      </c>
      <c r="L347" s="17">
        <v>24000</v>
      </c>
      <c r="M347" s="364">
        <v>-5911</v>
      </c>
      <c r="N347" s="92">
        <f t="shared" si="21"/>
        <v>154589</v>
      </c>
      <c r="O347" s="10" t="s">
        <v>43</v>
      </c>
      <c r="P347" s="31" t="s">
        <v>2018</v>
      </c>
      <c r="Q347" s="10" t="s">
        <v>40</v>
      </c>
      <c r="S347" s="32" t="s">
        <v>2019</v>
      </c>
    </row>
    <row r="348" spans="1:19" s="364" customFormat="1" ht="15.6" hidden="1">
      <c r="A348" s="9">
        <v>44249</v>
      </c>
      <c r="B348" s="10" t="s">
        <v>43</v>
      </c>
      <c r="C348" s="11" t="s">
        <v>2020</v>
      </c>
      <c r="D348" s="337" t="s">
        <v>2021</v>
      </c>
      <c r="E348" s="14" t="s">
        <v>1371</v>
      </c>
      <c r="F348" s="339" t="s">
        <v>1372</v>
      </c>
      <c r="G348" s="56">
        <v>1</v>
      </c>
      <c r="H348" s="341">
        <v>98000</v>
      </c>
      <c r="I348" s="338">
        <f t="shared" si="24"/>
        <v>98000</v>
      </c>
      <c r="K348" s="203">
        <f t="shared" si="22"/>
        <v>98000</v>
      </c>
      <c r="L348" s="17">
        <v>13000</v>
      </c>
      <c r="M348" s="364">
        <v>-4243</v>
      </c>
      <c r="N348" s="92">
        <f t="shared" si="21"/>
        <v>106757</v>
      </c>
      <c r="O348" s="10" t="s">
        <v>43</v>
      </c>
      <c r="P348" s="31" t="s">
        <v>2022</v>
      </c>
      <c r="Q348" s="10" t="s">
        <v>54</v>
      </c>
      <c r="S348" s="368" t="s">
        <v>2023</v>
      </c>
    </row>
    <row r="349" spans="1:19" s="364" customFormat="1" ht="15.6" hidden="1">
      <c r="A349" s="9">
        <v>44249</v>
      </c>
      <c r="B349" s="10" t="s">
        <v>43</v>
      </c>
      <c r="C349" s="10" t="s">
        <v>2024</v>
      </c>
      <c r="D349" s="337" t="s">
        <v>2025</v>
      </c>
      <c r="E349" s="14" t="s">
        <v>489</v>
      </c>
      <c r="F349" s="14" t="s">
        <v>490</v>
      </c>
      <c r="G349" s="56">
        <v>1</v>
      </c>
      <c r="H349" s="341">
        <v>72000</v>
      </c>
      <c r="I349" s="338">
        <f t="shared" si="24"/>
        <v>72000</v>
      </c>
      <c r="K349" s="203">
        <f t="shared" si="22"/>
        <v>72000</v>
      </c>
      <c r="L349" s="17">
        <v>13000</v>
      </c>
      <c r="M349" s="20">
        <v>-3118</v>
      </c>
      <c r="N349" s="92">
        <f t="shared" si="21"/>
        <v>81882</v>
      </c>
      <c r="O349" s="10" t="s">
        <v>43</v>
      </c>
      <c r="P349" s="31" t="s">
        <v>2026</v>
      </c>
      <c r="Q349" s="10" t="s">
        <v>54</v>
      </c>
      <c r="S349" s="368" t="s">
        <v>2027</v>
      </c>
    </row>
    <row r="350" spans="1:19" s="364" customFormat="1" ht="15.6" hidden="1">
      <c r="A350" s="9">
        <v>44249</v>
      </c>
      <c r="B350" s="10" t="s">
        <v>43</v>
      </c>
      <c r="C350" s="11" t="s">
        <v>2028</v>
      </c>
      <c r="D350" s="337" t="s">
        <v>2029</v>
      </c>
      <c r="E350" s="200" t="s">
        <v>2030</v>
      </c>
      <c r="F350" s="200" t="s">
        <v>2031</v>
      </c>
      <c r="G350" s="56">
        <v>1</v>
      </c>
      <c r="H350" s="341">
        <v>71500</v>
      </c>
      <c r="I350" s="338">
        <f t="shared" si="24"/>
        <v>71500</v>
      </c>
      <c r="K350" s="203">
        <f t="shared" si="22"/>
        <v>71500</v>
      </c>
      <c r="L350" s="17">
        <v>6000</v>
      </c>
      <c r="M350" s="20">
        <v>-3093</v>
      </c>
      <c r="N350" s="92">
        <f t="shared" si="21"/>
        <v>74407</v>
      </c>
      <c r="O350" s="10" t="s">
        <v>43</v>
      </c>
      <c r="P350" s="31" t="s">
        <v>2032</v>
      </c>
      <c r="Q350" s="10" t="s">
        <v>54</v>
      </c>
      <c r="S350" s="368" t="s">
        <v>2033</v>
      </c>
    </row>
    <row r="351" spans="1:19" s="364" customFormat="1" ht="15.6" hidden="1">
      <c r="A351" s="9">
        <v>44249</v>
      </c>
      <c r="B351" s="10" t="s">
        <v>206</v>
      </c>
      <c r="C351" s="381" t="s">
        <v>2034</v>
      </c>
      <c r="D351" s="337" t="s">
        <v>2035</v>
      </c>
      <c r="E351" s="90" t="s">
        <v>2036</v>
      </c>
      <c r="F351" s="357" t="s">
        <v>2037</v>
      </c>
      <c r="G351" s="56">
        <v>1</v>
      </c>
      <c r="H351" s="341">
        <v>59000</v>
      </c>
      <c r="I351" s="338">
        <f t="shared" si="24"/>
        <v>59000</v>
      </c>
      <c r="K351" s="203">
        <f t="shared" si="22"/>
        <v>59000</v>
      </c>
      <c r="L351" s="17">
        <v>33400</v>
      </c>
      <c r="N351" s="92">
        <f t="shared" si="21"/>
        <v>92400</v>
      </c>
      <c r="O351" s="10" t="s">
        <v>206</v>
      </c>
      <c r="P351" s="368" t="s">
        <v>2038</v>
      </c>
      <c r="Q351" s="10" t="s">
        <v>176</v>
      </c>
      <c r="S351" s="363" t="s">
        <v>2039</v>
      </c>
    </row>
    <row r="352" spans="1:19" s="364" customFormat="1" ht="15.6" hidden="1">
      <c r="A352" s="9">
        <v>44249</v>
      </c>
      <c r="B352" s="10" t="s">
        <v>177</v>
      </c>
      <c r="C352" s="10" t="s">
        <v>2040</v>
      </c>
      <c r="D352" s="337" t="s">
        <v>2041</v>
      </c>
      <c r="E352" s="90" t="s">
        <v>221</v>
      </c>
      <c r="F352" s="90" t="s">
        <v>222</v>
      </c>
      <c r="G352" s="56">
        <v>1</v>
      </c>
      <c r="H352" s="341">
        <v>44000</v>
      </c>
      <c r="I352" s="338">
        <f t="shared" si="24"/>
        <v>44000</v>
      </c>
      <c r="J352" s="364">
        <f>I352*20%</f>
        <v>8800</v>
      </c>
      <c r="K352" s="203">
        <f t="shared" si="22"/>
        <v>35200</v>
      </c>
      <c r="L352" s="17">
        <v>16000</v>
      </c>
      <c r="N352" s="92">
        <f t="shared" si="21"/>
        <v>51200</v>
      </c>
      <c r="O352" s="10" t="s">
        <v>177</v>
      </c>
      <c r="P352" s="364">
        <v>544403036238325</v>
      </c>
      <c r="Q352" s="10" t="s">
        <v>54</v>
      </c>
      <c r="S352" s="368" t="s">
        <v>2042</v>
      </c>
    </row>
    <row r="353" spans="1:19" s="364" customFormat="1" ht="15.6" hidden="1">
      <c r="A353" s="9">
        <v>44249</v>
      </c>
      <c r="B353" s="10" t="s">
        <v>177</v>
      </c>
      <c r="C353" s="10" t="s">
        <v>2043</v>
      </c>
      <c r="D353" s="337" t="s">
        <v>2044</v>
      </c>
      <c r="E353" s="91" t="s">
        <v>471</v>
      </c>
      <c r="F353" s="91" t="s">
        <v>472</v>
      </c>
      <c r="G353" s="56">
        <v>1</v>
      </c>
      <c r="H353" s="341">
        <v>11100</v>
      </c>
      <c r="I353" s="338">
        <f t="shared" si="24"/>
        <v>11100</v>
      </c>
      <c r="J353" s="364">
        <f>I353*20%</f>
        <v>2220</v>
      </c>
      <c r="K353" s="203">
        <f t="shared" si="22"/>
        <v>8880</v>
      </c>
      <c r="L353" s="17">
        <v>41000</v>
      </c>
      <c r="N353" s="92">
        <f t="shared" si="21"/>
        <v>49880</v>
      </c>
      <c r="O353" s="10" t="s">
        <v>177</v>
      </c>
      <c r="P353" s="364">
        <v>549516372371919</v>
      </c>
      <c r="Q353" s="10" t="s">
        <v>54</v>
      </c>
      <c r="S353" s="368" t="s">
        <v>2045</v>
      </c>
    </row>
    <row r="354" spans="1:19" s="364" customFormat="1" ht="15.6">
      <c r="A354" s="9">
        <v>44249</v>
      </c>
      <c r="B354" s="10" t="s">
        <v>23</v>
      </c>
      <c r="C354" s="11" t="s">
        <v>2046</v>
      </c>
      <c r="D354" s="337" t="s">
        <v>2047</v>
      </c>
      <c r="E354" s="285" t="s">
        <v>2048</v>
      </c>
      <c r="F354" s="98" t="s">
        <v>2049</v>
      </c>
      <c r="G354" s="245">
        <v>1</v>
      </c>
      <c r="H354" s="341">
        <v>32000</v>
      </c>
      <c r="I354" s="338">
        <f t="shared" si="24"/>
        <v>32000</v>
      </c>
      <c r="K354" s="203">
        <f t="shared" si="22"/>
        <v>32000</v>
      </c>
      <c r="L354" s="17">
        <v>70000</v>
      </c>
      <c r="N354" s="92">
        <f t="shared" si="21"/>
        <v>102000</v>
      </c>
      <c r="O354" s="10" t="s">
        <v>23</v>
      </c>
      <c r="Q354" s="10" t="s">
        <v>40</v>
      </c>
    </row>
    <row r="355" spans="1:19" s="364" customFormat="1" ht="15.6">
      <c r="A355" s="9">
        <v>44249</v>
      </c>
      <c r="B355" s="10" t="s">
        <v>23</v>
      </c>
      <c r="C355" s="11" t="s">
        <v>2046</v>
      </c>
      <c r="D355" s="337" t="s">
        <v>2047</v>
      </c>
      <c r="E355" s="382" t="s">
        <v>2050</v>
      </c>
      <c r="F355" s="99" t="s">
        <v>2051</v>
      </c>
      <c r="G355" s="245">
        <v>1</v>
      </c>
      <c r="H355" s="341">
        <v>133000</v>
      </c>
      <c r="I355" s="338">
        <f t="shared" si="24"/>
        <v>133000</v>
      </c>
      <c r="K355" s="203">
        <f t="shared" si="22"/>
        <v>133000</v>
      </c>
      <c r="L355" s="365"/>
      <c r="N355" s="92">
        <f t="shared" si="21"/>
        <v>133000</v>
      </c>
      <c r="O355" s="10" t="s">
        <v>23</v>
      </c>
      <c r="Q355" s="10" t="s">
        <v>40</v>
      </c>
    </row>
    <row r="356" spans="1:19" s="364" customFormat="1" ht="15.6">
      <c r="A356" s="9">
        <v>44249</v>
      </c>
      <c r="B356" s="10" t="s">
        <v>23</v>
      </c>
      <c r="C356" s="11" t="s">
        <v>2046</v>
      </c>
      <c r="D356" s="337" t="s">
        <v>2047</v>
      </c>
      <c r="E356" s="98" t="s">
        <v>1236</v>
      </c>
      <c r="F356" s="98" t="s">
        <v>1237</v>
      </c>
      <c r="G356" s="245">
        <v>1</v>
      </c>
      <c r="H356" s="341">
        <v>100000</v>
      </c>
      <c r="I356" s="338">
        <f t="shared" si="24"/>
        <v>100000</v>
      </c>
      <c r="K356" s="203">
        <f t="shared" si="22"/>
        <v>100000</v>
      </c>
      <c r="L356" s="365"/>
      <c r="N356" s="92">
        <f t="shared" si="21"/>
        <v>100000</v>
      </c>
      <c r="O356" s="10" t="s">
        <v>23</v>
      </c>
      <c r="Q356" s="10" t="s">
        <v>40</v>
      </c>
    </row>
    <row r="357" spans="1:19" s="364" customFormat="1" ht="15.6">
      <c r="A357" s="9">
        <v>44249</v>
      </c>
      <c r="B357" s="10" t="s">
        <v>23</v>
      </c>
      <c r="C357" s="11" t="s">
        <v>2052</v>
      </c>
      <c r="D357" s="337" t="s">
        <v>2053</v>
      </c>
      <c r="E357" s="52" t="s">
        <v>2054</v>
      </c>
      <c r="F357" s="52" t="s">
        <v>2055</v>
      </c>
      <c r="G357" s="245">
        <v>1</v>
      </c>
      <c r="H357" s="341">
        <v>43000</v>
      </c>
      <c r="I357" s="338">
        <f t="shared" si="24"/>
        <v>43000</v>
      </c>
      <c r="K357" s="203">
        <f t="shared" si="22"/>
        <v>43000</v>
      </c>
      <c r="L357" s="17">
        <v>37000</v>
      </c>
      <c r="N357" s="92">
        <f t="shared" ref="N357:N418" si="25">K357+L357+M357</f>
        <v>80000</v>
      </c>
      <c r="O357" s="10" t="s">
        <v>23</v>
      </c>
      <c r="Q357" s="10" t="s">
        <v>54</v>
      </c>
    </row>
    <row r="358" spans="1:19" s="364" customFormat="1" ht="15.6">
      <c r="A358" s="9">
        <v>44249</v>
      </c>
      <c r="B358" s="10" t="s">
        <v>23</v>
      </c>
      <c r="C358" s="11" t="s">
        <v>2052</v>
      </c>
      <c r="D358" s="337" t="s">
        <v>2053</v>
      </c>
      <c r="E358" s="293" t="s">
        <v>2056</v>
      </c>
      <c r="F358" s="293" t="s">
        <v>2057</v>
      </c>
      <c r="G358" s="245">
        <v>1</v>
      </c>
      <c r="H358" s="341">
        <v>59500</v>
      </c>
      <c r="I358" s="338">
        <f t="shared" si="24"/>
        <v>59500</v>
      </c>
      <c r="K358" s="203">
        <f t="shared" si="22"/>
        <v>59500</v>
      </c>
      <c r="L358" s="365"/>
      <c r="N358" s="92">
        <f t="shared" si="25"/>
        <v>59500</v>
      </c>
      <c r="O358" s="10" t="s">
        <v>23</v>
      </c>
      <c r="Q358" s="10" t="s">
        <v>54</v>
      </c>
    </row>
    <row r="359" spans="1:19" s="364" customFormat="1" ht="15.6">
      <c r="A359" s="9">
        <v>44249</v>
      </c>
      <c r="B359" s="10" t="s">
        <v>23</v>
      </c>
      <c r="C359" s="10" t="s">
        <v>2058</v>
      </c>
      <c r="D359" s="337" t="s">
        <v>2059</v>
      </c>
      <c r="E359" s="22" t="s">
        <v>325</v>
      </c>
      <c r="F359" s="22" t="s">
        <v>326</v>
      </c>
      <c r="G359" s="245">
        <v>1</v>
      </c>
      <c r="H359" s="341">
        <v>129000</v>
      </c>
      <c r="I359" s="338">
        <f t="shared" si="24"/>
        <v>129000</v>
      </c>
      <c r="J359" s="364">
        <f>I359*20%</f>
        <v>25800</v>
      </c>
      <c r="K359" s="203">
        <f t="shared" si="22"/>
        <v>103200</v>
      </c>
      <c r="L359" s="365">
        <v>24000</v>
      </c>
      <c r="N359" s="92">
        <f t="shared" si="25"/>
        <v>127200</v>
      </c>
      <c r="O359" s="10" t="s">
        <v>23</v>
      </c>
      <c r="Q359" s="10" t="s">
        <v>40</v>
      </c>
    </row>
    <row r="360" spans="1:19" s="364" customFormat="1" ht="15.6" hidden="1">
      <c r="A360" s="9">
        <v>44249</v>
      </c>
      <c r="B360" s="10" t="s">
        <v>43</v>
      </c>
      <c r="C360" s="10" t="s">
        <v>2060</v>
      </c>
      <c r="D360" s="337" t="s">
        <v>2061</v>
      </c>
      <c r="E360" s="22" t="s">
        <v>345</v>
      </c>
      <c r="F360" s="22" t="s">
        <v>346</v>
      </c>
      <c r="G360" s="245">
        <v>1</v>
      </c>
      <c r="H360" s="341">
        <v>66000</v>
      </c>
      <c r="I360" s="338">
        <f t="shared" si="24"/>
        <v>66000</v>
      </c>
      <c r="K360" s="203">
        <f t="shared" si="22"/>
        <v>66000</v>
      </c>
      <c r="L360" s="365">
        <v>16000</v>
      </c>
      <c r="M360" s="364">
        <v>-2858</v>
      </c>
      <c r="N360" s="92">
        <f t="shared" si="25"/>
        <v>79142</v>
      </c>
      <c r="O360" s="10" t="s">
        <v>23</v>
      </c>
      <c r="Q360" s="10" t="s">
        <v>54</v>
      </c>
    </row>
    <row r="361" spans="1:19" s="364" customFormat="1" ht="15.6" hidden="1">
      <c r="A361" s="9">
        <v>44249</v>
      </c>
      <c r="B361" s="10" t="s">
        <v>313</v>
      </c>
      <c r="C361" s="77" t="s">
        <v>2062</v>
      </c>
      <c r="D361" s="337" t="s">
        <v>2063</v>
      </c>
      <c r="E361" s="383" t="s">
        <v>2064</v>
      </c>
      <c r="F361" s="383" t="s">
        <v>2065</v>
      </c>
      <c r="G361" s="245">
        <v>1</v>
      </c>
      <c r="H361" s="341">
        <v>142000</v>
      </c>
      <c r="I361" s="338">
        <f t="shared" si="24"/>
        <v>142000</v>
      </c>
      <c r="K361" s="203">
        <f t="shared" si="22"/>
        <v>142000</v>
      </c>
      <c r="L361" s="17">
        <v>34050</v>
      </c>
      <c r="N361" s="92">
        <f t="shared" si="25"/>
        <v>176050</v>
      </c>
      <c r="O361" s="10" t="s">
        <v>313</v>
      </c>
      <c r="Q361" s="10" t="s">
        <v>28</v>
      </c>
    </row>
    <row r="362" spans="1:19" s="364" customFormat="1" ht="15.6" hidden="1">
      <c r="A362" s="9">
        <v>44249</v>
      </c>
      <c r="B362" s="10" t="s">
        <v>313</v>
      </c>
      <c r="C362" s="77" t="s">
        <v>2062</v>
      </c>
      <c r="D362" s="337" t="s">
        <v>2063</v>
      </c>
      <c r="E362" s="383" t="s">
        <v>2066</v>
      </c>
      <c r="F362" s="383" t="s">
        <v>2067</v>
      </c>
      <c r="G362" s="245">
        <v>1</v>
      </c>
      <c r="H362" s="341">
        <v>68000</v>
      </c>
      <c r="I362" s="338">
        <f t="shared" si="24"/>
        <v>68000</v>
      </c>
      <c r="K362" s="203">
        <f t="shared" si="22"/>
        <v>68000</v>
      </c>
      <c r="L362" s="365"/>
      <c r="N362" s="92">
        <f t="shared" si="25"/>
        <v>68000</v>
      </c>
      <c r="O362" s="10" t="s">
        <v>313</v>
      </c>
      <c r="Q362" s="10" t="s">
        <v>28</v>
      </c>
    </row>
    <row r="363" spans="1:19" s="364" customFormat="1" ht="15.6" hidden="1">
      <c r="A363" s="9">
        <v>44249</v>
      </c>
      <c r="B363" s="10" t="s">
        <v>313</v>
      </c>
      <c r="C363" s="77" t="s">
        <v>2062</v>
      </c>
      <c r="D363" s="337" t="s">
        <v>2063</v>
      </c>
      <c r="E363" s="384" t="s">
        <v>2068</v>
      </c>
      <c r="F363" s="384" t="s">
        <v>2069</v>
      </c>
      <c r="G363" s="245">
        <v>1</v>
      </c>
      <c r="H363" s="341">
        <v>219000</v>
      </c>
      <c r="I363" s="338">
        <f t="shared" si="24"/>
        <v>219000</v>
      </c>
      <c r="K363" s="203">
        <f t="shared" si="22"/>
        <v>219000</v>
      </c>
      <c r="L363" s="365"/>
      <c r="N363" s="92">
        <f t="shared" si="25"/>
        <v>219000</v>
      </c>
      <c r="O363" s="10" t="s">
        <v>313</v>
      </c>
      <c r="Q363" s="10" t="s">
        <v>28</v>
      </c>
    </row>
    <row r="364" spans="1:19" s="364" customFormat="1" ht="15.6" hidden="1">
      <c r="A364" s="9">
        <v>44249</v>
      </c>
      <c r="B364" s="10" t="s">
        <v>313</v>
      </c>
      <c r="C364" s="77" t="s">
        <v>2062</v>
      </c>
      <c r="D364" s="337" t="s">
        <v>2063</v>
      </c>
      <c r="E364" s="383" t="s">
        <v>2070</v>
      </c>
      <c r="F364" s="385" t="s">
        <v>2071</v>
      </c>
      <c r="G364" s="245">
        <v>1</v>
      </c>
      <c r="H364" s="341">
        <v>99000</v>
      </c>
      <c r="I364" s="338">
        <f t="shared" si="24"/>
        <v>99000</v>
      </c>
      <c r="K364" s="203">
        <f t="shared" si="22"/>
        <v>99000</v>
      </c>
      <c r="L364" s="365"/>
      <c r="N364" s="92">
        <f t="shared" si="25"/>
        <v>99000</v>
      </c>
      <c r="O364" s="10" t="s">
        <v>313</v>
      </c>
      <c r="Q364" s="10" t="s">
        <v>28</v>
      </c>
    </row>
    <row r="365" spans="1:19" s="364" customFormat="1" ht="15.6">
      <c r="A365" s="9">
        <v>44249</v>
      </c>
      <c r="B365" s="10" t="s">
        <v>23</v>
      </c>
      <c r="C365" s="10" t="s">
        <v>2072</v>
      </c>
      <c r="D365" s="337" t="s">
        <v>2073</v>
      </c>
      <c r="E365" s="74" t="s">
        <v>489</v>
      </c>
      <c r="F365" s="15" t="s">
        <v>490</v>
      </c>
      <c r="G365" s="245">
        <v>1</v>
      </c>
      <c r="H365" s="341">
        <v>72000</v>
      </c>
      <c r="I365" s="338">
        <f t="shared" si="24"/>
        <v>72000</v>
      </c>
      <c r="K365" s="203">
        <f t="shared" ref="K365:K418" si="26">I365-J365</f>
        <v>72000</v>
      </c>
      <c r="L365" s="365">
        <v>23000</v>
      </c>
      <c r="N365" s="92">
        <f t="shared" si="25"/>
        <v>95000</v>
      </c>
      <c r="O365" s="10" t="s">
        <v>23</v>
      </c>
      <c r="Q365" s="10" t="s">
        <v>54</v>
      </c>
    </row>
    <row r="366" spans="1:19" s="364" customFormat="1" ht="15.6">
      <c r="A366" s="9">
        <v>44249</v>
      </c>
      <c r="B366" s="10" t="s">
        <v>23</v>
      </c>
      <c r="C366" s="11" t="s">
        <v>2074</v>
      </c>
      <c r="D366" s="337" t="s">
        <v>2075</v>
      </c>
      <c r="E366" s="57" t="s">
        <v>1463</v>
      </c>
      <c r="F366" s="58" t="s">
        <v>1464</v>
      </c>
      <c r="G366" s="245">
        <v>1</v>
      </c>
      <c r="H366" s="341">
        <v>69000</v>
      </c>
      <c r="I366" s="338">
        <f t="shared" si="24"/>
        <v>69000</v>
      </c>
      <c r="K366" s="203">
        <f t="shared" si="26"/>
        <v>69000</v>
      </c>
      <c r="L366" s="365">
        <v>70000</v>
      </c>
      <c r="N366" s="92">
        <f t="shared" si="25"/>
        <v>139000</v>
      </c>
      <c r="O366" s="10" t="s">
        <v>23</v>
      </c>
      <c r="Q366" s="10" t="s">
        <v>54</v>
      </c>
    </row>
    <row r="367" spans="1:19" s="364" customFormat="1" ht="16.8" hidden="1">
      <c r="A367" s="9">
        <v>44250</v>
      </c>
      <c r="B367" s="10" t="s">
        <v>313</v>
      </c>
      <c r="C367" s="70" t="s">
        <v>2076</v>
      </c>
      <c r="D367" s="337" t="s">
        <v>2077</v>
      </c>
      <c r="E367" s="15" t="s">
        <v>1784</v>
      </c>
      <c r="F367" s="33" t="s">
        <v>1785</v>
      </c>
      <c r="G367" s="56">
        <v>1</v>
      </c>
      <c r="H367" s="341">
        <v>72000</v>
      </c>
      <c r="I367" s="338">
        <f t="shared" si="24"/>
        <v>72000</v>
      </c>
      <c r="J367" s="364">
        <f>I367*25%</f>
        <v>18000</v>
      </c>
      <c r="K367" s="203">
        <f t="shared" si="26"/>
        <v>54000</v>
      </c>
      <c r="L367" s="386">
        <v>63088</v>
      </c>
      <c r="N367" s="92">
        <f t="shared" si="25"/>
        <v>117088</v>
      </c>
      <c r="O367" s="10" t="s">
        <v>313</v>
      </c>
      <c r="Q367" s="10" t="s">
        <v>40</v>
      </c>
    </row>
    <row r="368" spans="1:19" s="364" customFormat="1" ht="15.6" hidden="1">
      <c r="A368" s="9">
        <v>44250</v>
      </c>
      <c r="B368" s="10" t="s">
        <v>43</v>
      </c>
      <c r="C368" s="11" t="s">
        <v>2078</v>
      </c>
      <c r="D368" s="337" t="s">
        <v>2079</v>
      </c>
      <c r="E368" s="15" t="s">
        <v>830</v>
      </c>
      <c r="F368" s="15" t="s">
        <v>831</v>
      </c>
      <c r="G368" s="56">
        <v>1</v>
      </c>
      <c r="H368" s="341">
        <v>70000</v>
      </c>
      <c r="I368" s="338">
        <f t="shared" si="24"/>
        <v>70000</v>
      </c>
      <c r="K368" s="203">
        <f t="shared" si="26"/>
        <v>70000</v>
      </c>
      <c r="L368" s="387"/>
      <c r="M368" s="364">
        <v>-3031</v>
      </c>
      <c r="N368" s="92">
        <f t="shared" si="25"/>
        <v>66969</v>
      </c>
      <c r="O368" s="10" t="s">
        <v>43</v>
      </c>
      <c r="P368" s="368" t="s">
        <v>2080</v>
      </c>
      <c r="Q368" s="10" t="s">
        <v>54</v>
      </c>
      <c r="S368" s="368" t="s">
        <v>2081</v>
      </c>
    </row>
    <row r="369" spans="1:19" s="364" customFormat="1" ht="15.6" hidden="1">
      <c r="A369" s="9">
        <v>44250</v>
      </c>
      <c r="B369" s="10" t="s">
        <v>43</v>
      </c>
      <c r="C369" s="11" t="s">
        <v>2082</v>
      </c>
      <c r="D369" s="337" t="s">
        <v>2083</v>
      </c>
      <c r="E369" s="15" t="s">
        <v>2084</v>
      </c>
      <c r="F369" s="15" t="s">
        <v>2085</v>
      </c>
      <c r="G369" s="56">
        <v>1</v>
      </c>
      <c r="H369" s="341">
        <v>105000</v>
      </c>
      <c r="I369" s="338">
        <f t="shared" si="24"/>
        <v>105000</v>
      </c>
      <c r="K369" s="203">
        <f t="shared" si="26"/>
        <v>105000</v>
      </c>
      <c r="L369" s="17">
        <v>19000</v>
      </c>
      <c r="M369" s="364">
        <v>-4547</v>
      </c>
      <c r="N369" s="92">
        <f t="shared" si="25"/>
        <v>119453</v>
      </c>
      <c r="O369" s="10" t="s">
        <v>43</v>
      </c>
      <c r="P369" s="368" t="s">
        <v>2086</v>
      </c>
      <c r="Q369" s="10" t="s">
        <v>54</v>
      </c>
      <c r="S369" s="368" t="s">
        <v>2087</v>
      </c>
    </row>
    <row r="370" spans="1:19" s="364" customFormat="1" ht="15.6" hidden="1">
      <c r="A370" s="9">
        <v>44250</v>
      </c>
      <c r="B370" s="10" t="s">
        <v>43</v>
      </c>
      <c r="C370" s="11" t="s">
        <v>2088</v>
      </c>
      <c r="D370" s="337" t="s">
        <v>2089</v>
      </c>
      <c r="E370" s="15" t="s">
        <v>1679</v>
      </c>
      <c r="F370" s="15" t="s">
        <v>1680</v>
      </c>
      <c r="G370" s="56">
        <v>1</v>
      </c>
      <c r="H370" s="341">
        <v>73000</v>
      </c>
      <c r="I370" s="338">
        <f t="shared" si="24"/>
        <v>73000</v>
      </c>
      <c r="K370" s="203">
        <f t="shared" si="26"/>
        <v>73000</v>
      </c>
      <c r="L370" s="17">
        <v>28000</v>
      </c>
      <c r="M370" s="364">
        <v>-3161</v>
      </c>
      <c r="N370" s="92">
        <f t="shared" si="25"/>
        <v>97839</v>
      </c>
      <c r="O370" s="10" t="s">
        <v>43</v>
      </c>
      <c r="P370" s="337" t="s">
        <v>2090</v>
      </c>
      <c r="Q370" s="10" t="s">
        <v>54</v>
      </c>
      <c r="S370" s="368" t="s">
        <v>2091</v>
      </c>
    </row>
    <row r="371" spans="1:19" s="364" customFormat="1" ht="15.6" hidden="1">
      <c r="A371" s="9">
        <v>44250</v>
      </c>
      <c r="B371" s="10" t="s">
        <v>206</v>
      </c>
      <c r="C371" s="381" t="s">
        <v>2092</v>
      </c>
      <c r="D371" s="337" t="s">
        <v>2093</v>
      </c>
      <c r="E371" s="289" t="s">
        <v>2094</v>
      </c>
      <c r="F371" s="273" t="s">
        <v>2095</v>
      </c>
      <c r="G371" s="56">
        <v>1</v>
      </c>
      <c r="H371" s="341">
        <v>74000</v>
      </c>
      <c r="I371" s="338">
        <f t="shared" si="24"/>
        <v>74000</v>
      </c>
      <c r="K371" s="203">
        <f t="shared" si="26"/>
        <v>74000</v>
      </c>
      <c r="L371" s="17">
        <v>38000</v>
      </c>
      <c r="N371" s="92">
        <f t="shared" si="25"/>
        <v>112000</v>
      </c>
      <c r="O371" s="10" t="s">
        <v>206</v>
      </c>
      <c r="P371" s="368" t="s">
        <v>2096</v>
      </c>
      <c r="Q371" s="10" t="s">
        <v>40</v>
      </c>
      <c r="S371" s="195" t="s">
        <v>2097</v>
      </c>
    </row>
    <row r="372" spans="1:19" s="364" customFormat="1" ht="15.6" hidden="1">
      <c r="A372" s="9">
        <v>44250</v>
      </c>
      <c r="B372" s="10" t="s">
        <v>206</v>
      </c>
      <c r="C372" s="45" t="s">
        <v>2098</v>
      </c>
      <c r="D372" s="337" t="s">
        <v>2099</v>
      </c>
      <c r="E372" s="388" t="s">
        <v>2100</v>
      </c>
      <c r="F372" s="389" t="s">
        <v>2101</v>
      </c>
      <c r="G372" s="390">
        <v>2</v>
      </c>
      <c r="H372" s="391">
        <v>65500</v>
      </c>
      <c r="I372" s="338">
        <f t="shared" si="24"/>
        <v>131000</v>
      </c>
      <c r="K372" s="203">
        <f t="shared" si="26"/>
        <v>131000</v>
      </c>
      <c r="L372" s="368">
        <f>28000+7800</f>
        <v>35800</v>
      </c>
      <c r="N372" s="92">
        <f t="shared" si="25"/>
        <v>166800</v>
      </c>
      <c r="O372" s="10" t="s">
        <v>206</v>
      </c>
      <c r="Q372" s="10" t="s">
        <v>28</v>
      </c>
    </row>
    <row r="373" spans="1:19" s="364" customFormat="1" ht="15.6" hidden="1">
      <c r="A373" s="9">
        <v>44250</v>
      </c>
      <c r="B373" s="10" t="s">
        <v>206</v>
      </c>
      <c r="C373" s="45" t="s">
        <v>2098</v>
      </c>
      <c r="D373" s="337" t="s">
        <v>2102</v>
      </c>
      <c r="E373" s="389" t="s">
        <v>2103</v>
      </c>
      <c r="F373" s="392" t="s">
        <v>2104</v>
      </c>
      <c r="G373" s="390">
        <v>2</v>
      </c>
      <c r="H373" s="391">
        <v>76000</v>
      </c>
      <c r="I373" s="338">
        <f t="shared" si="24"/>
        <v>152000</v>
      </c>
      <c r="K373" s="203">
        <f t="shared" si="26"/>
        <v>152000</v>
      </c>
      <c r="L373" s="365"/>
      <c r="N373" s="92">
        <f t="shared" si="25"/>
        <v>152000</v>
      </c>
      <c r="O373" s="10" t="s">
        <v>206</v>
      </c>
      <c r="Q373" s="10" t="s">
        <v>28</v>
      </c>
    </row>
    <row r="374" spans="1:19" s="364" customFormat="1" ht="15.6" hidden="1">
      <c r="A374" s="9">
        <v>44250</v>
      </c>
      <c r="B374" s="10" t="s">
        <v>206</v>
      </c>
      <c r="C374" s="45" t="s">
        <v>2098</v>
      </c>
      <c r="D374" s="337" t="s">
        <v>2105</v>
      </c>
      <c r="E374" s="393" t="s">
        <v>2106</v>
      </c>
      <c r="F374" s="393" t="s">
        <v>2107</v>
      </c>
      <c r="G374" s="390">
        <v>2</v>
      </c>
      <c r="H374" s="391">
        <v>82500</v>
      </c>
      <c r="I374" s="338">
        <f t="shared" si="24"/>
        <v>165000</v>
      </c>
      <c r="K374" s="203">
        <f t="shared" si="26"/>
        <v>165000</v>
      </c>
      <c r="L374" s="365"/>
      <c r="N374" s="92">
        <f t="shared" si="25"/>
        <v>165000</v>
      </c>
      <c r="O374" s="10" t="s">
        <v>206</v>
      </c>
      <c r="Q374" s="10" t="s">
        <v>28</v>
      </c>
    </row>
    <row r="375" spans="1:19" s="364" customFormat="1" ht="15.6" hidden="1">
      <c r="A375" s="9">
        <v>44250</v>
      </c>
      <c r="B375" s="10" t="s">
        <v>206</v>
      </c>
      <c r="C375" s="45" t="s">
        <v>2098</v>
      </c>
      <c r="D375" s="337" t="s">
        <v>2108</v>
      </c>
      <c r="E375" s="394" t="s">
        <v>2109</v>
      </c>
      <c r="F375" s="393" t="s">
        <v>2110</v>
      </c>
      <c r="G375" s="390">
        <v>2</v>
      </c>
      <c r="H375" s="391">
        <v>82000</v>
      </c>
      <c r="I375" s="338">
        <f t="shared" si="24"/>
        <v>164000</v>
      </c>
      <c r="K375" s="203">
        <f t="shared" si="26"/>
        <v>164000</v>
      </c>
      <c r="L375" s="365"/>
      <c r="N375" s="92">
        <f t="shared" si="25"/>
        <v>164000</v>
      </c>
      <c r="O375" s="10" t="s">
        <v>206</v>
      </c>
      <c r="Q375" s="10" t="s">
        <v>28</v>
      </c>
    </row>
    <row r="376" spans="1:19" s="364" customFormat="1" ht="15.6" hidden="1">
      <c r="A376" s="9">
        <v>44250</v>
      </c>
      <c r="B376" s="10" t="s">
        <v>206</v>
      </c>
      <c r="C376" s="45" t="s">
        <v>2098</v>
      </c>
      <c r="D376" s="337" t="s">
        <v>2111</v>
      </c>
      <c r="E376" s="392" t="s">
        <v>2112</v>
      </c>
      <c r="F376" s="389" t="s">
        <v>1113</v>
      </c>
      <c r="G376" s="390">
        <v>2</v>
      </c>
      <c r="H376" s="391">
        <v>61000</v>
      </c>
      <c r="I376" s="338">
        <f t="shared" si="24"/>
        <v>122000</v>
      </c>
      <c r="K376" s="203">
        <f t="shared" si="26"/>
        <v>122000</v>
      </c>
      <c r="L376" s="365"/>
      <c r="N376" s="92">
        <f t="shared" si="25"/>
        <v>122000</v>
      </c>
      <c r="O376" s="10" t="s">
        <v>206</v>
      </c>
      <c r="Q376" s="10" t="s">
        <v>28</v>
      </c>
    </row>
    <row r="377" spans="1:19" s="364" customFormat="1" ht="15.6" hidden="1">
      <c r="A377" s="9">
        <v>44250</v>
      </c>
      <c r="B377" s="10" t="s">
        <v>206</v>
      </c>
      <c r="C377" s="45" t="s">
        <v>2098</v>
      </c>
      <c r="D377" s="337" t="s">
        <v>2113</v>
      </c>
      <c r="E377" s="388" t="s">
        <v>2114</v>
      </c>
      <c r="F377" s="389" t="s">
        <v>1858</v>
      </c>
      <c r="G377" s="390">
        <v>2</v>
      </c>
      <c r="H377" s="391">
        <v>46500</v>
      </c>
      <c r="I377" s="338">
        <f t="shared" si="24"/>
        <v>93000</v>
      </c>
      <c r="K377" s="203">
        <f t="shared" si="26"/>
        <v>93000</v>
      </c>
      <c r="L377" s="365"/>
      <c r="N377" s="92">
        <f t="shared" si="25"/>
        <v>93000</v>
      </c>
      <c r="O377" s="10" t="s">
        <v>206</v>
      </c>
      <c r="Q377" s="10" t="s">
        <v>28</v>
      </c>
    </row>
    <row r="378" spans="1:19" s="364" customFormat="1" ht="15.6" hidden="1">
      <c r="A378" s="9">
        <v>44250</v>
      </c>
      <c r="B378" s="10" t="s">
        <v>206</v>
      </c>
      <c r="C378" s="45" t="s">
        <v>2098</v>
      </c>
      <c r="D378" s="337" t="s">
        <v>2115</v>
      </c>
      <c r="E378" s="395" t="s">
        <v>2116</v>
      </c>
      <c r="F378" s="395" t="s">
        <v>2117</v>
      </c>
      <c r="G378" s="390">
        <v>2</v>
      </c>
      <c r="H378" s="391">
        <v>52000</v>
      </c>
      <c r="I378" s="338">
        <f t="shared" si="24"/>
        <v>104000</v>
      </c>
      <c r="K378" s="203">
        <f t="shared" si="26"/>
        <v>104000</v>
      </c>
      <c r="L378" s="365"/>
      <c r="N378" s="92">
        <f t="shared" si="25"/>
        <v>104000</v>
      </c>
      <c r="O378" s="10" t="s">
        <v>206</v>
      </c>
      <c r="Q378" s="10" t="s">
        <v>28</v>
      </c>
    </row>
    <row r="379" spans="1:19" s="364" customFormat="1" ht="15.6" hidden="1">
      <c r="A379" s="9">
        <v>44250</v>
      </c>
      <c r="B379" s="10" t="s">
        <v>206</v>
      </c>
      <c r="C379" s="45" t="s">
        <v>2098</v>
      </c>
      <c r="D379" s="337" t="s">
        <v>2118</v>
      </c>
      <c r="E379" s="393" t="s">
        <v>1552</v>
      </c>
      <c r="F379" s="393" t="s">
        <v>1553</v>
      </c>
      <c r="G379" s="390">
        <v>2</v>
      </c>
      <c r="H379" s="391">
        <v>140000</v>
      </c>
      <c r="I379" s="338">
        <f t="shared" si="24"/>
        <v>280000</v>
      </c>
      <c r="K379" s="203">
        <f t="shared" si="26"/>
        <v>280000</v>
      </c>
      <c r="L379" s="365"/>
      <c r="N379" s="92">
        <f t="shared" si="25"/>
        <v>280000</v>
      </c>
      <c r="O379" s="10" t="s">
        <v>206</v>
      </c>
      <c r="Q379" s="10" t="s">
        <v>28</v>
      </c>
    </row>
    <row r="380" spans="1:19" s="364" customFormat="1" ht="15.6" hidden="1">
      <c r="A380" s="9">
        <v>44250</v>
      </c>
      <c r="B380" s="10" t="s">
        <v>206</v>
      </c>
      <c r="C380" s="45" t="s">
        <v>2098</v>
      </c>
      <c r="D380" s="337" t="s">
        <v>2119</v>
      </c>
      <c r="E380" s="395" t="s">
        <v>2120</v>
      </c>
      <c r="F380" s="395" t="s">
        <v>2121</v>
      </c>
      <c r="G380" s="390">
        <v>2</v>
      </c>
      <c r="H380" s="391">
        <v>58000</v>
      </c>
      <c r="I380" s="338">
        <f t="shared" si="24"/>
        <v>116000</v>
      </c>
      <c r="K380" s="203">
        <f t="shared" si="26"/>
        <v>116000</v>
      </c>
      <c r="L380" s="365"/>
      <c r="N380" s="92">
        <f t="shared" si="25"/>
        <v>116000</v>
      </c>
      <c r="O380" s="10" t="s">
        <v>206</v>
      </c>
      <c r="Q380" s="10" t="s">
        <v>28</v>
      </c>
    </row>
    <row r="381" spans="1:19" s="364" customFormat="1" ht="16.2" hidden="1" thickBot="1">
      <c r="A381" s="9">
        <v>44250</v>
      </c>
      <c r="B381" s="10" t="s">
        <v>206</v>
      </c>
      <c r="C381" s="45" t="s">
        <v>2098</v>
      </c>
      <c r="D381" s="337" t="s">
        <v>2122</v>
      </c>
      <c r="E381" s="396" t="s">
        <v>1529</v>
      </c>
      <c r="F381" s="397" t="s">
        <v>1530</v>
      </c>
      <c r="G381" s="390">
        <v>2</v>
      </c>
      <c r="H381" s="391">
        <v>94000</v>
      </c>
      <c r="I381" s="338">
        <f>G381*H381</f>
        <v>188000</v>
      </c>
      <c r="J381"/>
      <c r="K381" s="203">
        <f>I381-J381</f>
        <v>188000</v>
      </c>
      <c r="L381" s="365"/>
      <c r="N381" s="92">
        <f t="shared" si="25"/>
        <v>188000</v>
      </c>
      <c r="O381" s="10" t="s">
        <v>206</v>
      </c>
      <c r="Q381" s="10" t="s">
        <v>28</v>
      </c>
    </row>
    <row r="382" spans="1:19" s="364" customFormat="1" ht="15.6" hidden="1">
      <c r="A382" s="9">
        <v>44250</v>
      </c>
      <c r="B382" s="10" t="s">
        <v>206</v>
      </c>
      <c r="C382" s="45" t="s">
        <v>2098</v>
      </c>
      <c r="D382" s="337" t="s">
        <v>2123</v>
      </c>
      <c r="E382" s="393" t="s">
        <v>2124</v>
      </c>
      <c r="F382" s="393" t="s">
        <v>2125</v>
      </c>
      <c r="G382" s="390">
        <v>1</v>
      </c>
      <c r="H382" s="391">
        <v>90000</v>
      </c>
      <c r="I382" s="338">
        <f>G382*H382</f>
        <v>90000</v>
      </c>
      <c r="J382"/>
      <c r="K382" s="203">
        <f>I382-J382</f>
        <v>90000</v>
      </c>
      <c r="L382" s="365"/>
      <c r="N382" s="92">
        <f t="shared" si="25"/>
        <v>90000</v>
      </c>
      <c r="O382" s="10" t="s">
        <v>206</v>
      </c>
      <c r="Q382" s="10" t="s">
        <v>28</v>
      </c>
    </row>
    <row r="383" spans="1:19" s="364" customFormat="1" ht="15.6" hidden="1">
      <c r="A383" s="9">
        <v>44250</v>
      </c>
      <c r="B383" s="10" t="s">
        <v>206</v>
      </c>
      <c r="C383" s="45" t="s">
        <v>2098</v>
      </c>
      <c r="D383" s="337" t="s">
        <v>2126</v>
      </c>
      <c r="E383" s="394" t="s">
        <v>2127</v>
      </c>
      <c r="F383" s="393" t="s">
        <v>2107</v>
      </c>
      <c r="G383" s="390">
        <v>1</v>
      </c>
      <c r="H383" s="391">
        <v>81000</v>
      </c>
      <c r="I383" s="338">
        <f t="shared" ref="I383:I385" si="27">G383*H383</f>
        <v>81000</v>
      </c>
      <c r="J383"/>
      <c r="K383" s="203">
        <f t="shared" ref="K383:K385" si="28">I383-J383</f>
        <v>81000</v>
      </c>
      <c r="L383" s="365"/>
      <c r="N383" s="92"/>
      <c r="O383" s="10"/>
      <c r="Q383" s="10"/>
    </row>
    <row r="384" spans="1:19" s="364" customFormat="1" ht="15.6" hidden="1">
      <c r="A384" s="9">
        <v>44250</v>
      </c>
      <c r="B384" s="10" t="s">
        <v>206</v>
      </c>
      <c r="C384" s="45" t="s">
        <v>2098</v>
      </c>
      <c r="D384" s="337" t="s">
        <v>2128</v>
      </c>
      <c r="E384" s="393" t="s">
        <v>2129</v>
      </c>
      <c r="F384" s="393" t="s">
        <v>2130</v>
      </c>
      <c r="G384" s="390">
        <v>1</v>
      </c>
      <c r="H384" s="391">
        <v>82000</v>
      </c>
      <c r="I384" s="338">
        <f t="shared" si="27"/>
        <v>82000</v>
      </c>
      <c r="J384"/>
      <c r="K384" s="203">
        <f t="shared" si="28"/>
        <v>82000</v>
      </c>
      <c r="L384" s="365"/>
      <c r="N384" s="92"/>
      <c r="O384" s="10"/>
      <c r="Q384" s="10"/>
    </row>
    <row r="385" spans="1:19" s="364" customFormat="1" ht="15.6" hidden="1">
      <c r="A385" s="9">
        <v>44250</v>
      </c>
      <c r="B385" s="10" t="s">
        <v>206</v>
      </c>
      <c r="C385" s="45" t="s">
        <v>2098</v>
      </c>
      <c r="D385" s="337" t="s">
        <v>2131</v>
      </c>
      <c r="E385" s="393" t="s">
        <v>2132</v>
      </c>
      <c r="F385" s="393" t="s">
        <v>2133</v>
      </c>
      <c r="G385" s="390">
        <v>1</v>
      </c>
      <c r="H385" s="391">
        <v>84000</v>
      </c>
      <c r="I385" s="338">
        <f t="shared" si="27"/>
        <v>84000</v>
      </c>
      <c r="J385"/>
      <c r="K385" s="203">
        <f t="shared" si="28"/>
        <v>84000</v>
      </c>
      <c r="L385" s="365"/>
      <c r="N385" s="92"/>
      <c r="O385" s="10"/>
      <c r="Q385" s="10"/>
    </row>
    <row r="386" spans="1:19" s="364" customFormat="1" ht="15.6" hidden="1">
      <c r="A386" s="9">
        <v>44250</v>
      </c>
      <c r="B386" s="10" t="s">
        <v>206</v>
      </c>
      <c r="C386" s="45" t="s">
        <v>2098</v>
      </c>
      <c r="D386" s="337" t="s">
        <v>2126</v>
      </c>
      <c r="E386" s="398" t="s">
        <v>2134</v>
      </c>
      <c r="F386" s="398" t="s">
        <v>438</v>
      </c>
      <c r="G386" s="399">
        <v>1</v>
      </c>
      <c r="H386" s="391">
        <v>43000</v>
      </c>
      <c r="I386" s="338">
        <f>G386*H386+24000</f>
        <v>67000</v>
      </c>
      <c r="J386"/>
      <c r="K386" s="203">
        <f>I386-J386</f>
        <v>67000</v>
      </c>
      <c r="L386" s="365"/>
      <c r="N386" s="92">
        <f t="shared" si="25"/>
        <v>67000</v>
      </c>
      <c r="O386" s="10" t="s">
        <v>206</v>
      </c>
      <c r="Q386" s="10" t="s">
        <v>28</v>
      </c>
    </row>
    <row r="387" spans="1:19" s="364" customFormat="1" ht="15.6" hidden="1">
      <c r="A387" s="9">
        <v>44250</v>
      </c>
      <c r="B387" s="10" t="s">
        <v>177</v>
      </c>
      <c r="C387" s="10" t="s">
        <v>2135</v>
      </c>
      <c r="D387" s="337" t="s">
        <v>2136</v>
      </c>
      <c r="E387" s="22" t="s">
        <v>2137</v>
      </c>
      <c r="F387" s="22" t="s">
        <v>2138</v>
      </c>
      <c r="G387" s="56">
        <v>1</v>
      </c>
      <c r="H387" s="341">
        <v>148000</v>
      </c>
      <c r="I387" s="338">
        <f t="shared" si="24"/>
        <v>148000</v>
      </c>
      <c r="J387" s="364">
        <f>I387*20%</f>
        <v>29600</v>
      </c>
      <c r="K387" s="203">
        <f t="shared" si="26"/>
        <v>118400</v>
      </c>
      <c r="L387" s="365">
        <v>8000</v>
      </c>
      <c r="N387" s="92">
        <f t="shared" si="25"/>
        <v>126400</v>
      </c>
      <c r="O387" s="10" t="s">
        <v>177</v>
      </c>
      <c r="P387" s="364">
        <v>550360917481761</v>
      </c>
      <c r="Q387" s="10" t="s">
        <v>54</v>
      </c>
      <c r="S387" s="368" t="s">
        <v>2139</v>
      </c>
    </row>
    <row r="388" spans="1:19" s="364" customFormat="1" ht="15.6">
      <c r="A388" s="9">
        <v>44250</v>
      </c>
      <c r="B388" s="10" t="s">
        <v>23</v>
      </c>
      <c r="C388" s="11" t="s">
        <v>2140</v>
      </c>
      <c r="D388" s="337" t="s">
        <v>2141</v>
      </c>
      <c r="E388" s="284" t="s">
        <v>679</v>
      </c>
      <c r="F388" s="400" t="s">
        <v>680</v>
      </c>
      <c r="G388" s="56">
        <v>1</v>
      </c>
      <c r="H388" s="341">
        <v>58500</v>
      </c>
      <c r="I388" s="338">
        <f t="shared" si="24"/>
        <v>58500</v>
      </c>
      <c r="K388" s="203">
        <f t="shared" si="26"/>
        <v>58500</v>
      </c>
      <c r="L388" s="365"/>
      <c r="N388" s="92">
        <f t="shared" si="25"/>
        <v>58500</v>
      </c>
      <c r="O388" s="10" t="s">
        <v>23</v>
      </c>
      <c r="Q388" s="10" t="s">
        <v>28</v>
      </c>
    </row>
    <row r="389" spans="1:19" s="364" customFormat="1" ht="15.6">
      <c r="A389" s="9">
        <v>44250</v>
      </c>
      <c r="B389" s="10" t="s">
        <v>23</v>
      </c>
      <c r="C389" s="11" t="s">
        <v>2140</v>
      </c>
      <c r="D389" s="337" t="s">
        <v>2141</v>
      </c>
      <c r="E389" s="284" t="s">
        <v>2142</v>
      </c>
      <c r="F389" s="400" t="s">
        <v>2143</v>
      </c>
      <c r="G389" s="56">
        <v>1</v>
      </c>
      <c r="H389" s="341">
        <v>75500</v>
      </c>
      <c r="I389" s="338">
        <f t="shared" si="24"/>
        <v>75500</v>
      </c>
      <c r="K389" s="203">
        <f t="shared" si="26"/>
        <v>75500</v>
      </c>
      <c r="L389" s="365">
        <v>10000</v>
      </c>
      <c r="N389" s="92">
        <f t="shared" si="25"/>
        <v>85500</v>
      </c>
      <c r="O389" s="10" t="s">
        <v>23</v>
      </c>
      <c r="Q389" s="10" t="s">
        <v>28</v>
      </c>
    </row>
    <row r="390" spans="1:19" s="364" customFormat="1" ht="15.6">
      <c r="A390" s="9">
        <v>44250</v>
      </c>
      <c r="B390" s="10" t="s">
        <v>23</v>
      </c>
      <c r="C390" s="11" t="s">
        <v>2144</v>
      </c>
      <c r="D390" s="337" t="s">
        <v>2145</v>
      </c>
      <c r="E390" s="401" t="s">
        <v>2146</v>
      </c>
      <c r="F390" s="401" t="s">
        <v>2147</v>
      </c>
      <c r="G390" s="56">
        <v>1</v>
      </c>
      <c r="H390" s="341">
        <v>97500</v>
      </c>
      <c r="I390" s="338">
        <f t="shared" si="24"/>
        <v>97500</v>
      </c>
      <c r="J390" s="364">
        <f>I390*20%</f>
        <v>19500</v>
      </c>
      <c r="K390" s="203">
        <f t="shared" si="26"/>
        <v>78000</v>
      </c>
      <c r="L390" s="365">
        <v>26000</v>
      </c>
      <c r="N390" s="92">
        <f t="shared" si="25"/>
        <v>104000</v>
      </c>
      <c r="O390" s="10" t="s">
        <v>23</v>
      </c>
      <c r="Q390" s="10" t="s">
        <v>40</v>
      </c>
    </row>
    <row r="391" spans="1:19" s="364" customFormat="1" ht="15.6">
      <c r="A391" s="9">
        <v>44250</v>
      </c>
      <c r="B391" s="10" t="s">
        <v>23</v>
      </c>
      <c r="C391" s="11" t="s">
        <v>2144</v>
      </c>
      <c r="D391" s="337" t="s">
        <v>2145</v>
      </c>
      <c r="E391" s="402" t="s">
        <v>2148</v>
      </c>
      <c r="F391" s="403" t="s">
        <v>2149</v>
      </c>
      <c r="G391" s="56">
        <v>1</v>
      </c>
      <c r="H391" s="341">
        <v>114000</v>
      </c>
      <c r="I391" s="338">
        <f t="shared" si="24"/>
        <v>114000</v>
      </c>
      <c r="J391" s="364">
        <f>I391*20%</f>
        <v>22800</v>
      </c>
      <c r="K391" s="203">
        <f t="shared" si="26"/>
        <v>91200</v>
      </c>
      <c r="L391" s="365"/>
      <c r="N391" s="92">
        <f t="shared" si="25"/>
        <v>91200</v>
      </c>
      <c r="O391" s="10" t="s">
        <v>23</v>
      </c>
      <c r="Q391" s="10" t="s">
        <v>40</v>
      </c>
    </row>
    <row r="392" spans="1:19" s="364" customFormat="1" ht="15.6">
      <c r="A392" s="9">
        <v>44250</v>
      </c>
      <c r="B392" s="10" t="s">
        <v>23</v>
      </c>
      <c r="C392" s="11" t="s">
        <v>2150</v>
      </c>
      <c r="D392" s="337" t="s">
        <v>2151</v>
      </c>
      <c r="E392" s="22" t="s">
        <v>1784</v>
      </c>
      <c r="F392" s="94" t="s">
        <v>1785</v>
      </c>
      <c r="G392" s="245">
        <v>3</v>
      </c>
      <c r="H392" s="341">
        <v>72000</v>
      </c>
      <c r="I392" s="338">
        <f t="shared" si="24"/>
        <v>216000</v>
      </c>
      <c r="J392" s="364">
        <f>I392*25%</f>
        <v>54000</v>
      </c>
      <c r="K392" s="203">
        <f t="shared" si="26"/>
        <v>162000</v>
      </c>
      <c r="L392" s="17">
        <v>58000</v>
      </c>
      <c r="N392" s="92">
        <f t="shared" si="25"/>
        <v>220000</v>
      </c>
      <c r="O392" s="10" t="s">
        <v>23</v>
      </c>
      <c r="Q392" s="10" t="s">
        <v>54</v>
      </c>
    </row>
    <row r="393" spans="1:19" s="364" customFormat="1" ht="16.8">
      <c r="A393" s="9">
        <v>44250</v>
      </c>
      <c r="B393" s="10" t="s">
        <v>23</v>
      </c>
      <c r="C393" s="70" t="s">
        <v>2152</v>
      </c>
      <c r="D393" s="337" t="s">
        <v>2153</v>
      </c>
      <c r="E393" s="361" t="s">
        <v>2154</v>
      </c>
      <c r="F393" s="361" t="s">
        <v>2155</v>
      </c>
      <c r="G393" s="56">
        <v>1</v>
      </c>
      <c r="H393" s="341">
        <v>82000</v>
      </c>
      <c r="I393" s="338">
        <f t="shared" si="24"/>
        <v>82000</v>
      </c>
      <c r="K393" s="203">
        <f t="shared" si="26"/>
        <v>82000</v>
      </c>
      <c r="L393" s="17">
        <v>51000</v>
      </c>
      <c r="N393" s="92">
        <f t="shared" si="25"/>
        <v>133000</v>
      </c>
      <c r="O393" s="10" t="s">
        <v>23</v>
      </c>
      <c r="Q393" s="10" t="s">
        <v>40</v>
      </c>
    </row>
    <row r="394" spans="1:19" s="364" customFormat="1" ht="16.8">
      <c r="A394" s="9">
        <v>44250</v>
      </c>
      <c r="B394" s="10" t="s">
        <v>23</v>
      </c>
      <c r="C394" s="70" t="s">
        <v>2152</v>
      </c>
      <c r="D394" s="337" t="s">
        <v>2156</v>
      </c>
      <c r="E394" s="361" t="s">
        <v>2157</v>
      </c>
      <c r="F394" s="361" t="s">
        <v>2158</v>
      </c>
      <c r="G394" s="56">
        <v>1</v>
      </c>
      <c r="H394" s="341">
        <v>76000</v>
      </c>
      <c r="I394" s="338">
        <f t="shared" si="24"/>
        <v>76000</v>
      </c>
      <c r="K394" s="203">
        <f t="shared" si="26"/>
        <v>76000</v>
      </c>
      <c r="L394" s="365"/>
      <c r="N394" s="92">
        <f t="shared" si="25"/>
        <v>76000</v>
      </c>
      <c r="O394" s="10" t="s">
        <v>23</v>
      </c>
      <c r="Q394" s="10" t="s">
        <v>40</v>
      </c>
    </row>
    <row r="395" spans="1:19" s="364" customFormat="1" ht="16.8" hidden="1">
      <c r="A395" s="9">
        <v>44250</v>
      </c>
      <c r="B395" s="10" t="s">
        <v>313</v>
      </c>
      <c r="C395" s="70" t="s">
        <v>2159</v>
      </c>
      <c r="D395" s="337" t="s">
        <v>2160</v>
      </c>
      <c r="E395" s="91" t="s">
        <v>1922</v>
      </c>
      <c r="F395" s="91" t="s">
        <v>1923</v>
      </c>
      <c r="G395" s="56">
        <v>1</v>
      </c>
      <c r="H395" s="341">
        <v>148000</v>
      </c>
      <c r="I395" s="338">
        <f t="shared" si="24"/>
        <v>148000</v>
      </c>
      <c r="K395" s="203">
        <f t="shared" si="26"/>
        <v>148000</v>
      </c>
      <c r="L395" s="365">
        <f>8000-8000</f>
        <v>0</v>
      </c>
      <c r="N395" s="92">
        <f t="shared" si="25"/>
        <v>148000</v>
      </c>
      <c r="O395" s="10" t="s">
        <v>313</v>
      </c>
      <c r="Q395" s="10" t="s">
        <v>28</v>
      </c>
    </row>
    <row r="396" spans="1:19" s="364" customFormat="1" ht="15.6" hidden="1">
      <c r="A396" s="9">
        <v>44250</v>
      </c>
      <c r="B396" s="10" t="s">
        <v>317</v>
      </c>
      <c r="C396" s="11" t="s">
        <v>1824</v>
      </c>
      <c r="D396" s="337" t="s">
        <v>1825</v>
      </c>
      <c r="E396" s="74" t="s">
        <v>2161</v>
      </c>
      <c r="F396" s="15" t="s">
        <v>27</v>
      </c>
      <c r="G396" s="245">
        <v>1</v>
      </c>
      <c r="H396" s="341">
        <v>65500</v>
      </c>
      <c r="I396" s="338">
        <f t="shared" si="24"/>
        <v>65500</v>
      </c>
      <c r="K396" s="203">
        <f t="shared" si="26"/>
        <v>65500</v>
      </c>
      <c r="L396" s="365">
        <f>19000-19000</f>
        <v>0</v>
      </c>
      <c r="N396" s="92">
        <f t="shared" si="25"/>
        <v>65500</v>
      </c>
      <c r="O396" s="10" t="s">
        <v>317</v>
      </c>
      <c r="P396" s="363" t="s">
        <v>2162</v>
      </c>
      <c r="Q396" s="10" t="s">
        <v>176</v>
      </c>
      <c r="S396" s="363" t="s">
        <v>2162</v>
      </c>
    </row>
    <row r="397" spans="1:19" s="364" customFormat="1" ht="15.6" hidden="1">
      <c r="A397" s="9">
        <v>44250</v>
      </c>
      <c r="B397" s="10" t="s">
        <v>43</v>
      </c>
      <c r="C397" s="11" t="s">
        <v>2163</v>
      </c>
      <c r="D397" s="337" t="s">
        <v>2164</v>
      </c>
      <c r="E397" s="15" t="s">
        <v>1784</v>
      </c>
      <c r="F397" s="33" t="s">
        <v>1785</v>
      </c>
      <c r="G397" s="245">
        <v>1</v>
      </c>
      <c r="H397" s="341">
        <v>72000</v>
      </c>
      <c r="I397" s="338">
        <f t="shared" si="24"/>
        <v>72000</v>
      </c>
      <c r="K397" s="203">
        <f t="shared" si="26"/>
        <v>72000</v>
      </c>
      <c r="L397" s="365">
        <v>52000</v>
      </c>
      <c r="M397" s="364">
        <v>-3118</v>
      </c>
      <c r="N397" s="92">
        <f t="shared" si="25"/>
        <v>120882</v>
      </c>
      <c r="O397" s="10" t="s">
        <v>43</v>
      </c>
      <c r="P397" s="368" t="s">
        <v>2165</v>
      </c>
      <c r="Q397" s="10" t="s">
        <v>54</v>
      </c>
      <c r="S397" s="368" t="s">
        <v>2166</v>
      </c>
    </row>
    <row r="398" spans="1:19" s="364" customFormat="1" ht="16.8" hidden="1">
      <c r="A398" s="9">
        <v>44250</v>
      </c>
      <c r="B398" s="10" t="s">
        <v>313</v>
      </c>
      <c r="C398" s="70" t="s">
        <v>2167</v>
      </c>
      <c r="D398" s="337" t="s">
        <v>2168</v>
      </c>
      <c r="E398" s="15" t="s">
        <v>2169</v>
      </c>
      <c r="F398" s="15" t="s">
        <v>128</v>
      </c>
      <c r="G398" s="245">
        <v>1</v>
      </c>
      <c r="H398" s="341">
        <v>77500</v>
      </c>
      <c r="I398" s="338">
        <f t="shared" si="24"/>
        <v>77500</v>
      </c>
      <c r="J398" s="364">
        <f>I398*20%</f>
        <v>15500</v>
      </c>
      <c r="K398" s="203">
        <f t="shared" si="26"/>
        <v>62000</v>
      </c>
      <c r="L398" s="365">
        <v>8041</v>
      </c>
      <c r="N398" s="92">
        <f t="shared" si="25"/>
        <v>70041</v>
      </c>
      <c r="O398" s="10" t="s">
        <v>313</v>
      </c>
      <c r="Q398" s="10" t="s">
        <v>28</v>
      </c>
    </row>
    <row r="399" spans="1:19" s="364" customFormat="1" ht="15.6" hidden="1">
      <c r="A399" s="9">
        <v>44250</v>
      </c>
      <c r="B399" s="10" t="s">
        <v>177</v>
      </c>
      <c r="C399" s="10" t="s">
        <v>2170</v>
      </c>
      <c r="D399" s="337" t="s">
        <v>2171</v>
      </c>
      <c r="E399" s="15" t="s">
        <v>2172</v>
      </c>
      <c r="F399" s="15" t="s">
        <v>2173</v>
      </c>
      <c r="G399" s="245">
        <v>1</v>
      </c>
      <c r="H399" s="341">
        <v>114500</v>
      </c>
      <c r="I399" s="338">
        <f t="shared" si="24"/>
        <v>114500</v>
      </c>
      <c r="K399" s="203">
        <f t="shared" si="26"/>
        <v>114500</v>
      </c>
      <c r="L399" s="365">
        <v>6500</v>
      </c>
      <c r="N399" s="92">
        <f t="shared" si="25"/>
        <v>121000</v>
      </c>
      <c r="O399" s="10" t="s">
        <v>177</v>
      </c>
      <c r="P399" s="364">
        <v>550436118371865</v>
      </c>
      <c r="Q399" s="10" t="s">
        <v>54</v>
      </c>
      <c r="S399" s="368" t="s">
        <v>2174</v>
      </c>
    </row>
    <row r="400" spans="1:19" s="364" customFormat="1" ht="15.6" hidden="1">
      <c r="A400" s="9">
        <v>44250</v>
      </c>
      <c r="B400" s="10" t="s">
        <v>170</v>
      </c>
      <c r="C400" s="10" t="s">
        <v>2175</v>
      </c>
      <c r="D400" s="337" t="s">
        <v>2176</v>
      </c>
      <c r="E400" s="10" t="s">
        <v>2177</v>
      </c>
      <c r="F400" s="94" t="s">
        <v>2178</v>
      </c>
      <c r="G400" s="245">
        <v>1</v>
      </c>
      <c r="H400" s="341">
        <v>89500</v>
      </c>
      <c r="I400" s="338">
        <f t="shared" si="24"/>
        <v>89500</v>
      </c>
      <c r="K400" s="203">
        <f t="shared" si="26"/>
        <v>89500</v>
      </c>
      <c r="L400" s="365">
        <f>9000-9000</f>
        <v>0</v>
      </c>
      <c r="N400" s="92">
        <f t="shared" si="25"/>
        <v>89500</v>
      </c>
      <c r="O400" s="10" t="s">
        <v>170</v>
      </c>
      <c r="P400" s="363" t="s">
        <v>2179</v>
      </c>
      <c r="Q400" s="10" t="s">
        <v>478</v>
      </c>
      <c r="S400" s="363" t="s">
        <v>2179</v>
      </c>
    </row>
    <row r="401" spans="1:24" s="364" customFormat="1" ht="15.6">
      <c r="A401" s="9">
        <v>44250</v>
      </c>
      <c r="B401" s="10" t="s">
        <v>23</v>
      </c>
      <c r="C401" s="10" t="s">
        <v>2180</v>
      </c>
      <c r="D401" s="337" t="s">
        <v>2181</v>
      </c>
      <c r="E401" s="10" t="s">
        <v>2182</v>
      </c>
      <c r="F401" s="10" t="s">
        <v>2183</v>
      </c>
      <c r="G401" s="245">
        <v>1</v>
      </c>
      <c r="H401" s="341">
        <v>115000</v>
      </c>
      <c r="I401" s="338">
        <f t="shared" si="24"/>
        <v>115000</v>
      </c>
      <c r="J401" s="364">
        <f>I401*20%</f>
        <v>23000</v>
      </c>
      <c r="K401" s="203">
        <f t="shared" si="26"/>
        <v>92000</v>
      </c>
      <c r="L401" s="17">
        <v>40000</v>
      </c>
      <c r="N401" s="92">
        <f t="shared" si="25"/>
        <v>132000</v>
      </c>
      <c r="O401" s="10" t="s">
        <v>23</v>
      </c>
      <c r="Q401" s="10" t="s">
        <v>40</v>
      </c>
    </row>
    <row r="402" spans="1:24" s="275" customFormat="1" ht="15.6">
      <c r="A402" s="349">
        <v>44250</v>
      </c>
      <c r="B402" s="369" t="s">
        <v>23</v>
      </c>
      <c r="C402" s="369" t="s">
        <v>2184</v>
      </c>
      <c r="D402" s="351" t="s">
        <v>2185</v>
      </c>
      <c r="E402" s="404" t="s">
        <v>481</v>
      </c>
      <c r="F402" s="404" t="s">
        <v>2186</v>
      </c>
      <c r="G402" s="405">
        <v>1</v>
      </c>
      <c r="H402" s="353">
        <v>111500</v>
      </c>
      <c r="I402" s="354">
        <f t="shared" si="24"/>
        <v>111500</v>
      </c>
      <c r="J402" s="275">
        <f>I402*40%</f>
        <v>44600</v>
      </c>
      <c r="K402" s="355">
        <f t="shared" si="26"/>
        <v>66900</v>
      </c>
      <c r="L402" s="274">
        <v>57000</v>
      </c>
      <c r="N402" s="279">
        <f t="shared" si="25"/>
        <v>123900</v>
      </c>
      <c r="O402" s="369" t="s">
        <v>23</v>
      </c>
      <c r="Q402" s="369" t="s">
        <v>40</v>
      </c>
    </row>
    <row r="403" spans="1:24" s="364" customFormat="1" ht="15.6" hidden="1">
      <c r="A403" s="290">
        <v>44251</v>
      </c>
      <c r="B403" s="10" t="s">
        <v>43</v>
      </c>
      <c r="C403" s="11" t="s">
        <v>2187</v>
      </c>
      <c r="D403" s="337" t="s">
        <v>2188</v>
      </c>
      <c r="E403" s="22" t="s">
        <v>306</v>
      </c>
      <c r="F403" s="22" t="s">
        <v>307</v>
      </c>
      <c r="G403" s="30">
        <v>1</v>
      </c>
      <c r="H403" s="341">
        <v>90500</v>
      </c>
      <c r="I403" s="338">
        <f t="shared" si="24"/>
        <v>90500</v>
      </c>
      <c r="K403" s="203">
        <f t="shared" si="26"/>
        <v>90500</v>
      </c>
      <c r="L403" s="17">
        <v>23000</v>
      </c>
      <c r="M403" s="17">
        <v>-3919</v>
      </c>
      <c r="N403" s="92">
        <f>K403+L403+M403</f>
        <v>109581</v>
      </c>
      <c r="O403" s="10" t="s">
        <v>43</v>
      </c>
      <c r="P403" s="368" t="s">
        <v>2189</v>
      </c>
      <c r="Q403" s="406" t="s">
        <v>54</v>
      </c>
      <c r="S403" s="368" t="s">
        <v>2190</v>
      </c>
    </row>
    <row r="404" spans="1:24" s="364" customFormat="1" ht="15.6" hidden="1">
      <c r="A404" s="290">
        <v>44251</v>
      </c>
      <c r="B404" s="10" t="s">
        <v>43</v>
      </c>
      <c r="C404" s="11" t="s">
        <v>2191</v>
      </c>
      <c r="D404" s="337" t="s">
        <v>2192</v>
      </c>
      <c r="E404" s="15" t="s">
        <v>2193</v>
      </c>
      <c r="F404" s="33" t="s">
        <v>2194</v>
      </c>
      <c r="G404" s="30">
        <v>1</v>
      </c>
      <c r="H404" s="341">
        <v>75000</v>
      </c>
      <c r="I404" s="338">
        <f t="shared" si="24"/>
        <v>75000</v>
      </c>
      <c r="K404" s="203">
        <f t="shared" si="26"/>
        <v>75000</v>
      </c>
      <c r="L404" s="17">
        <v>8000</v>
      </c>
      <c r="M404" s="364">
        <v>-3248</v>
      </c>
      <c r="N404" s="92">
        <f t="shared" si="25"/>
        <v>79752</v>
      </c>
      <c r="O404" s="10" t="s">
        <v>43</v>
      </c>
      <c r="P404" s="31" t="s">
        <v>2195</v>
      </c>
      <c r="Q404" s="406" t="s">
        <v>54</v>
      </c>
      <c r="S404" s="368" t="s">
        <v>2196</v>
      </c>
    </row>
    <row r="405" spans="1:24" s="364" customFormat="1" ht="15.6" hidden="1">
      <c r="A405" s="290">
        <v>44251</v>
      </c>
      <c r="B405" s="10" t="s">
        <v>206</v>
      </c>
      <c r="C405" s="10" t="s">
        <v>2197</v>
      </c>
      <c r="D405" s="337" t="s">
        <v>2198</v>
      </c>
      <c r="E405" s="10" t="s">
        <v>418</v>
      </c>
      <c r="F405" s="11" t="s">
        <v>419</v>
      </c>
      <c r="G405" s="30">
        <v>1</v>
      </c>
      <c r="H405" s="341">
        <v>55000</v>
      </c>
      <c r="I405" s="338">
        <f t="shared" si="24"/>
        <v>55000</v>
      </c>
      <c r="K405" s="203">
        <f t="shared" si="26"/>
        <v>55000</v>
      </c>
      <c r="L405" s="17">
        <v>7300</v>
      </c>
      <c r="N405" s="92">
        <f t="shared" si="25"/>
        <v>62300</v>
      </c>
      <c r="O405" s="10" t="s">
        <v>206</v>
      </c>
      <c r="P405" s="368" t="s">
        <v>2199</v>
      </c>
      <c r="Q405" s="406" t="s">
        <v>28</v>
      </c>
    </row>
    <row r="406" spans="1:24" s="364" customFormat="1" ht="15.6" hidden="1">
      <c r="A406" s="290">
        <v>44251</v>
      </c>
      <c r="B406" s="15" t="s">
        <v>170</v>
      </c>
      <c r="C406" s="33" t="s">
        <v>2200</v>
      </c>
      <c r="D406" s="337" t="s">
        <v>2201</v>
      </c>
      <c r="E406" s="46" t="s">
        <v>190</v>
      </c>
      <c r="F406" s="46" t="s">
        <v>191</v>
      </c>
      <c r="G406" s="56">
        <v>1</v>
      </c>
      <c r="H406" s="341">
        <v>92000</v>
      </c>
      <c r="I406" s="338">
        <f t="shared" si="24"/>
        <v>92000</v>
      </c>
      <c r="K406" s="203">
        <f t="shared" si="26"/>
        <v>92000</v>
      </c>
      <c r="L406" s="365">
        <f>44000-44000</f>
        <v>0</v>
      </c>
      <c r="N406" s="92">
        <f t="shared" si="25"/>
        <v>92000</v>
      </c>
      <c r="O406" s="15" t="s">
        <v>170</v>
      </c>
      <c r="P406" s="363" t="s">
        <v>2202</v>
      </c>
      <c r="Q406" s="406" t="s">
        <v>176</v>
      </c>
      <c r="S406" s="363" t="s">
        <v>2202</v>
      </c>
    </row>
    <row r="407" spans="1:24" s="364" customFormat="1" ht="15.6">
      <c r="A407" s="290">
        <v>44251</v>
      </c>
      <c r="B407" s="38" t="s">
        <v>170</v>
      </c>
      <c r="C407" s="33" t="s">
        <v>2200</v>
      </c>
      <c r="D407" s="337" t="s">
        <v>2203</v>
      </c>
      <c r="E407" s="46" t="s">
        <v>2204</v>
      </c>
      <c r="F407" s="407" t="s">
        <v>2205</v>
      </c>
      <c r="G407" s="56">
        <v>1</v>
      </c>
      <c r="H407" s="341">
        <v>74000</v>
      </c>
      <c r="I407" s="338">
        <f t="shared" si="24"/>
        <v>74000</v>
      </c>
      <c r="K407" s="203">
        <f t="shared" si="26"/>
        <v>74000</v>
      </c>
      <c r="L407" s="365"/>
      <c r="N407" s="92">
        <f t="shared" si="25"/>
        <v>74000</v>
      </c>
      <c r="O407" s="38" t="s">
        <v>170</v>
      </c>
      <c r="P407" s="363" t="s">
        <v>2202</v>
      </c>
      <c r="Q407" s="406" t="s">
        <v>176</v>
      </c>
      <c r="S407" s="363" t="s">
        <v>2202</v>
      </c>
    </row>
    <row r="408" spans="1:24" s="364" customFormat="1" ht="15.6">
      <c r="A408" s="290">
        <v>44251</v>
      </c>
      <c r="B408" s="38" t="s">
        <v>170</v>
      </c>
      <c r="C408" s="33" t="s">
        <v>2200</v>
      </c>
      <c r="D408" s="337" t="s">
        <v>2206</v>
      </c>
      <c r="E408" s="46" t="s">
        <v>2207</v>
      </c>
      <c r="F408" s="46" t="s">
        <v>2208</v>
      </c>
      <c r="G408" s="56">
        <v>1</v>
      </c>
      <c r="H408" s="341">
        <v>129000</v>
      </c>
      <c r="I408" s="338">
        <f t="shared" si="24"/>
        <v>129000</v>
      </c>
      <c r="K408" s="203">
        <f t="shared" si="26"/>
        <v>129000</v>
      </c>
      <c r="L408" s="365"/>
      <c r="N408" s="92">
        <f t="shared" si="25"/>
        <v>129000</v>
      </c>
      <c r="O408" s="38" t="s">
        <v>170</v>
      </c>
      <c r="P408" s="408" t="s">
        <v>2202</v>
      </c>
      <c r="Q408" s="406" t="s">
        <v>176</v>
      </c>
      <c r="S408" s="408" t="s">
        <v>2202</v>
      </c>
    </row>
    <row r="409" spans="1:24" s="364" customFormat="1" ht="15.6">
      <c r="A409" s="290">
        <v>44251</v>
      </c>
      <c r="B409" s="10" t="s">
        <v>170</v>
      </c>
      <c r="C409" s="11" t="s">
        <v>2209</v>
      </c>
      <c r="D409" s="1094" t="s">
        <v>9415</v>
      </c>
      <c r="E409" s="15" t="s">
        <v>190</v>
      </c>
      <c r="F409" s="15" t="s">
        <v>191</v>
      </c>
      <c r="G409" s="56">
        <v>1</v>
      </c>
      <c r="H409" s="341">
        <v>92000</v>
      </c>
      <c r="I409" s="338">
        <f t="shared" si="24"/>
        <v>92000</v>
      </c>
      <c r="K409" s="203">
        <f t="shared" si="26"/>
        <v>92000</v>
      </c>
      <c r="L409" s="365">
        <f>13000-13000</f>
        <v>0</v>
      </c>
      <c r="N409" s="92">
        <f t="shared" si="25"/>
        <v>92000</v>
      </c>
      <c r="O409" s="10" t="s">
        <v>170</v>
      </c>
      <c r="P409" s="363" t="s">
        <v>2210</v>
      </c>
      <c r="Q409" s="406" t="s">
        <v>176</v>
      </c>
      <c r="S409" s="363" t="s">
        <v>2210</v>
      </c>
    </row>
    <row r="410" spans="1:24" s="364" customFormat="1" ht="15.6">
      <c r="A410" s="290">
        <v>44251</v>
      </c>
      <c r="B410" s="10" t="s">
        <v>313</v>
      </c>
      <c r="C410" s="11" t="s">
        <v>2211</v>
      </c>
      <c r="D410" s="337" t="s">
        <v>2212</v>
      </c>
      <c r="E410" s="57" t="s">
        <v>1208</v>
      </c>
      <c r="F410" s="38" t="s">
        <v>1209</v>
      </c>
      <c r="G410" s="56">
        <v>1</v>
      </c>
      <c r="H410" s="341">
        <v>88000</v>
      </c>
      <c r="I410" s="338">
        <f t="shared" si="24"/>
        <v>88000</v>
      </c>
      <c r="J410" s="364">
        <f>I410*20%</f>
        <v>17600</v>
      </c>
      <c r="K410" s="203">
        <f t="shared" si="26"/>
        <v>70400</v>
      </c>
      <c r="L410" s="365">
        <v>46000</v>
      </c>
      <c r="N410" s="92">
        <f>K410+L410+M410</f>
        <v>116400</v>
      </c>
      <c r="O410" s="10" t="s">
        <v>313</v>
      </c>
      <c r="Q410" s="406" t="s">
        <v>40</v>
      </c>
    </row>
    <row r="411" spans="1:24" s="364" customFormat="1" ht="15.6">
      <c r="A411" s="290">
        <v>44251</v>
      </c>
      <c r="B411" s="10" t="s">
        <v>23</v>
      </c>
      <c r="C411" s="10" t="s">
        <v>2213</v>
      </c>
      <c r="D411" s="337" t="s">
        <v>2214</v>
      </c>
      <c r="E411" s="15" t="s">
        <v>2215</v>
      </c>
      <c r="F411" s="15" t="s">
        <v>2216</v>
      </c>
      <c r="G411" s="30">
        <v>1</v>
      </c>
      <c r="H411" s="341">
        <v>86000</v>
      </c>
      <c r="I411" s="338">
        <f t="shared" si="24"/>
        <v>86000</v>
      </c>
      <c r="K411" s="203">
        <f t="shared" si="26"/>
        <v>86000</v>
      </c>
      <c r="L411" s="365">
        <v>7000</v>
      </c>
      <c r="N411" s="92">
        <f t="shared" si="25"/>
        <v>93000</v>
      </c>
      <c r="O411" s="10" t="s">
        <v>23</v>
      </c>
      <c r="Q411" s="406" t="s">
        <v>28</v>
      </c>
    </row>
    <row r="412" spans="1:24" s="364" customFormat="1" ht="15.6" hidden="1">
      <c r="A412" s="290">
        <v>44251</v>
      </c>
      <c r="B412" s="10" t="s">
        <v>313</v>
      </c>
      <c r="C412" s="77" t="s">
        <v>2217</v>
      </c>
      <c r="D412" s="337" t="s">
        <v>2218</v>
      </c>
      <c r="E412" s="74" t="s">
        <v>489</v>
      </c>
      <c r="F412" s="15" t="s">
        <v>490</v>
      </c>
      <c r="G412" s="242">
        <v>1</v>
      </c>
      <c r="H412" s="341">
        <v>72000</v>
      </c>
      <c r="I412" s="338">
        <f t="shared" si="24"/>
        <v>72000</v>
      </c>
      <c r="J412" s="364">
        <f>I412*20%</f>
        <v>14400</v>
      </c>
      <c r="K412" s="203">
        <f t="shared" si="26"/>
        <v>57600</v>
      </c>
      <c r="L412" s="365">
        <v>7098</v>
      </c>
      <c r="N412" s="92">
        <f t="shared" si="25"/>
        <v>64698</v>
      </c>
      <c r="O412" s="10" t="s">
        <v>313</v>
      </c>
      <c r="Q412" s="406" t="s">
        <v>28</v>
      </c>
    </row>
    <row r="413" spans="1:24" s="364" customFormat="1" ht="28.8" hidden="1">
      <c r="A413" s="290">
        <v>44251</v>
      </c>
      <c r="B413" s="10" t="s">
        <v>170</v>
      </c>
      <c r="C413" s="11" t="s">
        <v>2219</v>
      </c>
      <c r="D413" s="337" t="s">
        <v>2220</v>
      </c>
      <c r="E413" s="74" t="s">
        <v>2221</v>
      </c>
      <c r="F413" s="15" t="s">
        <v>2222</v>
      </c>
      <c r="G413" s="242">
        <v>1</v>
      </c>
      <c r="H413" s="341">
        <v>112500</v>
      </c>
      <c r="I413" s="338">
        <f t="shared" si="24"/>
        <v>112500</v>
      </c>
      <c r="K413" s="203">
        <f t="shared" si="26"/>
        <v>112500</v>
      </c>
      <c r="L413" s="365">
        <f>13000-13000</f>
        <v>0</v>
      </c>
      <c r="N413" s="92">
        <f t="shared" si="25"/>
        <v>112500</v>
      </c>
      <c r="O413" s="10" t="s">
        <v>170</v>
      </c>
      <c r="P413" s="363" t="s">
        <v>2223</v>
      </c>
      <c r="Q413" s="406" t="s">
        <v>478</v>
      </c>
      <c r="S413" s="363" t="s">
        <v>2223</v>
      </c>
    </row>
    <row r="414" spans="1:24" s="364" customFormat="1" ht="28.8" hidden="1">
      <c r="A414" s="290">
        <v>44251</v>
      </c>
      <c r="B414" s="10" t="s">
        <v>170</v>
      </c>
      <c r="C414" s="11" t="s">
        <v>2224</v>
      </c>
      <c r="D414" s="337" t="s">
        <v>2225</v>
      </c>
      <c r="E414" s="10" t="s">
        <v>2226</v>
      </c>
      <c r="F414" s="15" t="s">
        <v>2227</v>
      </c>
      <c r="G414" s="242">
        <v>1</v>
      </c>
      <c r="H414" s="341">
        <v>34500</v>
      </c>
      <c r="I414" s="338">
        <f t="shared" si="24"/>
        <v>34500</v>
      </c>
      <c r="K414" s="203">
        <f t="shared" si="26"/>
        <v>34500</v>
      </c>
      <c r="L414" s="365">
        <f>12000-12000</f>
        <v>0</v>
      </c>
      <c r="N414" s="92">
        <f t="shared" si="25"/>
        <v>34500</v>
      </c>
      <c r="O414" s="10" t="s">
        <v>170</v>
      </c>
      <c r="P414" s="363" t="s">
        <v>2228</v>
      </c>
      <c r="Q414" s="406" t="s">
        <v>478</v>
      </c>
      <c r="S414" s="363" t="s">
        <v>2228</v>
      </c>
    </row>
    <row r="415" spans="1:24" s="364" customFormat="1" ht="15.6">
      <c r="A415" s="290">
        <v>44251</v>
      </c>
      <c r="B415" s="10" t="s">
        <v>23</v>
      </c>
      <c r="C415" s="11" t="s">
        <v>2229</v>
      </c>
      <c r="D415" s="337" t="s">
        <v>2230</v>
      </c>
      <c r="E415" s="10" t="s">
        <v>2231</v>
      </c>
      <c r="F415" s="10" t="s">
        <v>2232</v>
      </c>
      <c r="G415" s="242">
        <v>1</v>
      </c>
      <c r="H415" s="341">
        <v>117000</v>
      </c>
      <c r="I415" s="338">
        <f t="shared" si="24"/>
        <v>117000</v>
      </c>
      <c r="K415" s="203">
        <f t="shared" si="26"/>
        <v>117000</v>
      </c>
      <c r="L415" s="72">
        <v>17000</v>
      </c>
      <c r="M415" s="409"/>
      <c r="N415" s="92">
        <f t="shared" si="25"/>
        <v>134000</v>
      </c>
      <c r="O415" s="10" t="s">
        <v>23</v>
      </c>
      <c r="P415" s="281"/>
      <c r="Q415" s="406" t="s">
        <v>40</v>
      </c>
      <c r="R415" s="56"/>
      <c r="S415" s="341"/>
      <c r="T415" s="338"/>
      <c r="U415" s="20"/>
      <c r="V415" s="203"/>
      <c r="W415" s="20"/>
      <c r="X415" s="20"/>
    </row>
    <row r="416" spans="1:24" s="364" customFormat="1" ht="15.6" hidden="1">
      <c r="A416" s="290">
        <v>44251</v>
      </c>
      <c r="B416" s="10" t="s">
        <v>43</v>
      </c>
      <c r="C416" s="10" t="s">
        <v>2233</v>
      </c>
      <c r="D416" s="337" t="s">
        <v>2234</v>
      </c>
      <c r="E416" s="71" t="s">
        <v>77</v>
      </c>
      <c r="F416" s="273" t="s">
        <v>78</v>
      </c>
      <c r="G416" s="242">
        <v>1</v>
      </c>
      <c r="H416" s="341">
        <v>81000</v>
      </c>
      <c r="I416" s="338">
        <f t="shared" si="24"/>
        <v>81000</v>
      </c>
      <c r="K416" s="203">
        <f t="shared" si="26"/>
        <v>81000</v>
      </c>
      <c r="L416" s="72">
        <v>21000</v>
      </c>
      <c r="M416" s="409">
        <v>-3507</v>
      </c>
      <c r="N416" s="92">
        <f t="shared" si="25"/>
        <v>98493</v>
      </c>
      <c r="O416" s="10" t="s">
        <v>43</v>
      </c>
      <c r="P416" s="281" t="s">
        <v>2235</v>
      </c>
      <c r="Q416" s="406" t="s">
        <v>54</v>
      </c>
      <c r="R416" s="56"/>
      <c r="S416" s="32" t="s">
        <v>2236</v>
      </c>
      <c r="T416" s="338"/>
      <c r="U416" s="20"/>
      <c r="V416" s="203"/>
      <c r="W416" s="20"/>
      <c r="X416" s="20"/>
    </row>
    <row r="417" spans="1:24" s="364" customFormat="1" ht="15.6">
      <c r="A417" s="290">
        <v>44251</v>
      </c>
      <c r="B417" s="10" t="s">
        <v>23</v>
      </c>
      <c r="C417" s="10" t="s">
        <v>2237</v>
      </c>
      <c r="D417" s="337" t="s">
        <v>2238</v>
      </c>
      <c r="E417" s="10" t="s">
        <v>2239</v>
      </c>
      <c r="F417" s="10" t="s">
        <v>222</v>
      </c>
      <c r="G417" s="410">
        <v>1</v>
      </c>
      <c r="H417" s="341">
        <v>44000</v>
      </c>
      <c r="I417" s="338">
        <f t="shared" si="24"/>
        <v>44000</v>
      </c>
      <c r="K417" s="203">
        <f t="shared" si="26"/>
        <v>44000</v>
      </c>
      <c r="L417" s="72">
        <v>10000</v>
      </c>
      <c r="M417" s="409"/>
      <c r="N417" s="92">
        <f t="shared" si="25"/>
        <v>54000</v>
      </c>
      <c r="O417" s="10" t="s">
        <v>23</v>
      </c>
      <c r="P417" s="276"/>
      <c r="Q417" s="406" t="s">
        <v>40</v>
      </c>
      <c r="R417" s="56"/>
      <c r="S417" s="341"/>
      <c r="T417" s="338"/>
      <c r="U417" s="20"/>
      <c r="V417" s="203"/>
      <c r="W417" s="20"/>
      <c r="X417" s="20"/>
    </row>
    <row r="418" spans="1:24" s="364" customFormat="1" ht="15.6">
      <c r="A418" s="290">
        <v>44251</v>
      </c>
      <c r="B418" s="10" t="s">
        <v>23</v>
      </c>
      <c r="C418" s="11" t="s">
        <v>2240</v>
      </c>
      <c r="D418" s="337" t="s">
        <v>2241</v>
      </c>
      <c r="E418" s="10" t="s">
        <v>2242</v>
      </c>
      <c r="F418" s="33" t="s">
        <v>2243</v>
      </c>
      <c r="G418" s="410">
        <v>1</v>
      </c>
      <c r="H418" s="341">
        <v>55000</v>
      </c>
      <c r="I418" s="338">
        <f t="shared" si="24"/>
        <v>55000</v>
      </c>
      <c r="K418" s="203">
        <f t="shared" si="26"/>
        <v>55000</v>
      </c>
      <c r="L418" s="72">
        <v>35000</v>
      </c>
      <c r="M418" s="409"/>
      <c r="N418" s="92">
        <f t="shared" si="25"/>
        <v>90000</v>
      </c>
      <c r="O418" s="10" t="s">
        <v>23</v>
      </c>
      <c r="P418" s="276"/>
      <c r="Q418" s="276" t="s">
        <v>40</v>
      </c>
      <c r="R418" s="56"/>
      <c r="S418" s="341"/>
      <c r="T418" s="338"/>
      <c r="U418" s="20"/>
      <c r="V418" s="203"/>
      <c r="W418" s="20"/>
      <c r="X418" s="20"/>
    </row>
    <row r="419" spans="1:24" hidden="1">
      <c r="G419">
        <f>SUM(G2:G418)</f>
        <v>551</v>
      </c>
      <c r="K419" s="203">
        <f>SUM(K2:K418)</f>
        <v>43692960</v>
      </c>
    </row>
    <row r="420" spans="1:24" hidden="1">
      <c r="G420" t="s">
        <v>6429</v>
      </c>
    </row>
  </sheetData>
  <autoFilter ref="A1:W420" xr:uid="{00000000-0009-0000-0000-000001000000}">
    <filterColumn colId="1">
      <filters>
        <filter val="wa"/>
      </filters>
    </filterColumn>
  </autoFilter>
  <hyperlinks>
    <hyperlink ref="F193" r:id="rId1" display="https://penerbitbukudeepublish.com/penulis/demsa-jumiyati-antun/"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X346"/>
  <sheetViews>
    <sheetView topLeftCell="A141" workbookViewId="0">
      <selection activeCell="E143" sqref="E143"/>
    </sheetView>
  </sheetViews>
  <sheetFormatPr defaultRowHeight="14.4"/>
  <sheetData>
    <row r="1" spans="1:24">
      <c r="A1" s="411" t="s">
        <v>0</v>
      </c>
      <c r="B1" s="412" t="s">
        <v>1</v>
      </c>
      <c r="C1" s="412" t="s">
        <v>2</v>
      </c>
      <c r="D1" s="413" t="s">
        <v>3</v>
      </c>
      <c r="E1" s="412" t="s">
        <v>4</v>
      </c>
      <c r="F1" s="412" t="s">
        <v>5</v>
      </c>
      <c r="G1" s="414" t="s">
        <v>4668</v>
      </c>
      <c r="H1" s="412" t="s">
        <v>7</v>
      </c>
      <c r="I1" s="415" t="s">
        <v>8</v>
      </c>
      <c r="J1" s="416" t="s">
        <v>9</v>
      </c>
      <c r="K1" s="417" t="s">
        <v>10</v>
      </c>
      <c r="L1" s="416" t="s">
        <v>11</v>
      </c>
      <c r="M1" s="416" t="s">
        <v>12</v>
      </c>
      <c r="N1" s="416" t="s">
        <v>13</v>
      </c>
      <c r="O1" s="418" t="s">
        <v>14</v>
      </c>
      <c r="P1" s="419" t="s">
        <v>15</v>
      </c>
      <c r="Q1" s="412" t="s">
        <v>16</v>
      </c>
      <c r="R1" s="412" t="s">
        <v>17</v>
      </c>
      <c r="S1" s="414" t="s">
        <v>18</v>
      </c>
      <c r="T1" s="416" t="s">
        <v>19</v>
      </c>
      <c r="U1" s="416" t="s">
        <v>20</v>
      </c>
      <c r="V1" s="416" t="s">
        <v>21</v>
      </c>
      <c r="W1" s="418" t="s">
        <v>22</v>
      </c>
    </row>
    <row r="2" spans="1:24" s="29" customFormat="1" ht="15.6" hidden="1">
      <c r="A2" s="9">
        <v>44252</v>
      </c>
      <c r="B2" s="10" t="s">
        <v>43</v>
      </c>
      <c r="C2" s="10" t="s">
        <v>2244</v>
      </c>
      <c r="D2" s="12" t="s">
        <v>2245</v>
      </c>
      <c r="E2" s="15" t="s">
        <v>1954</v>
      </c>
      <c r="F2" s="33" t="s">
        <v>1955</v>
      </c>
      <c r="G2" s="30">
        <v>1</v>
      </c>
      <c r="H2" s="92">
        <v>10000</v>
      </c>
      <c r="I2" s="86">
        <f>H2*G2</f>
        <v>10000</v>
      </c>
      <c r="J2" s="92"/>
      <c r="K2" s="86">
        <f>I2-J2</f>
        <v>10000</v>
      </c>
      <c r="L2" s="92"/>
      <c r="M2" s="92">
        <v>-4330</v>
      </c>
      <c r="N2" s="92">
        <f>K2+L2+M2</f>
        <v>5670</v>
      </c>
      <c r="O2" s="10" t="s">
        <v>43</v>
      </c>
      <c r="P2" s="95" t="s">
        <v>2246</v>
      </c>
      <c r="Q2" s="10" t="s">
        <v>54</v>
      </c>
      <c r="S2" s="12" t="s">
        <v>2247</v>
      </c>
      <c r="U2" s="92"/>
      <c r="V2" s="92"/>
      <c r="W2" s="92"/>
      <c r="X2" s="92"/>
    </row>
    <row r="3" spans="1:24" s="29" customFormat="1" ht="15.6" hidden="1">
      <c r="A3" s="9">
        <v>44252</v>
      </c>
      <c r="B3" s="10" t="s">
        <v>43</v>
      </c>
      <c r="C3" s="11" t="s">
        <v>2248</v>
      </c>
      <c r="D3" s="12" t="s">
        <v>2249</v>
      </c>
      <c r="E3" s="74" t="s">
        <v>2250</v>
      </c>
      <c r="F3" s="15" t="s">
        <v>2251</v>
      </c>
      <c r="G3" s="30">
        <v>1</v>
      </c>
      <c r="H3" s="92">
        <v>83000</v>
      </c>
      <c r="I3" s="86">
        <f t="shared" ref="I3:I66" si="0">H3*G3</f>
        <v>83000</v>
      </c>
      <c r="J3" s="92"/>
      <c r="K3" s="86">
        <f t="shared" ref="K3:K66" si="1">I3-J3</f>
        <v>83000</v>
      </c>
      <c r="L3" s="92">
        <v>4000</v>
      </c>
      <c r="M3" s="92">
        <v>-3594</v>
      </c>
      <c r="N3" s="92">
        <f t="shared" ref="N3:N66" si="2">K3+L3+M3</f>
        <v>83406</v>
      </c>
      <c r="O3" s="10" t="s">
        <v>43</v>
      </c>
      <c r="P3" s="333" t="s">
        <v>2252</v>
      </c>
      <c r="Q3" s="10" t="s">
        <v>54</v>
      </c>
      <c r="S3" s="12" t="s">
        <v>2253</v>
      </c>
      <c r="U3" s="92"/>
      <c r="V3" s="92"/>
      <c r="W3" s="92"/>
      <c r="X3" s="92"/>
    </row>
    <row r="4" spans="1:24" s="29" customFormat="1" ht="15.6" hidden="1">
      <c r="A4" s="9">
        <v>44252</v>
      </c>
      <c r="B4" s="10" t="s">
        <v>43</v>
      </c>
      <c r="C4" s="11" t="s">
        <v>2254</v>
      </c>
      <c r="D4" s="12" t="s">
        <v>2255</v>
      </c>
      <c r="E4" s="74" t="s">
        <v>2250</v>
      </c>
      <c r="F4" s="15" t="s">
        <v>2251</v>
      </c>
      <c r="G4" s="30">
        <v>1</v>
      </c>
      <c r="H4" s="29">
        <v>83000</v>
      </c>
      <c r="I4" s="86">
        <f t="shared" si="0"/>
        <v>83000</v>
      </c>
      <c r="J4" s="92"/>
      <c r="K4" s="86">
        <f t="shared" si="1"/>
        <v>83000</v>
      </c>
      <c r="L4" s="92">
        <v>1000</v>
      </c>
      <c r="M4" s="92">
        <v>-3594</v>
      </c>
      <c r="N4" s="92">
        <f t="shared" si="2"/>
        <v>80406</v>
      </c>
      <c r="O4" s="10" t="s">
        <v>43</v>
      </c>
      <c r="P4" s="23" t="s">
        <v>2256</v>
      </c>
      <c r="Q4" s="10" t="s">
        <v>54</v>
      </c>
      <c r="S4" s="23" t="s">
        <v>2257</v>
      </c>
      <c r="U4" s="92"/>
      <c r="V4" s="92"/>
      <c r="W4" s="92"/>
      <c r="X4" s="92"/>
    </row>
    <row r="5" spans="1:24" s="29" customFormat="1" ht="15.6" hidden="1">
      <c r="A5" s="9">
        <v>44252</v>
      </c>
      <c r="B5" s="10" t="s">
        <v>43</v>
      </c>
      <c r="C5" s="11" t="s">
        <v>2258</v>
      </c>
      <c r="D5" s="23" t="s">
        <v>2259</v>
      </c>
      <c r="E5" s="22" t="s">
        <v>1371</v>
      </c>
      <c r="F5" s="22" t="s">
        <v>1372</v>
      </c>
      <c r="G5" s="30">
        <v>1</v>
      </c>
      <c r="H5" s="92">
        <v>98000</v>
      </c>
      <c r="I5" s="86">
        <f t="shared" si="0"/>
        <v>98000</v>
      </c>
      <c r="J5" s="92"/>
      <c r="K5" s="86">
        <f t="shared" si="1"/>
        <v>98000</v>
      </c>
      <c r="L5" s="92">
        <v>23000</v>
      </c>
      <c r="M5" s="92">
        <v>-4243</v>
      </c>
      <c r="N5" s="92">
        <f t="shared" si="2"/>
        <v>116757</v>
      </c>
      <c r="O5" s="10" t="s">
        <v>43</v>
      </c>
      <c r="P5" s="102" t="s">
        <v>2260</v>
      </c>
      <c r="Q5" s="10" t="s">
        <v>54</v>
      </c>
      <c r="S5" s="107" t="s">
        <v>2261</v>
      </c>
      <c r="U5" s="92"/>
      <c r="V5" s="92"/>
      <c r="W5" s="92"/>
      <c r="X5" s="92"/>
    </row>
    <row r="6" spans="1:24" s="29" customFormat="1" ht="16.8" hidden="1">
      <c r="A6" s="9">
        <v>44252</v>
      </c>
      <c r="B6" s="10" t="s">
        <v>43</v>
      </c>
      <c r="C6" s="10" t="s">
        <v>2262</v>
      </c>
      <c r="D6" s="228" t="s">
        <v>2263</v>
      </c>
      <c r="E6" s="98" t="s">
        <v>345</v>
      </c>
      <c r="F6" s="98" t="s">
        <v>2264</v>
      </c>
      <c r="G6" s="30">
        <v>1</v>
      </c>
      <c r="H6" s="92">
        <v>71500</v>
      </c>
      <c r="I6" s="86">
        <f t="shared" si="0"/>
        <v>71500</v>
      </c>
      <c r="J6" s="92"/>
      <c r="K6" s="86">
        <f t="shared" si="1"/>
        <v>71500</v>
      </c>
      <c r="L6" s="92">
        <v>51000</v>
      </c>
      <c r="M6" s="92">
        <v>-5954</v>
      </c>
      <c r="N6" s="92">
        <f t="shared" si="2"/>
        <v>116546</v>
      </c>
      <c r="O6" s="10" t="s">
        <v>43</v>
      </c>
      <c r="P6" s="432" t="s">
        <v>2265</v>
      </c>
      <c r="Q6" s="10" t="s">
        <v>54</v>
      </c>
      <c r="S6" s="12" t="s">
        <v>2266</v>
      </c>
      <c r="U6" s="92"/>
      <c r="V6" s="92"/>
      <c r="W6" s="92"/>
      <c r="X6" s="92"/>
    </row>
    <row r="7" spans="1:24" s="29" customFormat="1" ht="16.8" hidden="1">
      <c r="A7" s="9">
        <v>44252</v>
      </c>
      <c r="B7" s="10" t="s">
        <v>43</v>
      </c>
      <c r="C7" s="10" t="s">
        <v>2262</v>
      </c>
      <c r="D7" s="228" t="s">
        <v>2263</v>
      </c>
      <c r="E7" s="98" t="s">
        <v>345</v>
      </c>
      <c r="F7" s="98" t="s">
        <v>346</v>
      </c>
      <c r="G7" s="30">
        <v>1</v>
      </c>
      <c r="H7" s="92">
        <v>66000</v>
      </c>
      <c r="I7" s="86">
        <f t="shared" si="0"/>
        <v>66000</v>
      </c>
      <c r="J7" s="92"/>
      <c r="K7" s="86">
        <f t="shared" si="1"/>
        <v>66000</v>
      </c>
      <c r="L7" s="92"/>
      <c r="M7" s="92"/>
      <c r="N7" s="92">
        <f t="shared" si="2"/>
        <v>66000</v>
      </c>
      <c r="O7" s="10" t="s">
        <v>43</v>
      </c>
      <c r="P7" s="432" t="s">
        <v>2265</v>
      </c>
      <c r="Q7" s="10" t="s">
        <v>54</v>
      </c>
      <c r="S7" s="12" t="s">
        <v>2266</v>
      </c>
      <c r="U7" s="92"/>
      <c r="V7" s="92"/>
      <c r="W7" s="92"/>
      <c r="X7" s="92"/>
    </row>
    <row r="8" spans="1:24" s="29" customFormat="1" hidden="1">
      <c r="A8" s="9">
        <v>44252</v>
      </c>
      <c r="B8" s="10" t="s">
        <v>43</v>
      </c>
      <c r="C8" s="11" t="s">
        <v>2267</v>
      </c>
      <c r="D8" s="228" t="s">
        <v>2268</v>
      </c>
      <c r="E8" s="90" t="s">
        <v>2269</v>
      </c>
      <c r="F8" s="123" t="s">
        <v>2270</v>
      </c>
      <c r="G8" s="30">
        <v>1</v>
      </c>
      <c r="H8" s="92">
        <v>63000</v>
      </c>
      <c r="I8" s="86">
        <f t="shared" si="0"/>
        <v>63000</v>
      </c>
      <c r="J8" s="92"/>
      <c r="K8" s="86">
        <f t="shared" si="1"/>
        <v>63000</v>
      </c>
      <c r="L8" s="92"/>
      <c r="M8" s="92">
        <v>-2728</v>
      </c>
      <c r="N8" s="92">
        <f t="shared" si="2"/>
        <v>60272</v>
      </c>
      <c r="O8" s="10" t="s">
        <v>43</v>
      </c>
      <c r="P8" s="95" t="s">
        <v>2271</v>
      </c>
      <c r="Q8" s="10" t="s">
        <v>54</v>
      </c>
      <c r="S8" s="12" t="s">
        <v>2272</v>
      </c>
      <c r="U8" s="92"/>
      <c r="V8" s="92"/>
      <c r="W8" s="92"/>
      <c r="X8" s="92"/>
    </row>
    <row r="9" spans="1:24" s="29" customFormat="1" ht="15.6" hidden="1">
      <c r="A9" s="9">
        <v>44252</v>
      </c>
      <c r="B9" s="10" t="s">
        <v>206</v>
      </c>
      <c r="C9" s="68" t="s">
        <v>2273</v>
      </c>
      <c r="D9" s="228" t="s">
        <v>2274</v>
      </c>
      <c r="E9" s="22" t="s">
        <v>213</v>
      </c>
      <c r="F9" s="22" t="s">
        <v>191</v>
      </c>
      <c r="G9" s="30">
        <v>2</v>
      </c>
      <c r="H9" s="92">
        <v>92500</v>
      </c>
      <c r="I9" s="86">
        <f t="shared" si="0"/>
        <v>185000</v>
      </c>
      <c r="J9" s="92"/>
      <c r="K9" s="86">
        <f t="shared" si="1"/>
        <v>185000</v>
      </c>
      <c r="L9" s="92">
        <v>5800</v>
      </c>
      <c r="M9" s="92"/>
      <c r="N9" s="92">
        <f t="shared" si="2"/>
        <v>190800</v>
      </c>
      <c r="O9" s="10" t="s">
        <v>206</v>
      </c>
      <c r="P9" s="95" t="s">
        <v>2275</v>
      </c>
      <c r="Q9" s="10" t="s">
        <v>28</v>
      </c>
      <c r="S9" s="12"/>
      <c r="U9" s="92"/>
      <c r="V9" s="92"/>
      <c r="W9" s="92"/>
      <c r="X9" s="92"/>
    </row>
    <row r="10" spans="1:24" s="29" customFormat="1" ht="15.6" hidden="1">
      <c r="A10" s="9">
        <v>44252</v>
      </c>
      <c r="B10" s="10" t="s">
        <v>170</v>
      </c>
      <c r="C10" s="11" t="s">
        <v>2276</v>
      </c>
      <c r="D10" s="228" t="s">
        <v>2277</v>
      </c>
      <c r="E10" s="15" t="s">
        <v>2278</v>
      </c>
      <c r="F10" s="15" t="s">
        <v>2279</v>
      </c>
      <c r="G10" s="30">
        <v>1</v>
      </c>
      <c r="H10" s="92">
        <v>122000</v>
      </c>
      <c r="I10" s="86">
        <f t="shared" si="0"/>
        <v>122000</v>
      </c>
      <c r="J10" s="92"/>
      <c r="K10" s="86">
        <f t="shared" si="1"/>
        <v>122000</v>
      </c>
      <c r="L10" s="92">
        <f>13000-13000</f>
        <v>0</v>
      </c>
      <c r="M10" s="92"/>
      <c r="N10" s="92">
        <f t="shared" si="2"/>
        <v>122000</v>
      </c>
      <c r="O10" s="10" t="s">
        <v>170</v>
      </c>
      <c r="P10" s="227" t="s">
        <v>2280</v>
      </c>
      <c r="Q10" s="10" t="s">
        <v>478</v>
      </c>
      <c r="S10" s="227" t="s">
        <v>2280</v>
      </c>
      <c r="U10" s="92"/>
      <c r="V10" s="92"/>
      <c r="W10" s="92"/>
      <c r="X10" s="92"/>
    </row>
    <row r="11" spans="1:24" s="29" customFormat="1" ht="15.6" hidden="1">
      <c r="A11" s="9">
        <v>44252</v>
      </c>
      <c r="B11" s="10" t="s">
        <v>170</v>
      </c>
      <c r="C11" s="420" t="s">
        <v>2281</v>
      </c>
      <c r="D11" s="228" t="s">
        <v>2282</v>
      </c>
      <c r="E11" s="346" t="s">
        <v>2283</v>
      </c>
      <c r="F11" s="22" t="s">
        <v>2284</v>
      </c>
      <c r="G11" s="30">
        <v>1</v>
      </c>
      <c r="H11" s="92">
        <v>83000</v>
      </c>
      <c r="I11" s="86">
        <f t="shared" si="0"/>
        <v>83000</v>
      </c>
      <c r="J11" s="92"/>
      <c r="K11" s="86">
        <f t="shared" si="1"/>
        <v>83000</v>
      </c>
      <c r="L11" s="92">
        <f>16000-16000</f>
        <v>0</v>
      </c>
      <c r="M11" s="92"/>
      <c r="N11" s="92">
        <f t="shared" si="2"/>
        <v>83000</v>
      </c>
      <c r="O11" s="10" t="s">
        <v>170</v>
      </c>
      <c r="P11" s="36" t="s">
        <v>2285</v>
      </c>
      <c r="Q11" s="10" t="s">
        <v>40</v>
      </c>
      <c r="S11" s="12" t="s">
        <v>2285</v>
      </c>
      <c r="U11" s="92"/>
      <c r="V11" s="92"/>
      <c r="W11" s="92"/>
      <c r="X11" s="92"/>
    </row>
    <row r="12" spans="1:24" s="29" customFormat="1" ht="16.8" hidden="1">
      <c r="A12" s="9">
        <v>44252</v>
      </c>
      <c r="B12" s="421" t="s">
        <v>170</v>
      </c>
      <c r="C12" s="422" t="s">
        <v>2286</v>
      </c>
      <c r="D12" s="228" t="s">
        <v>2287</v>
      </c>
      <c r="E12" s="22" t="s">
        <v>2288</v>
      </c>
      <c r="F12" s="22" t="s">
        <v>2289</v>
      </c>
      <c r="G12" s="30">
        <v>1</v>
      </c>
      <c r="H12" s="92">
        <v>69000</v>
      </c>
      <c r="I12" s="86">
        <f t="shared" si="0"/>
        <v>69000</v>
      </c>
      <c r="J12" s="92"/>
      <c r="K12" s="86">
        <f t="shared" si="1"/>
        <v>69000</v>
      </c>
      <c r="L12" s="92">
        <f>13000-13000</f>
        <v>0</v>
      </c>
      <c r="M12" s="92"/>
      <c r="N12" s="92">
        <f t="shared" si="2"/>
        <v>69000</v>
      </c>
      <c r="O12" s="421" t="s">
        <v>170</v>
      </c>
      <c r="P12" s="318" t="s">
        <v>2290</v>
      </c>
      <c r="Q12" s="10" t="s">
        <v>478</v>
      </c>
      <c r="S12" s="103" t="s">
        <v>2290</v>
      </c>
      <c r="U12" s="92"/>
      <c r="V12" s="92"/>
      <c r="W12" s="92"/>
      <c r="X12" s="92"/>
    </row>
    <row r="13" spans="1:24" s="20" customFormat="1" ht="15.6" hidden="1">
      <c r="A13" s="9">
        <v>44252</v>
      </c>
      <c r="B13" s="10" t="s">
        <v>313</v>
      </c>
      <c r="C13" s="423" t="s">
        <v>2291</v>
      </c>
      <c r="D13" s="12" t="s">
        <v>2292</v>
      </c>
      <c r="E13" s="81" t="s">
        <v>180</v>
      </c>
      <c r="F13" s="81" t="s">
        <v>181</v>
      </c>
      <c r="G13" s="30">
        <v>1</v>
      </c>
      <c r="H13" s="92">
        <v>85000</v>
      </c>
      <c r="I13" s="86">
        <f t="shared" si="0"/>
        <v>85000</v>
      </c>
      <c r="J13" s="92">
        <f>I13*20%</f>
        <v>17000</v>
      </c>
      <c r="K13" s="86">
        <f t="shared" si="1"/>
        <v>68000</v>
      </c>
      <c r="L13" s="92">
        <v>8022</v>
      </c>
      <c r="M13" s="92"/>
      <c r="N13" s="92">
        <f t="shared" si="2"/>
        <v>76022</v>
      </c>
      <c r="O13" s="10" t="s">
        <v>313</v>
      </c>
      <c r="P13" s="494"/>
      <c r="Q13" s="10" t="s">
        <v>28</v>
      </c>
      <c r="R13" s="29"/>
      <c r="S13" s="103"/>
      <c r="T13" s="29"/>
      <c r="U13" s="92"/>
      <c r="V13" s="92"/>
      <c r="W13" s="92"/>
      <c r="X13" s="17"/>
    </row>
    <row r="14" spans="1:24" s="20" customFormat="1" ht="15.6" hidden="1">
      <c r="A14" s="9">
        <v>44252</v>
      </c>
      <c r="B14" s="10" t="s">
        <v>313</v>
      </c>
      <c r="C14" s="423" t="s">
        <v>2291</v>
      </c>
      <c r="D14" s="12" t="s">
        <v>2293</v>
      </c>
      <c r="E14" s="81" t="s">
        <v>2294</v>
      </c>
      <c r="F14" s="81" t="s">
        <v>2295</v>
      </c>
      <c r="G14" s="30">
        <v>1</v>
      </c>
      <c r="H14" s="92">
        <v>125000</v>
      </c>
      <c r="I14" s="86">
        <f t="shared" si="0"/>
        <v>125000</v>
      </c>
      <c r="J14" s="92">
        <f>I14*20%</f>
        <v>25000</v>
      </c>
      <c r="K14" s="86">
        <f t="shared" si="1"/>
        <v>100000</v>
      </c>
      <c r="L14" s="92"/>
      <c r="M14" s="92"/>
      <c r="N14" s="92">
        <f t="shared" si="2"/>
        <v>100000</v>
      </c>
      <c r="O14" s="10" t="s">
        <v>313</v>
      </c>
      <c r="P14" s="335"/>
      <c r="Q14" s="10" t="s">
        <v>28</v>
      </c>
      <c r="R14" s="29"/>
      <c r="S14" s="335"/>
      <c r="T14" s="29"/>
      <c r="U14" s="92"/>
      <c r="V14" s="92"/>
      <c r="W14" s="92"/>
      <c r="X14" s="17"/>
    </row>
    <row r="15" spans="1:24" s="20" customFormat="1" ht="15.6">
      <c r="A15" s="9">
        <v>44252</v>
      </c>
      <c r="B15" s="10" t="s">
        <v>23</v>
      </c>
      <c r="C15" s="11" t="s">
        <v>2296</v>
      </c>
      <c r="D15" s="228" t="s">
        <v>2297</v>
      </c>
      <c r="E15" s="14" t="s">
        <v>2298</v>
      </c>
      <c r="F15" s="22" t="s">
        <v>2299</v>
      </c>
      <c r="G15" s="30">
        <v>2</v>
      </c>
      <c r="H15" s="92">
        <v>42000</v>
      </c>
      <c r="I15" s="86">
        <f t="shared" si="0"/>
        <v>84000</v>
      </c>
      <c r="J15" s="92"/>
      <c r="K15" s="86">
        <f t="shared" si="1"/>
        <v>84000</v>
      </c>
      <c r="L15" s="92">
        <v>20000</v>
      </c>
      <c r="M15" s="92"/>
      <c r="N15" s="92">
        <f t="shared" si="2"/>
        <v>104000</v>
      </c>
      <c r="O15" s="10" t="s">
        <v>23</v>
      </c>
      <c r="P15" s="335"/>
      <c r="Q15" s="10" t="s">
        <v>54</v>
      </c>
      <c r="R15" s="29"/>
      <c r="S15" s="335"/>
      <c r="T15" s="29"/>
      <c r="U15" s="92"/>
      <c r="V15" s="92"/>
      <c r="W15" s="92"/>
      <c r="X15" s="17"/>
    </row>
    <row r="16" spans="1:24" s="20" customFormat="1" ht="15.6" hidden="1">
      <c r="A16" s="9">
        <v>44252</v>
      </c>
      <c r="B16" s="10" t="s">
        <v>313</v>
      </c>
      <c r="C16" s="424" t="s">
        <v>2300</v>
      </c>
      <c r="D16" s="228" t="s">
        <v>2301</v>
      </c>
      <c r="E16" s="22" t="s">
        <v>1784</v>
      </c>
      <c r="F16" s="94" t="s">
        <v>1785</v>
      </c>
      <c r="G16" s="242">
        <v>2</v>
      </c>
      <c r="H16" s="92">
        <v>54000</v>
      </c>
      <c r="I16" s="86">
        <f t="shared" si="0"/>
        <v>108000</v>
      </c>
      <c r="J16" s="92"/>
      <c r="K16" s="86">
        <f t="shared" si="1"/>
        <v>108000</v>
      </c>
      <c r="L16" s="92">
        <v>66012</v>
      </c>
      <c r="M16" s="92"/>
      <c r="N16" s="92">
        <f t="shared" si="2"/>
        <v>174012</v>
      </c>
      <c r="O16" s="10" t="s">
        <v>313</v>
      </c>
      <c r="P16" s="335"/>
      <c r="Q16" s="10" t="s">
        <v>40</v>
      </c>
      <c r="R16" s="29"/>
      <c r="S16" s="335"/>
      <c r="T16" s="29"/>
      <c r="U16" s="92"/>
      <c r="V16" s="92"/>
      <c r="W16" s="92"/>
      <c r="X16" s="17"/>
    </row>
    <row r="17" spans="1:24" s="20" customFormat="1" ht="15.6">
      <c r="A17" s="9">
        <v>44252</v>
      </c>
      <c r="B17" s="10" t="s">
        <v>23</v>
      </c>
      <c r="C17" s="10" t="s">
        <v>431</v>
      </c>
      <c r="D17" s="228" t="s">
        <v>31</v>
      </c>
      <c r="E17" s="22" t="s">
        <v>735</v>
      </c>
      <c r="F17" s="22" t="s">
        <v>2302</v>
      </c>
      <c r="G17" s="30">
        <v>2</v>
      </c>
      <c r="H17" s="92">
        <v>150000</v>
      </c>
      <c r="I17" s="86">
        <f t="shared" si="0"/>
        <v>300000</v>
      </c>
      <c r="J17" s="92">
        <f>I17*25%</f>
        <v>75000</v>
      </c>
      <c r="K17" s="86">
        <f t="shared" si="1"/>
        <v>225000</v>
      </c>
      <c r="L17" s="92">
        <v>-40000</v>
      </c>
      <c r="M17" s="92"/>
      <c r="N17" s="92">
        <f>K17+L17+M17</f>
        <v>185000</v>
      </c>
      <c r="O17" s="10" t="s">
        <v>23</v>
      </c>
      <c r="P17" s="95"/>
      <c r="Q17" s="10" t="s">
        <v>2303</v>
      </c>
      <c r="R17" s="29"/>
      <c r="S17" s="12"/>
      <c r="T17" s="29"/>
      <c r="U17" s="92"/>
      <c r="V17" s="92"/>
      <c r="W17" s="92"/>
      <c r="X17" s="17"/>
    </row>
    <row r="18" spans="1:24" s="20" customFormat="1" ht="16.8">
      <c r="A18" s="9">
        <v>44252</v>
      </c>
      <c r="B18" s="10" t="s">
        <v>23</v>
      </c>
      <c r="C18" s="11" t="s">
        <v>2304</v>
      </c>
      <c r="D18" s="237" t="s">
        <v>2305</v>
      </c>
      <c r="E18" s="425" t="s">
        <v>2306</v>
      </c>
      <c r="F18" s="425" t="s">
        <v>2307</v>
      </c>
      <c r="G18" s="30">
        <v>1</v>
      </c>
      <c r="H18" s="92">
        <v>120000</v>
      </c>
      <c r="I18" s="86">
        <f t="shared" si="0"/>
        <v>120000</v>
      </c>
      <c r="J18" s="92"/>
      <c r="K18" s="86">
        <f t="shared" si="1"/>
        <v>120000</v>
      </c>
      <c r="L18" s="92">
        <v>11000</v>
      </c>
      <c r="M18" s="92"/>
      <c r="N18" s="92">
        <f t="shared" si="2"/>
        <v>131000</v>
      </c>
      <c r="O18" s="10" t="s">
        <v>23</v>
      </c>
      <c r="P18" s="102"/>
      <c r="Q18" s="10" t="s">
        <v>40</v>
      </c>
      <c r="R18" s="29"/>
      <c r="S18" s="103"/>
      <c r="T18" s="29"/>
      <c r="U18" s="92"/>
      <c r="V18" s="92"/>
      <c r="W18" s="92"/>
      <c r="X18" s="17"/>
    </row>
    <row r="19" spans="1:24" s="20" customFormat="1" ht="16.8">
      <c r="A19" s="9">
        <v>44252</v>
      </c>
      <c r="B19" s="10" t="s">
        <v>23</v>
      </c>
      <c r="C19" s="11" t="s">
        <v>2304</v>
      </c>
      <c r="D19" s="237" t="s">
        <v>2305</v>
      </c>
      <c r="E19" s="218" t="s">
        <v>2308</v>
      </c>
      <c r="F19" s="218" t="s">
        <v>2309</v>
      </c>
      <c r="G19" s="30">
        <v>1</v>
      </c>
      <c r="H19" s="92">
        <v>77500</v>
      </c>
      <c r="I19" s="86">
        <f t="shared" si="0"/>
        <v>77500</v>
      </c>
      <c r="J19" s="92"/>
      <c r="K19" s="86">
        <f t="shared" si="1"/>
        <v>77500</v>
      </c>
      <c r="L19" s="92"/>
      <c r="M19" s="92"/>
      <c r="N19" s="92">
        <f t="shared" si="2"/>
        <v>77500</v>
      </c>
      <c r="O19" s="10" t="s">
        <v>23</v>
      </c>
      <c r="P19" s="432"/>
      <c r="Q19" s="10" t="s">
        <v>40</v>
      </c>
      <c r="R19" s="29"/>
      <c r="S19" s="240"/>
      <c r="T19" s="29"/>
      <c r="U19" s="92"/>
      <c r="V19" s="92"/>
      <c r="W19" s="92"/>
      <c r="X19" s="17"/>
    </row>
    <row r="20" spans="1:24" s="20" customFormat="1" ht="16.8">
      <c r="A20" s="9">
        <v>44252</v>
      </c>
      <c r="B20" s="10" t="s">
        <v>23</v>
      </c>
      <c r="C20" s="11" t="s">
        <v>2304</v>
      </c>
      <c r="D20" s="237" t="s">
        <v>2305</v>
      </c>
      <c r="E20" s="218" t="s">
        <v>2310</v>
      </c>
      <c r="F20" s="218" t="s">
        <v>2311</v>
      </c>
      <c r="G20" s="30">
        <v>1</v>
      </c>
      <c r="H20" s="92">
        <v>80500</v>
      </c>
      <c r="I20" s="86">
        <f t="shared" si="0"/>
        <v>80500</v>
      </c>
      <c r="J20" s="92"/>
      <c r="K20" s="86">
        <f t="shared" si="1"/>
        <v>80500</v>
      </c>
      <c r="L20" s="92"/>
      <c r="M20" s="92"/>
      <c r="N20" s="92">
        <f t="shared" si="2"/>
        <v>80500</v>
      </c>
      <c r="O20" s="10" t="s">
        <v>23</v>
      </c>
      <c r="P20" s="95"/>
      <c r="Q20" s="10" t="s">
        <v>40</v>
      </c>
      <c r="R20" s="29"/>
      <c r="S20" s="12"/>
      <c r="T20" s="29"/>
      <c r="U20" s="92"/>
      <c r="V20" s="92"/>
      <c r="W20" s="92"/>
      <c r="X20" s="17"/>
    </row>
    <row r="21" spans="1:24" s="20" customFormat="1" ht="16.8">
      <c r="A21" s="9">
        <v>44252</v>
      </c>
      <c r="B21" s="10" t="s">
        <v>23</v>
      </c>
      <c r="C21" s="11" t="s">
        <v>2304</v>
      </c>
      <c r="D21" s="237" t="s">
        <v>2305</v>
      </c>
      <c r="E21" s="218" t="s">
        <v>2312</v>
      </c>
      <c r="F21" s="218" t="s">
        <v>2313</v>
      </c>
      <c r="G21" s="30">
        <v>1</v>
      </c>
      <c r="H21" s="92">
        <v>86000</v>
      </c>
      <c r="I21" s="86">
        <f t="shared" si="0"/>
        <v>86000</v>
      </c>
      <c r="J21" s="92"/>
      <c r="K21" s="86">
        <f t="shared" si="1"/>
        <v>86000</v>
      </c>
      <c r="L21" s="92"/>
      <c r="M21" s="92"/>
      <c r="N21" s="92">
        <f t="shared" si="2"/>
        <v>86000</v>
      </c>
      <c r="O21" s="10" t="s">
        <v>23</v>
      </c>
      <c r="P21" s="106"/>
      <c r="Q21" s="10" t="s">
        <v>40</v>
      </c>
      <c r="R21" s="29"/>
      <c r="S21" s="23"/>
      <c r="T21" s="29"/>
      <c r="U21" s="92"/>
      <c r="V21" s="92"/>
      <c r="W21" s="92"/>
      <c r="X21" s="17"/>
    </row>
    <row r="22" spans="1:24" s="20" customFormat="1" ht="15.6">
      <c r="A22" s="9">
        <v>44252</v>
      </c>
      <c r="B22" s="10" t="s">
        <v>23</v>
      </c>
      <c r="C22" s="11" t="s">
        <v>2314</v>
      </c>
      <c r="D22" s="228" t="s">
        <v>2315</v>
      </c>
      <c r="E22" s="384" t="s">
        <v>2316</v>
      </c>
      <c r="F22" s="426" t="s">
        <v>2317</v>
      </c>
      <c r="G22" s="30">
        <v>1</v>
      </c>
      <c r="H22" s="92">
        <v>115000</v>
      </c>
      <c r="I22" s="86">
        <f t="shared" si="0"/>
        <v>115000</v>
      </c>
      <c r="J22" s="92"/>
      <c r="K22" s="86">
        <f t="shared" si="1"/>
        <v>115000</v>
      </c>
      <c r="L22" s="92">
        <v>55000</v>
      </c>
      <c r="M22" s="92"/>
      <c r="N22" s="92">
        <f t="shared" si="2"/>
        <v>170000</v>
      </c>
      <c r="O22" s="10" t="s">
        <v>23</v>
      </c>
      <c r="P22" s="95"/>
      <c r="Q22" s="10" t="s">
        <v>40</v>
      </c>
      <c r="R22" s="29"/>
      <c r="S22" s="12"/>
      <c r="T22" s="29"/>
      <c r="U22" s="92"/>
      <c r="V22" s="92"/>
      <c r="W22" s="92"/>
      <c r="X22" s="17"/>
    </row>
    <row r="23" spans="1:24" s="20" customFormat="1" ht="15.6">
      <c r="A23" s="9">
        <v>44252</v>
      </c>
      <c r="B23" s="10" t="s">
        <v>23</v>
      </c>
      <c r="C23" s="11" t="s">
        <v>2314</v>
      </c>
      <c r="D23" s="228" t="s">
        <v>2315</v>
      </c>
      <c r="E23" s="384" t="s">
        <v>1644</v>
      </c>
      <c r="F23" s="426" t="s">
        <v>1645</v>
      </c>
      <c r="G23" s="30">
        <v>1</v>
      </c>
      <c r="H23" s="92">
        <v>102000</v>
      </c>
      <c r="I23" s="86">
        <f t="shared" si="0"/>
        <v>102000</v>
      </c>
      <c r="J23" s="92"/>
      <c r="K23" s="86">
        <f t="shared" si="1"/>
        <v>102000</v>
      </c>
      <c r="L23" s="92"/>
      <c r="M23" s="92"/>
      <c r="N23" s="92">
        <f t="shared" si="2"/>
        <v>102000</v>
      </c>
      <c r="O23" s="10" t="s">
        <v>23</v>
      </c>
      <c r="P23" s="106"/>
      <c r="Q23" s="10" t="s">
        <v>40</v>
      </c>
      <c r="R23" s="29"/>
      <c r="S23" s="23"/>
      <c r="T23" s="29"/>
      <c r="U23" s="92"/>
      <c r="V23" s="92"/>
      <c r="W23" s="92"/>
      <c r="X23" s="17"/>
    </row>
    <row r="24" spans="1:24" s="20" customFormat="1" ht="15.6">
      <c r="A24" s="9">
        <v>44252</v>
      </c>
      <c r="B24" s="10" t="s">
        <v>23</v>
      </c>
      <c r="C24" s="10" t="s">
        <v>2318</v>
      </c>
      <c r="D24" s="228" t="s">
        <v>2319</v>
      </c>
      <c r="E24" s="22" t="s">
        <v>2320</v>
      </c>
      <c r="F24" s="22" t="s">
        <v>2321</v>
      </c>
      <c r="G24" s="30">
        <v>6</v>
      </c>
      <c r="H24" s="92">
        <v>78000</v>
      </c>
      <c r="I24" s="86">
        <f t="shared" si="0"/>
        <v>468000</v>
      </c>
      <c r="J24" s="92">
        <f>I24*30%</f>
        <v>140400</v>
      </c>
      <c r="K24" s="86">
        <f t="shared" si="1"/>
        <v>327600</v>
      </c>
      <c r="L24" s="92">
        <v>14000</v>
      </c>
      <c r="M24" s="92"/>
      <c r="N24" s="92">
        <f t="shared" si="2"/>
        <v>341600</v>
      </c>
      <c r="O24" s="10" t="s">
        <v>23</v>
      </c>
      <c r="P24" s="95"/>
      <c r="Q24" s="10" t="s">
        <v>28</v>
      </c>
      <c r="R24" s="29"/>
      <c r="S24" s="12"/>
      <c r="T24" s="29"/>
      <c r="U24" s="92"/>
      <c r="V24" s="92"/>
      <c r="W24" s="92"/>
      <c r="X24" s="17"/>
    </row>
    <row r="25" spans="1:24" s="20" customFormat="1" ht="15.6">
      <c r="A25" s="9">
        <v>44252</v>
      </c>
      <c r="B25" s="10" t="s">
        <v>23</v>
      </c>
      <c r="C25" s="10" t="s">
        <v>2322</v>
      </c>
      <c r="D25" s="228" t="s">
        <v>2323</v>
      </c>
      <c r="E25" s="14" t="s">
        <v>2324</v>
      </c>
      <c r="F25" s="94" t="s">
        <v>2325</v>
      </c>
      <c r="G25" s="242">
        <v>1</v>
      </c>
      <c r="H25" s="92">
        <v>58000</v>
      </c>
      <c r="I25" s="86">
        <f t="shared" si="0"/>
        <v>58000</v>
      </c>
      <c r="J25" s="92"/>
      <c r="K25" s="86">
        <f t="shared" si="1"/>
        <v>58000</v>
      </c>
      <c r="L25" s="92">
        <v>16000</v>
      </c>
      <c r="M25" s="92"/>
      <c r="N25" s="92">
        <f t="shared" si="2"/>
        <v>74000</v>
      </c>
      <c r="O25" s="10" t="s">
        <v>23</v>
      </c>
      <c r="P25" s="47"/>
      <c r="Q25" s="10" t="s">
        <v>40</v>
      </c>
      <c r="R25" s="29"/>
      <c r="S25" s="329"/>
      <c r="T25" s="29"/>
      <c r="U25" s="92"/>
      <c r="V25" s="92"/>
      <c r="W25" s="92"/>
      <c r="X25" s="17"/>
    </row>
    <row r="26" spans="1:24" s="20" customFormat="1" ht="15.6" hidden="1">
      <c r="A26" s="9">
        <v>44252</v>
      </c>
      <c r="B26" s="10" t="s">
        <v>43</v>
      </c>
      <c r="C26" s="10" t="s">
        <v>2326</v>
      </c>
      <c r="D26" s="228" t="s">
        <v>2327</v>
      </c>
      <c r="E26" s="74" t="s">
        <v>339</v>
      </c>
      <c r="F26" s="15" t="s">
        <v>340</v>
      </c>
      <c r="G26" s="242">
        <v>1</v>
      </c>
      <c r="H26" s="92">
        <v>58500</v>
      </c>
      <c r="I26" s="86">
        <f t="shared" si="0"/>
        <v>58500</v>
      </c>
      <c r="J26" s="92"/>
      <c r="K26" s="86">
        <f t="shared" si="1"/>
        <v>58500</v>
      </c>
      <c r="L26" s="92">
        <v>18000</v>
      </c>
      <c r="M26" s="92">
        <v>-2534</v>
      </c>
      <c r="N26" s="92">
        <f t="shared" si="2"/>
        <v>73966</v>
      </c>
      <c r="O26" s="10" t="s">
        <v>43</v>
      </c>
      <c r="P26" s="47" t="s">
        <v>2328</v>
      </c>
      <c r="Q26" s="10" t="s">
        <v>54</v>
      </c>
      <c r="R26" s="29"/>
      <c r="S26" s="329" t="s">
        <v>2329</v>
      </c>
      <c r="T26" s="29"/>
      <c r="U26" s="92"/>
      <c r="V26" s="92"/>
      <c r="W26" s="92"/>
      <c r="X26" s="17"/>
    </row>
    <row r="27" spans="1:24" s="20" customFormat="1" ht="15.6" hidden="1">
      <c r="A27" s="9">
        <v>44253</v>
      </c>
      <c r="B27" s="10" t="s">
        <v>43</v>
      </c>
      <c r="C27" s="10" t="s">
        <v>2330</v>
      </c>
      <c r="D27" s="228" t="s">
        <v>2331</v>
      </c>
      <c r="E27" s="74" t="s">
        <v>102</v>
      </c>
      <c r="F27" s="15" t="s">
        <v>122</v>
      </c>
      <c r="G27" s="242">
        <v>1</v>
      </c>
      <c r="H27" s="92">
        <v>59500</v>
      </c>
      <c r="I27" s="86">
        <f t="shared" si="0"/>
        <v>59500</v>
      </c>
      <c r="J27" s="92"/>
      <c r="K27" s="86">
        <f t="shared" si="1"/>
        <v>59500</v>
      </c>
      <c r="L27" s="92"/>
      <c r="M27" s="92">
        <v>-2577</v>
      </c>
      <c r="N27" s="92">
        <f t="shared" si="2"/>
        <v>56923</v>
      </c>
      <c r="O27" s="10" t="s">
        <v>43</v>
      </c>
      <c r="P27" s="100" t="s">
        <v>2332</v>
      </c>
      <c r="Q27" s="10" t="s">
        <v>54</v>
      </c>
      <c r="R27" s="29"/>
      <c r="S27" s="495" t="s">
        <v>2333</v>
      </c>
      <c r="T27" s="29"/>
      <c r="U27" s="92"/>
      <c r="V27" s="92"/>
      <c r="W27" s="92"/>
      <c r="X27" s="17"/>
    </row>
    <row r="28" spans="1:24" s="20" customFormat="1" ht="15.6" hidden="1">
      <c r="A28" s="9">
        <v>44253</v>
      </c>
      <c r="B28" s="10" t="s">
        <v>206</v>
      </c>
      <c r="C28" s="11" t="s">
        <v>2334</v>
      </c>
      <c r="D28" s="228" t="s">
        <v>2335</v>
      </c>
      <c r="E28" s="15" t="s">
        <v>94</v>
      </c>
      <c r="F28" s="15" t="s">
        <v>116</v>
      </c>
      <c r="G28" s="242">
        <v>1</v>
      </c>
      <c r="H28" s="92">
        <v>107000</v>
      </c>
      <c r="I28" s="86">
        <f t="shared" si="0"/>
        <v>107000</v>
      </c>
      <c r="J28" s="92"/>
      <c r="K28" s="86">
        <f t="shared" si="1"/>
        <v>107000</v>
      </c>
      <c r="L28" s="92">
        <v>7500</v>
      </c>
      <c r="M28" s="92"/>
      <c r="N28" s="92">
        <f t="shared" si="2"/>
        <v>114500</v>
      </c>
      <c r="O28" s="10" t="s">
        <v>206</v>
      </c>
      <c r="P28" s="95" t="s">
        <v>2336</v>
      </c>
      <c r="Q28" s="10" t="s">
        <v>28</v>
      </c>
      <c r="R28" s="29"/>
      <c r="S28" s="12"/>
      <c r="T28" s="29"/>
      <c r="U28" s="92"/>
      <c r="V28" s="92"/>
      <c r="W28" s="92"/>
      <c r="X28" s="17"/>
    </row>
    <row r="29" spans="1:24" s="20" customFormat="1" ht="15.6" hidden="1">
      <c r="A29" s="9">
        <v>44253</v>
      </c>
      <c r="B29" s="10" t="s">
        <v>43</v>
      </c>
      <c r="C29" s="11" t="s">
        <v>2337</v>
      </c>
      <c r="D29" s="228" t="s">
        <v>2338</v>
      </c>
      <c r="E29" s="22" t="s">
        <v>345</v>
      </c>
      <c r="F29" s="22" t="s">
        <v>346</v>
      </c>
      <c r="G29" s="242">
        <v>1</v>
      </c>
      <c r="H29" s="92">
        <v>66000</v>
      </c>
      <c r="I29" s="86">
        <f t="shared" si="0"/>
        <v>66000</v>
      </c>
      <c r="J29" s="29"/>
      <c r="K29" s="86">
        <f t="shared" si="1"/>
        <v>66000</v>
      </c>
      <c r="L29" s="92"/>
      <c r="M29" s="92">
        <v>-2858</v>
      </c>
      <c r="N29" s="92">
        <f t="shared" si="2"/>
        <v>63142</v>
      </c>
      <c r="O29" s="10" t="s">
        <v>43</v>
      </c>
      <c r="P29" s="228" t="s">
        <v>2339</v>
      </c>
      <c r="Q29" s="10" t="s">
        <v>54</v>
      </c>
      <c r="R29" s="29"/>
      <c r="S29" s="37" t="s">
        <v>2340</v>
      </c>
      <c r="T29" s="29"/>
      <c r="U29" s="92"/>
      <c r="V29" s="92"/>
      <c r="W29" s="92"/>
      <c r="X29" s="17"/>
    </row>
    <row r="30" spans="1:24" s="20" customFormat="1" ht="15.6">
      <c r="A30" s="9">
        <v>44253</v>
      </c>
      <c r="B30" s="10" t="s">
        <v>23</v>
      </c>
      <c r="C30" s="11" t="s">
        <v>2341</v>
      </c>
      <c r="D30" s="228" t="s">
        <v>2342</v>
      </c>
      <c r="E30" s="15" t="s">
        <v>1536</v>
      </c>
      <c r="F30" s="15" t="s">
        <v>1537</v>
      </c>
      <c r="G30" s="242">
        <v>1</v>
      </c>
      <c r="H30" s="92">
        <v>138000</v>
      </c>
      <c r="I30" s="86">
        <f t="shared" si="0"/>
        <v>138000</v>
      </c>
      <c r="J30" s="29"/>
      <c r="K30" s="86">
        <f t="shared" si="1"/>
        <v>138000</v>
      </c>
      <c r="L30" s="92">
        <v>11000</v>
      </c>
      <c r="M30" s="92"/>
      <c r="N30" s="92">
        <f t="shared" si="2"/>
        <v>149000</v>
      </c>
      <c r="O30" s="10" t="s">
        <v>23</v>
      </c>
      <c r="P30" s="95"/>
      <c r="Q30" s="10" t="s">
        <v>40</v>
      </c>
      <c r="R30" s="29"/>
      <c r="S30" s="12"/>
      <c r="T30" s="29"/>
      <c r="U30" s="92"/>
      <c r="V30" s="92"/>
      <c r="W30" s="92"/>
      <c r="X30" s="17"/>
    </row>
    <row r="31" spans="1:24" s="20" customFormat="1" ht="15.6">
      <c r="A31" s="9">
        <v>44253</v>
      </c>
      <c r="B31" s="10" t="s">
        <v>23</v>
      </c>
      <c r="C31" s="11" t="s">
        <v>2343</v>
      </c>
      <c r="D31" s="228" t="s">
        <v>2344</v>
      </c>
      <c r="E31" s="15" t="s">
        <v>2345</v>
      </c>
      <c r="F31" s="15" t="s">
        <v>2346</v>
      </c>
      <c r="G31" s="242">
        <v>1</v>
      </c>
      <c r="H31" s="92">
        <v>65000</v>
      </c>
      <c r="I31" s="86">
        <f t="shared" si="0"/>
        <v>65000</v>
      </c>
      <c r="J31" s="29"/>
      <c r="K31" s="86">
        <f t="shared" si="1"/>
        <v>65000</v>
      </c>
      <c r="L31" s="92">
        <v>17000</v>
      </c>
      <c r="M31" s="92"/>
      <c r="N31" s="92">
        <f t="shared" si="2"/>
        <v>82000</v>
      </c>
      <c r="O31" s="10" t="s">
        <v>23</v>
      </c>
      <c r="P31" s="89"/>
      <c r="Q31" s="10" t="s">
        <v>40</v>
      </c>
      <c r="R31" s="29"/>
      <c r="S31" s="89"/>
      <c r="T31" s="29"/>
      <c r="U31" s="92"/>
      <c r="V31" s="92"/>
      <c r="W31" s="92"/>
      <c r="X31" s="17"/>
    </row>
    <row r="32" spans="1:24" s="20" customFormat="1" ht="15.6" hidden="1">
      <c r="A32" s="9">
        <v>44253</v>
      </c>
      <c r="B32" s="10" t="s">
        <v>313</v>
      </c>
      <c r="C32" s="11" t="s">
        <v>2347</v>
      </c>
      <c r="D32" s="228" t="s">
        <v>2348</v>
      </c>
      <c r="E32" s="55" t="s">
        <v>2349</v>
      </c>
      <c r="F32" s="88" t="s">
        <v>2350</v>
      </c>
      <c r="G32" s="242">
        <v>1</v>
      </c>
      <c r="H32" s="92">
        <v>213000</v>
      </c>
      <c r="I32" s="228">
        <f t="shared" si="0"/>
        <v>213000</v>
      </c>
      <c r="J32" s="29">
        <f>I32*20%</f>
        <v>42600</v>
      </c>
      <c r="K32" s="254">
        <f t="shared" si="1"/>
        <v>170400</v>
      </c>
      <c r="L32" s="92">
        <v>57080</v>
      </c>
      <c r="M32" s="92"/>
      <c r="N32" s="92">
        <f t="shared" si="2"/>
        <v>227480</v>
      </c>
      <c r="O32" s="10" t="s">
        <v>313</v>
      </c>
      <c r="P32" s="92"/>
      <c r="Q32" s="10" t="s">
        <v>40</v>
      </c>
      <c r="R32" s="29"/>
      <c r="S32" s="92"/>
      <c r="T32" s="29"/>
      <c r="U32" s="92"/>
      <c r="V32" s="92"/>
      <c r="W32" s="92"/>
      <c r="X32" s="17"/>
    </row>
    <row r="33" spans="1:24" s="20" customFormat="1" ht="15.6" hidden="1">
      <c r="A33" s="9">
        <v>44253</v>
      </c>
      <c r="B33" s="10" t="s">
        <v>313</v>
      </c>
      <c r="C33" s="11" t="s">
        <v>2347</v>
      </c>
      <c r="D33" s="228" t="s">
        <v>2351</v>
      </c>
      <c r="E33" s="55" t="s">
        <v>2352</v>
      </c>
      <c r="F33" s="55" t="s">
        <v>2353</v>
      </c>
      <c r="G33" s="242">
        <v>1</v>
      </c>
      <c r="H33" s="92">
        <v>159000</v>
      </c>
      <c r="I33" s="86">
        <f t="shared" si="0"/>
        <v>159000</v>
      </c>
      <c r="J33" s="29">
        <f t="shared" ref="J33:J34" si="3">I33*20%</f>
        <v>31800</v>
      </c>
      <c r="K33" s="254">
        <f t="shared" si="1"/>
        <v>127200</v>
      </c>
      <c r="L33" s="92"/>
      <c r="M33" s="92"/>
      <c r="N33" s="92">
        <f t="shared" si="2"/>
        <v>127200</v>
      </c>
      <c r="O33" s="10" t="s">
        <v>313</v>
      </c>
      <c r="P33" s="95"/>
      <c r="Q33" s="10" t="s">
        <v>40</v>
      </c>
      <c r="R33" s="29"/>
      <c r="S33" s="12"/>
      <c r="T33" s="29"/>
      <c r="U33" s="92"/>
      <c r="V33" s="92"/>
      <c r="W33" s="92"/>
      <c r="X33" s="17"/>
    </row>
    <row r="34" spans="1:24" s="20" customFormat="1" ht="15.6" hidden="1">
      <c r="A34" s="9">
        <v>44253</v>
      </c>
      <c r="B34" s="10" t="s">
        <v>313</v>
      </c>
      <c r="C34" s="11" t="s">
        <v>2347</v>
      </c>
      <c r="D34" s="228" t="s">
        <v>2354</v>
      </c>
      <c r="E34" s="98" t="s">
        <v>2355</v>
      </c>
      <c r="F34" s="99" t="s">
        <v>2356</v>
      </c>
      <c r="G34" s="242">
        <v>1</v>
      </c>
      <c r="H34" s="92">
        <v>132000</v>
      </c>
      <c r="I34" s="228">
        <f t="shared" si="0"/>
        <v>132000</v>
      </c>
      <c r="J34" s="29">
        <f t="shared" si="3"/>
        <v>26400</v>
      </c>
      <c r="K34" s="254">
        <f t="shared" si="1"/>
        <v>105600</v>
      </c>
      <c r="L34" s="92"/>
      <c r="M34" s="92"/>
      <c r="N34" s="92">
        <f t="shared" si="2"/>
        <v>105600</v>
      </c>
      <c r="O34" s="10" t="s">
        <v>313</v>
      </c>
      <c r="P34" s="95"/>
      <c r="Q34" s="10" t="s">
        <v>40</v>
      </c>
      <c r="R34" s="29"/>
      <c r="S34" s="12"/>
      <c r="T34" s="29"/>
      <c r="U34" s="92"/>
      <c r="V34" s="92"/>
      <c r="W34" s="92"/>
      <c r="X34" s="17"/>
    </row>
    <row r="35" spans="1:24" s="20" customFormat="1" ht="15.6">
      <c r="A35" s="9">
        <v>44253</v>
      </c>
      <c r="B35" s="10" t="s">
        <v>23</v>
      </c>
      <c r="C35" s="11" t="s">
        <v>2357</v>
      </c>
      <c r="D35" s="228" t="s">
        <v>2358</v>
      </c>
      <c r="E35" s="15" t="s">
        <v>1784</v>
      </c>
      <c r="F35" s="33" t="s">
        <v>1785</v>
      </c>
      <c r="G35" s="427">
        <v>18</v>
      </c>
      <c r="H35" s="92">
        <v>54000</v>
      </c>
      <c r="I35" s="86">
        <f t="shared" si="0"/>
        <v>972000</v>
      </c>
      <c r="J35" s="29"/>
      <c r="K35" s="254">
        <f t="shared" si="1"/>
        <v>972000</v>
      </c>
      <c r="L35" s="92">
        <v>198000</v>
      </c>
      <c r="M35" s="92"/>
      <c r="N35" s="92">
        <f t="shared" si="2"/>
        <v>1170000</v>
      </c>
      <c r="O35" s="10" t="s">
        <v>23</v>
      </c>
      <c r="P35" s="105"/>
      <c r="Q35" s="10" t="s">
        <v>40</v>
      </c>
      <c r="R35" s="29"/>
      <c r="S35" s="12"/>
      <c r="T35" s="29"/>
      <c r="U35" s="92"/>
      <c r="V35" s="92"/>
      <c r="W35" s="92"/>
    </row>
    <row r="36" spans="1:24" s="20" customFormat="1" ht="15.6" hidden="1">
      <c r="A36" s="9">
        <v>44253</v>
      </c>
      <c r="B36" s="10" t="s">
        <v>43</v>
      </c>
      <c r="C36" s="11" t="s">
        <v>2359</v>
      </c>
      <c r="D36" s="228" t="s">
        <v>2360</v>
      </c>
      <c r="E36" s="311" t="s">
        <v>2361</v>
      </c>
      <c r="F36" s="15" t="s">
        <v>2362</v>
      </c>
      <c r="G36" s="242">
        <v>1</v>
      </c>
      <c r="H36" s="92">
        <v>85000</v>
      </c>
      <c r="I36" s="228">
        <f t="shared" si="0"/>
        <v>85000</v>
      </c>
      <c r="J36" s="29"/>
      <c r="K36" s="254">
        <f t="shared" si="1"/>
        <v>85000</v>
      </c>
      <c r="L36" s="92">
        <v>11000</v>
      </c>
      <c r="M36" s="92">
        <v>-3681</v>
      </c>
      <c r="N36" s="92">
        <f t="shared" si="2"/>
        <v>92319</v>
      </c>
      <c r="O36" s="10" t="s">
        <v>43</v>
      </c>
      <c r="P36" s="105" t="s">
        <v>2363</v>
      </c>
      <c r="Q36" s="10" t="s">
        <v>54</v>
      </c>
      <c r="R36" s="29"/>
      <c r="S36" s="12" t="s">
        <v>2364</v>
      </c>
      <c r="T36" s="29"/>
      <c r="U36" s="92"/>
      <c r="V36" s="92"/>
      <c r="W36" s="92"/>
    </row>
    <row r="37" spans="1:24" s="20" customFormat="1" ht="15.6" hidden="1">
      <c r="A37" s="9">
        <v>44256</v>
      </c>
      <c r="B37" s="10" t="s">
        <v>43</v>
      </c>
      <c r="C37" s="11" t="s">
        <v>2365</v>
      </c>
      <c r="D37" s="37" t="s">
        <v>2366</v>
      </c>
      <c r="E37" s="22" t="s">
        <v>345</v>
      </c>
      <c r="F37" s="22" t="s">
        <v>346</v>
      </c>
      <c r="G37" s="56">
        <v>1</v>
      </c>
      <c r="H37" s="92">
        <v>66000</v>
      </c>
      <c r="I37" s="86">
        <f t="shared" si="0"/>
        <v>66000</v>
      </c>
      <c r="J37" s="29"/>
      <c r="K37" s="254">
        <f t="shared" si="1"/>
        <v>66000</v>
      </c>
      <c r="L37" s="92">
        <v>17000</v>
      </c>
      <c r="M37" s="92">
        <v>-2858</v>
      </c>
      <c r="N37" s="92">
        <f t="shared" si="2"/>
        <v>80142</v>
      </c>
      <c r="O37" s="10" t="s">
        <v>43</v>
      </c>
      <c r="P37" s="105" t="s">
        <v>2367</v>
      </c>
      <c r="Q37" s="10" t="s">
        <v>40</v>
      </c>
      <c r="R37" s="29"/>
      <c r="S37" s="12" t="s">
        <v>2368</v>
      </c>
      <c r="T37" s="29"/>
      <c r="U37" s="92"/>
      <c r="V37" s="92"/>
      <c r="W37" s="92"/>
    </row>
    <row r="38" spans="1:24" s="20" customFormat="1" ht="16.8" hidden="1">
      <c r="A38" s="9">
        <v>44256</v>
      </c>
      <c r="B38" s="10" t="s">
        <v>43</v>
      </c>
      <c r="C38" s="10" t="s">
        <v>2369</v>
      </c>
      <c r="D38" s="228" t="s">
        <v>2370</v>
      </c>
      <c r="E38" s="15" t="s">
        <v>2371</v>
      </c>
      <c r="F38" s="15" t="s">
        <v>2372</v>
      </c>
      <c r="G38" s="56">
        <v>1</v>
      </c>
      <c r="H38" s="92">
        <v>62000</v>
      </c>
      <c r="I38" s="228">
        <f t="shared" si="0"/>
        <v>62000</v>
      </c>
      <c r="J38" s="29"/>
      <c r="K38" s="254">
        <f t="shared" si="1"/>
        <v>62000</v>
      </c>
      <c r="L38" s="92">
        <v>19000</v>
      </c>
      <c r="M38" s="92">
        <v>-2685</v>
      </c>
      <c r="N38" s="92">
        <f t="shared" si="2"/>
        <v>78315</v>
      </c>
      <c r="O38" s="10" t="s">
        <v>43</v>
      </c>
      <c r="P38" s="432" t="s">
        <v>2373</v>
      </c>
      <c r="Q38" s="10" t="s">
        <v>54</v>
      </c>
      <c r="R38" s="29"/>
      <c r="S38" s="12" t="s">
        <v>2374</v>
      </c>
      <c r="T38" s="29"/>
      <c r="U38" s="92"/>
      <c r="V38" s="92"/>
      <c r="W38" s="92"/>
    </row>
    <row r="39" spans="1:24" s="20" customFormat="1" ht="15.6" hidden="1">
      <c r="A39" s="9">
        <v>44256</v>
      </c>
      <c r="B39" s="10" t="s">
        <v>43</v>
      </c>
      <c r="C39" s="11" t="s">
        <v>2375</v>
      </c>
      <c r="D39" s="228" t="s">
        <v>2376</v>
      </c>
      <c r="E39" s="74" t="s">
        <v>489</v>
      </c>
      <c r="F39" s="15" t="s">
        <v>490</v>
      </c>
      <c r="G39" s="56">
        <v>1</v>
      </c>
      <c r="H39" s="92">
        <v>72000</v>
      </c>
      <c r="I39" s="86">
        <f t="shared" si="0"/>
        <v>72000</v>
      </c>
      <c r="J39" s="29"/>
      <c r="K39" s="254">
        <f t="shared" si="1"/>
        <v>72000</v>
      </c>
      <c r="L39" s="92">
        <v>39000</v>
      </c>
      <c r="M39" s="92">
        <v>-3118</v>
      </c>
      <c r="N39" s="92">
        <f t="shared" si="2"/>
        <v>107882</v>
      </c>
      <c r="O39" s="10" t="s">
        <v>43</v>
      </c>
      <c r="P39" s="95" t="s">
        <v>2377</v>
      </c>
      <c r="Q39" s="10" t="s">
        <v>54</v>
      </c>
      <c r="R39" s="29"/>
      <c r="S39" s="12" t="s">
        <v>2378</v>
      </c>
      <c r="T39" s="29"/>
      <c r="U39" s="92"/>
      <c r="V39" s="92"/>
      <c r="W39" s="92"/>
    </row>
    <row r="40" spans="1:24" s="20" customFormat="1" hidden="1">
      <c r="A40" s="9">
        <v>44256</v>
      </c>
      <c r="B40" s="10" t="s">
        <v>43</v>
      </c>
      <c r="C40" s="10" t="s">
        <v>2379</v>
      </c>
      <c r="D40" s="228" t="s">
        <v>2380</v>
      </c>
      <c r="E40" s="78" t="s">
        <v>1699</v>
      </c>
      <c r="F40" s="10" t="s">
        <v>1700</v>
      </c>
      <c r="G40" s="56">
        <v>1</v>
      </c>
      <c r="H40" s="92">
        <v>94500</v>
      </c>
      <c r="I40" s="228">
        <f t="shared" si="0"/>
        <v>94500</v>
      </c>
      <c r="J40" s="92"/>
      <c r="K40" s="254">
        <f t="shared" si="1"/>
        <v>94500</v>
      </c>
      <c r="L40" s="92"/>
      <c r="M40" s="92">
        <v>-4092</v>
      </c>
      <c r="N40" s="92">
        <f t="shared" si="2"/>
        <v>90408</v>
      </c>
      <c r="O40" s="10" t="s">
        <v>43</v>
      </c>
      <c r="P40" s="95" t="s">
        <v>2381</v>
      </c>
      <c r="Q40" s="10" t="s">
        <v>54</v>
      </c>
      <c r="R40" s="29"/>
      <c r="S40" s="329" t="s">
        <v>2382</v>
      </c>
      <c r="T40" s="29"/>
      <c r="U40" s="92"/>
      <c r="V40" s="92"/>
      <c r="W40" s="92"/>
    </row>
    <row r="41" spans="1:24" s="20" customFormat="1" ht="15.6" hidden="1">
      <c r="A41" s="9">
        <v>44256</v>
      </c>
      <c r="B41" s="10" t="s">
        <v>206</v>
      </c>
      <c r="C41" s="10" t="s">
        <v>2383</v>
      </c>
      <c r="D41" s="228" t="s">
        <v>2384</v>
      </c>
      <c r="E41" s="428" t="s">
        <v>2385</v>
      </c>
      <c r="F41" s="429" t="s">
        <v>2386</v>
      </c>
      <c r="G41" s="56">
        <v>1</v>
      </c>
      <c r="H41" s="92">
        <v>84500</v>
      </c>
      <c r="I41" s="86">
        <f t="shared" si="0"/>
        <v>84500</v>
      </c>
      <c r="J41" s="92"/>
      <c r="K41" s="254">
        <f t="shared" si="1"/>
        <v>84500</v>
      </c>
      <c r="L41" s="92">
        <v>8400</v>
      </c>
      <c r="M41" s="29"/>
      <c r="N41" s="92">
        <f t="shared" si="2"/>
        <v>92900</v>
      </c>
      <c r="O41" s="10" t="s">
        <v>206</v>
      </c>
      <c r="P41" s="96" t="s">
        <v>2387</v>
      </c>
      <c r="Q41" s="10" t="s">
        <v>28</v>
      </c>
      <c r="R41" s="29"/>
      <c r="S41" s="110"/>
      <c r="T41" s="29"/>
      <c r="U41" s="92"/>
      <c r="V41" s="92"/>
      <c r="W41" s="92"/>
    </row>
    <row r="42" spans="1:24" s="20" customFormat="1" ht="15.6" hidden="1">
      <c r="A42" s="9">
        <v>44256</v>
      </c>
      <c r="B42" s="10" t="s">
        <v>317</v>
      </c>
      <c r="C42" s="430" t="s">
        <v>2388</v>
      </c>
      <c r="D42" s="228" t="s">
        <v>2389</v>
      </c>
      <c r="E42" s="15" t="s">
        <v>2390</v>
      </c>
      <c r="F42" s="15" t="s">
        <v>2391</v>
      </c>
      <c r="G42" s="56">
        <v>1</v>
      </c>
      <c r="H42" s="92">
        <v>94000</v>
      </c>
      <c r="I42" s="228">
        <f t="shared" si="0"/>
        <v>94000</v>
      </c>
      <c r="J42" s="92"/>
      <c r="K42" s="254">
        <f t="shared" si="1"/>
        <v>94000</v>
      </c>
      <c r="L42" s="92">
        <f>14000-14000</f>
        <v>0</v>
      </c>
      <c r="M42" s="29"/>
      <c r="N42" s="92">
        <f t="shared" si="2"/>
        <v>94000</v>
      </c>
      <c r="O42" s="10" t="s">
        <v>317</v>
      </c>
      <c r="P42" s="60" t="s">
        <v>2392</v>
      </c>
      <c r="Q42" s="10" t="s">
        <v>478</v>
      </c>
      <c r="R42" s="29"/>
      <c r="S42" s="103" t="s">
        <v>2392</v>
      </c>
      <c r="T42" s="29"/>
      <c r="U42" s="92"/>
      <c r="V42" s="92"/>
      <c r="W42" s="92"/>
    </row>
    <row r="43" spans="1:24" s="20" customFormat="1" ht="15.6" hidden="1">
      <c r="A43" s="9">
        <v>44256</v>
      </c>
      <c r="B43" s="10" t="s">
        <v>313</v>
      </c>
      <c r="C43" s="10" t="s">
        <v>2393</v>
      </c>
      <c r="D43" s="228" t="s">
        <v>2394</v>
      </c>
      <c r="E43" s="15" t="s">
        <v>2395</v>
      </c>
      <c r="F43" s="15" t="s">
        <v>2396</v>
      </c>
      <c r="G43" s="56">
        <v>1</v>
      </c>
      <c r="H43" s="92">
        <v>296000</v>
      </c>
      <c r="I43" s="86">
        <f t="shared" si="0"/>
        <v>296000</v>
      </c>
      <c r="J43" s="92">
        <f>I43*20%</f>
        <v>59200</v>
      </c>
      <c r="K43" s="254">
        <f t="shared" si="1"/>
        <v>236800</v>
      </c>
      <c r="L43" s="92">
        <v>16035</v>
      </c>
      <c r="M43" s="29"/>
      <c r="N43" s="92">
        <f t="shared" si="2"/>
        <v>252835</v>
      </c>
      <c r="O43" s="10" t="s">
        <v>313</v>
      </c>
      <c r="P43" s="56"/>
      <c r="Q43" s="10" t="s">
        <v>40</v>
      </c>
      <c r="R43" s="29"/>
      <c r="S43" s="92"/>
      <c r="T43" s="29"/>
      <c r="U43" s="92"/>
      <c r="V43" s="92"/>
      <c r="W43" s="92"/>
    </row>
    <row r="44" spans="1:24" s="20" customFormat="1" ht="15.6" hidden="1">
      <c r="A44" s="9">
        <v>44256</v>
      </c>
      <c r="B44" s="10" t="s">
        <v>313</v>
      </c>
      <c r="C44" s="424" t="s">
        <v>2397</v>
      </c>
      <c r="D44" s="228" t="s">
        <v>2398</v>
      </c>
      <c r="E44" s="55" t="s">
        <v>2399</v>
      </c>
      <c r="F44" s="55" t="s">
        <v>1993</v>
      </c>
      <c r="G44" s="245">
        <v>1</v>
      </c>
      <c r="H44" s="92">
        <v>100000</v>
      </c>
      <c r="I44" s="228">
        <f t="shared" si="0"/>
        <v>100000</v>
      </c>
      <c r="J44" s="92">
        <f t="shared" ref="J44:J45" si="4">I44*20%</f>
        <v>20000</v>
      </c>
      <c r="K44" s="254">
        <f t="shared" si="1"/>
        <v>80000</v>
      </c>
      <c r="L44" s="92">
        <v>16040</v>
      </c>
      <c r="M44" s="29"/>
      <c r="N44" s="92">
        <f t="shared" si="2"/>
        <v>96040</v>
      </c>
      <c r="O44" s="10" t="s">
        <v>313</v>
      </c>
      <c r="P44" s="56"/>
      <c r="Q44" s="10" t="s">
        <v>40</v>
      </c>
      <c r="R44" s="29"/>
      <c r="S44" s="92"/>
      <c r="T44" s="29"/>
      <c r="U44" s="92"/>
      <c r="V44" s="92"/>
      <c r="W44" s="92"/>
    </row>
    <row r="45" spans="1:24" s="20" customFormat="1" ht="15.6" hidden="1">
      <c r="A45" s="9">
        <v>44256</v>
      </c>
      <c r="B45" s="10" t="s">
        <v>313</v>
      </c>
      <c r="C45" s="424" t="s">
        <v>2397</v>
      </c>
      <c r="D45" s="228" t="s">
        <v>2400</v>
      </c>
      <c r="E45" s="55" t="s">
        <v>1992</v>
      </c>
      <c r="F45" s="55" t="s">
        <v>1993</v>
      </c>
      <c r="G45" s="245">
        <v>1</v>
      </c>
      <c r="H45" s="92">
        <v>75500</v>
      </c>
      <c r="I45" s="86">
        <f t="shared" si="0"/>
        <v>75500</v>
      </c>
      <c r="J45" s="92">
        <f t="shared" si="4"/>
        <v>15100</v>
      </c>
      <c r="K45" s="254">
        <f t="shared" si="1"/>
        <v>60400</v>
      </c>
      <c r="L45" s="92"/>
      <c r="M45" s="29"/>
      <c r="N45" s="92">
        <f t="shared" si="2"/>
        <v>60400</v>
      </c>
      <c r="O45" s="10" t="s">
        <v>313</v>
      </c>
      <c r="P45" s="56"/>
      <c r="Q45" s="10" t="s">
        <v>40</v>
      </c>
      <c r="R45" s="29"/>
      <c r="S45" s="110"/>
      <c r="T45" s="29"/>
      <c r="U45" s="92"/>
      <c r="V45" s="92"/>
      <c r="W45" s="92"/>
    </row>
    <row r="46" spans="1:24" s="20" customFormat="1" ht="14.25" hidden="1" customHeight="1">
      <c r="A46" s="9">
        <v>44257</v>
      </c>
      <c r="B46" s="10" t="s">
        <v>29</v>
      </c>
      <c r="C46" s="10" t="s">
        <v>2401</v>
      </c>
      <c r="D46" s="228" t="s">
        <v>31</v>
      </c>
      <c r="E46" s="15" t="s">
        <v>2402</v>
      </c>
      <c r="F46" s="15" t="s">
        <v>2403</v>
      </c>
      <c r="G46" s="56">
        <v>1</v>
      </c>
      <c r="H46" s="92">
        <v>55000</v>
      </c>
      <c r="I46" s="228">
        <f t="shared" si="0"/>
        <v>55000</v>
      </c>
      <c r="J46" s="92"/>
      <c r="K46" s="254">
        <f t="shared" si="1"/>
        <v>55000</v>
      </c>
      <c r="L46" s="92"/>
      <c r="M46" s="29"/>
      <c r="N46" s="92">
        <f t="shared" si="2"/>
        <v>55000</v>
      </c>
      <c r="O46" s="10" t="s">
        <v>29</v>
      </c>
      <c r="P46" s="95"/>
      <c r="Q46" s="10" t="s">
        <v>35</v>
      </c>
      <c r="R46" s="29"/>
      <c r="S46" s="12"/>
      <c r="T46" s="29"/>
      <c r="U46" s="92"/>
      <c r="V46" s="92"/>
      <c r="W46" s="92"/>
    </row>
    <row r="47" spans="1:24" s="20" customFormat="1" hidden="1">
      <c r="A47" s="9">
        <v>44257</v>
      </c>
      <c r="B47" s="10" t="s">
        <v>43</v>
      </c>
      <c r="C47" s="11" t="s">
        <v>2404</v>
      </c>
      <c r="D47" s="228" t="s">
        <v>2405</v>
      </c>
      <c r="E47" s="78" t="s">
        <v>152</v>
      </c>
      <c r="F47" s="10" t="s">
        <v>153</v>
      </c>
      <c r="G47" s="56">
        <v>1</v>
      </c>
      <c r="H47" s="92">
        <v>62500</v>
      </c>
      <c r="I47" s="86">
        <f t="shared" si="0"/>
        <v>62500</v>
      </c>
      <c r="J47" s="92"/>
      <c r="K47" s="254">
        <f t="shared" si="1"/>
        <v>62500</v>
      </c>
      <c r="L47" s="92">
        <v>17500</v>
      </c>
      <c r="M47" s="29">
        <v>-2070</v>
      </c>
      <c r="N47" s="92">
        <f t="shared" si="2"/>
        <v>77930</v>
      </c>
      <c r="O47" s="10" t="s">
        <v>43</v>
      </c>
      <c r="P47" s="95" t="s">
        <v>2406</v>
      </c>
      <c r="Q47" s="10" t="s">
        <v>54</v>
      </c>
      <c r="R47" s="29"/>
      <c r="S47" s="12" t="s">
        <v>2407</v>
      </c>
      <c r="T47" s="29"/>
      <c r="U47" s="92"/>
      <c r="V47" s="92"/>
      <c r="W47" s="92"/>
    </row>
    <row r="48" spans="1:24" s="20" customFormat="1" ht="15.6" hidden="1">
      <c r="A48" s="9">
        <v>44257</v>
      </c>
      <c r="B48" s="10" t="s">
        <v>43</v>
      </c>
      <c r="C48" s="10" t="s">
        <v>2408</v>
      </c>
      <c r="D48" s="228" t="s">
        <v>2409</v>
      </c>
      <c r="E48" s="22" t="s">
        <v>345</v>
      </c>
      <c r="F48" s="22" t="s">
        <v>346</v>
      </c>
      <c r="G48" s="56">
        <v>1</v>
      </c>
      <c r="H48" s="92">
        <v>66000</v>
      </c>
      <c r="I48" s="254">
        <f t="shared" si="0"/>
        <v>66000</v>
      </c>
      <c r="J48" s="92"/>
      <c r="K48" s="254">
        <f t="shared" si="1"/>
        <v>66000</v>
      </c>
      <c r="L48" s="92">
        <v>30000</v>
      </c>
      <c r="M48" s="29">
        <v>-2858</v>
      </c>
      <c r="N48" s="92">
        <f t="shared" si="2"/>
        <v>93142</v>
      </c>
      <c r="O48" s="10" t="s">
        <v>43</v>
      </c>
      <c r="P48" s="56" t="s">
        <v>2410</v>
      </c>
      <c r="Q48" s="10" t="s">
        <v>54</v>
      </c>
      <c r="R48" s="29"/>
      <c r="S48" s="228" t="s">
        <v>2411</v>
      </c>
      <c r="T48" s="29"/>
      <c r="U48" s="92"/>
      <c r="V48" s="92"/>
      <c r="W48" s="92"/>
    </row>
    <row r="49" spans="1:23" s="20" customFormat="1" ht="15.6" hidden="1">
      <c r="A49" s="9">
        <v>44257</v>
      </c>
      <c r="B49" s="10" t="s">
        <v>43</v>
      </c>
      <c r="C49" s="11" t="s">
        <v>2412</v>
      </c>
      <c r="D49" s="228" t="s">
        <v>2413</v>
      </c>
      <c r="E49" s="25" t="s">
        <v>1853</v>
      </c>
      <c r="F49" s="25" t="s">
        <v>1854</v>
      </c>
      <c r="G49" s="56">
        <v>1</v>
      </c>
      <c r="H49" s="92">
        <v>103000</v>
      </c>
      <c r="I49" s="86">
        <f t="shared" si="0"/>
        <v>103000</v>
      </c>
      <c r="J49" s="92"/>
      <c r="K49" s="254">
        <f t="shared" si="1"/>
        <v>103000</v>
      </c>
      <c r="L49" s="92">
        <v>60000</v>
      </c>
      <c r="M49" s="29">
        <v>-13120</v>
      </c>
      <c r="N49" s="92">
        <f t="shared" si="2"/>
        <v>149880</v>
      </c>
      <c r="O49" s="10" t="s">
        <v>43</v>
      </c>
      <c r="P49" s="100" t="s">
        <v>2414</v>
      </c>
      <c r="Q49" s="10" t="s">
        <v>54</v>
      </c>
      <c r="R49" s="29"/>
      <c r="S49" s="37" t="s">
        <v>2415</v>
      </c>
      <c r="T49" s="29"/>
      <c r="U49" s="92"/>
      <c r="V49" s="92"/>
      <c r="W49" s="92"/>
    </row>
    <row r="50" spans="1:23" s="20" customFormat="1" ht="15.6" hidden="1">
      <c r="A50" s="9">
        <v>44257</v>
      </c>
      <c r="B50" s="10" t="s">
        <v>43</v>
      </c>
      <c r="C50" s="11" t="s">
        <v>2412</v>
      </c>
      <c r="D50" s="228" t="s">
        <v>2416</v>
      </c>
      <c r="E50" s="25" t="s">
        <v>2417</v>
      </c>
      <c r="F50" s="25" t="s">
        <v>2418</v>
      </c>
      <c r="G50" s="56">
        <v>1</v>
      </c>
      <c r="H50" s="92">
        <v>117000</v>
      </c>
      <c r="I50" s="254">
        <f t="shared" si="0"/>
        <v>117000</v>
      </c>
      <c r="J50" s="92"/>
      <c r="K50" s="254">
        <f t="shared" si="1"/>
        <v>117000</v>
      </c>
      <c r="L50" s="92"/>
      <c r="M50" s="29"/>
      <c r="N50" s="92">
        <f t="shared" si="2"/>
        <v>117000</v>
      </c>
      <c r="O50" s="10" t="s">
        <v>43</v>
      </c>
      <c r="P50" s="100" t="s">
        <v>2419</v>
      </c>
      <c r="Q50" s="10" t="s">
        <v>54</v>
      </c>
      <c r="R50" s="29"/>
      <c r="S50" s="37" t="s">
        <v>2420</v>
      </c>
      <c r="T50" s="29"/>
      <c r="U50" s="92"/>
      <c r="V50" s="92"/>
      <c r="W50" s="92"/>
    </row>
    <row r="51" spans="1:23" s="20" customFormat="1" ht="15.6" hidden="1">
      <c r="A51" s="9">
        <v>44257</v>
      </c>
      <c r="B51" s="10" t="s">
        <v>43</v>
      </c>
      <c r="C51" s="11" t="s">
        <v>2412</v>
      </c>
      <c r="D51" s="228" t="s">
        <v>2421</v>
      </c>
      <c r="E51" s="25" t="s">
        <v>2422</v>
      </c>
      <c r="F51" s="25" t="s">
        <v>2423</v>
      </c>
      <c r="G51" s="56">
        <v>1</v>
      </c>
      <c r="H51" s="92">
        <v>83000</v>
      </c>
      <c r="I51" s="86">
        <f t="shared" si="0"/>
        <v>83000</v>
      </c>
      <c r="J51" s="92"/>
      <c r="K51" s="254">
        <f t="shared" si="1"/>
        <v>83000</v>
      </c>
      <c r="L51" s="92"/>
      <c r="M51" s="29"/>
      <c r="N51" s="92">
        <f t="shared" si="2"/>
        <v>83000</v>
      </c>
      <c r="O51" s="10" t="s">
        <v>43</v>
      </c>
      <c r="P51" s="100" t="s">
        <v>2424</v>
      </c>
      <c r="Q51" s="10" t="s">
        <v>54</v>
      </c>
      <c r="R51" s="29"/>
      <c r="S51" s="37" t="s">
        <v>2425</v>
      </c>
      <c r="T51" s="29"/>
      <c r="U51" s="92"/>
      <c r="V51" s="92"/>
      <c r="W51" s="92"/>
    </row>
    <row r="52" spans="1:23" s="20" customFormat="1" ht="15.6" hidden="1">
      <c r="A52" s="9">
        <v>44257</v>
      </c>
      <c r="B52" s="10" t="s">
        <v>43</v>
      </c>
      <c r="C52" s="11" t="s">
        <v>2426</v>
      </c>
      <c r="D52" s="228" t="s">
        <v>2427</v>
      </c>
      <c r="E52" s="22" t="s">
        <v>306</v>
      </c>
      <c r="F52" s="22" t="s">
        <v>307</v>
      </c>
      <c r="G52" s="56">
        <v>1</v>
      </c>
      <c r="H52" s="86">
        <v>90500</v>
      </c>
      <c r="I52" s="254">
        <f t="shared" si="0"/>
        <v>90500</v>
      </c>
      <c r="J52" s="92"/>
      <c r="K52" s="254">
        <f t="shared" si="1"/>
        <v>90500</v>
      </c>
      <c r="L52" s="92">
        <v>23000</v>
      </c>
      <c r="M52" s="29">
        <v>-3919</v>
      </c>
      <c r="N52" s="92">
        <f t="shared" si="2"/>
        <v>109581</v>
      </c>
      <c r="O52" s="10" t="s">
        <v>43</v>
      </c>
      <c r="P52" s="72" t="s">
        <v>2428</v>
      </c>
      <c r="Q52" s="10" t="s">
        <v>54</v>
      </c>
      <c r="R52" s="29"/>
      <c r="S52" s="228" t="s">
        <v>2429</v>
      </c>
      <c r="T52" s="29"/>
      <c r="U52" s="92"/>
      <c r="V52" s="92"/>
      <c r="W52" s="92"/>
    </row>
    <row r="53" spans="1:23" s="20" customFormat="1" ht="13.5" hidden="1" customHeight="1">
      <c r="A53" s="9">
        <v>44257</v>
      </c>
      <c r="B53" s="10" t="s">
        <v>43</v>
      </c>
      <c r="C53" s="11" t="s">
        <v>2430</v>
      </c>
      <c r="D53" s="228" t="s">
        <v>2431</v>
      </c>
      <c r="E53" s="15" t="s">
        <v>1784</v>
      </c>
      <c r="F53" s="33" t="s">
        <v>1785</v>
      </c>
      <c r="G53" s="56">
        <v>1</v>
      </c>
      <c r="H53" s="86">
        <v>72000</v>
      </c>
      <c r="I53" s="86">
        <f t="shared" si="0"/>
        <v>72000</v>
      </c>
      <c r="J53" s="92"/>
      <c r="K53" s="254">
        <f t="shared" si="1"/>
        <v>72000</v>
      </c>
      <c r="L53" s="92">
        <v>32000</v>
      </c>
      <c r="M53" s="29">
        <v>-3118</v>
      </c>
      <c r="N53" s="92">
        <f t="shared" si="2"/>
        <v>100882</v>
      </c>
      <c r="O53" s="10" t="s">
        <v>43</v>
      </c>
      <c r="P53" s="100" t="s">
        <v>2432</v>
      </c>
      <c r="Q53" s="10" t="s">
        <v>54</v>
      </c>
      <c r="R53" s="29"/>
      <c r="S53" s="227" t="s">
        <v>2433</v>
      </c>
      <c r="T53" s="29"/>
      <c r="U53" s="92"/>
      <c r="V53" s="92"/>
      <c r="W53" s="92"/>
    </row>
    <row r="54" spans="1:23" s="20" customFormat="1" ht="15" hidden="1" customHeight="1">
      <c r="A54" s="9">
        <v>44257</v>
      </c>
      <c r="B54" s="10" t="s">
        <v>206</v>
      </c>
      <c r="C54" s="381" t="s">
        <v>2434</v>
      </c>
      <c r="D54" s="228" t="s">
        <v>2435</v>
      </c>
      <c r="E54" s="10" t="s">
        <v>2436</v>
      </c>
      <c r="F54" s="15" t="s">
        <v>2437</v>
      </c>
      <c r="G54" s="56">
        <v>1</v>
      </c>
      <c r="H54" s="86">
        <v>89000</v>
      </c>
      <c r="I54" s="254">
        <f t="shared" si="0"/>
        <v>89000</v>
      </c>
      <c r="J54" s="92"/>
      <c r="K54" s="254">
        <f t="shared" si="1"/>
        <v>89000</v>
      </c>
      <c r="L54" s="92">
        <v>9400</v>
      </c>
      <c r="M54" s="29"/>
      <c r="N54" s="92">
        <f t="shared" si="2"/>
        <v>98400</v>
      </c>
      <c r="O54" s="10" t="s">
        <v>206</v>
      </c>
      <c r="P54" s="72" t="s">
        <v>2438</v>
      </c>
      <c r="Q54" s="10" t="s">
        <v>54</v>
      </c>
      <c r="R54" s="29"/>
      <c r="S54" s="329"/>
      <c r="T54" s="29"/>
      <c r="U54" s="92"/>
      <c r="V54" s="92"/>
      <c r="W54" s="92"/>
    </row>
    <row r="55" spans="1:23" s="20" customFormat="1" ht="15.6" hidden="1">
      <c r="A55" s="9">
        <v>44257</v>
      </c>
      <c r="B55" s="10" t="s">
        <v>170</v>
      </c>
      <c r="C55" s="10" t="s">
        <v>2439</v>
      </c>
      <c r="D55" s="228" t="s">
        <v>2440</v>
      </c>
      <c r="E55" s="431" t="s">
        <v>2441</v>
      </c>
      <c r="F55" s="431" t="s">
        <v>2442</v>
      </c>
      <c r="G55" s="56">
        <v>1</v>
      </c>
      <c r="H55" s="86">
        <v>66500</v>
      </c>
      <c r="I55" s="86">
        <f t="shared" si="0"/>
        <v>66500</v>
      </c>
      <c r="J55" s="92"/>
      <c r="K55" s="254">
        <f t="shared" si="1"/>
        <v>66500</v>
      </c>
      <c r="L55" s="92">
        <f>20000-20000</f>
        <v>0</v>
      </c>
      <c r="M55" s="29"/>
      <c r="N55" s="92">
        <f t="shared" si="2"/>
        <v>66500</v>
      </c>
      <c r="O55" s="10" t="s">
        <v>170</v>
      </c>
      <c r="P55" s="69" t="s">
        <v>2443</v>
      </c>
      <c r="Q55" s="10" t="s">
        <v>176</v>
      </c>
      <c r="R55" s="29"/>
      <c r="S55" s="227" t="s">
        <v>2443</v>
      </c>
      <c r="T55" s="29"/>
      <c r="U55" s="92"/>
      <c r="V55" s="92"/>
      <c r="W55" s="92"/>
    </row>
    <row r="56" spans="1:23" s="20" customFormat="1" ht="17.25" customHeight="1">
      <c r="A56" s="9">
        <v>44257</v>
      </c>
      <c r="B56" s="10" t="s">
        <v>23</v>
      </c>
      <c r="C56" s="11" t="s">
        <v>2444</v>
      </c>
      <c r="D56" s="228" t="s">
        <v>2445</v>
      </c>
      <c r="E56" s="431" t="s">
        <v>632</v>
      </c>
      <c r="F56" s="431" t="s">
        <v>633</v>
      </c>
      <c r="G56" s="56">
        <v>1</v>
      </c>
      <c r="H56" s="86">
        <v>86500</v>
      </c>
      <c r="I56" s="254">
        <f t="shared" si="0"/>
        <v>86500</v>
      </c>
      <c r="J56" s="92">
        <f>I56*40%</f>
        <v>34600</v>
      </c>
      <c r="K56" s="254">
        <f t="shared" si="1"/>
        <v>51900</v>
      </c>
      <c r="L56" s="92">
        <v>7000</v>
      </c>
      <c r="M56" s="29"/>
      <c r="N56" s="92">
        <f t="shared" si="2"/>
        <v>58900</v>
      </c>
      <c r="O56" s="10" t="s">
        <v>23</v>
      </c>
      <c r="P56" s="72"/>
      <c r="Q56" s="10" t="s">
        <v>28</v>
      </c>
      <c r="R56" s="29"/>
      <c r="S56" s="228"/>
      <c r="T56" s="29"/>
      <c r="U56" s="92"/>
      <c r="V56" s="92"/>
      <c r="W56" s="92"/>
    </row>
    <row r="57" spans="1:23" s="20" customFormat="1" ht="15.6" hidden="1">
      <c r="A57" s="9">
        <v>44257</v>
      </c>
      <c r="B57" s="10" t="s">
        <v>43</v>
      </c>
      <c r="C57" s="11" t="s">
        <v>2446</v>
      </c>
      <c r="D57" s="228" t="s">
        <v>2447</v>
      </c>
      <c r="E57" s="431" t="s">
        <v>2448</v>
      </c>
      <c r="F57" s="429" t="s">
        <v>2449</v>
      </c>
      <c r="G57" s="245">
        <v>2</v>
      </c>
      <c r="H57" s="86">
        <v>67000</v>
      </c>
      <c r="I57" s="86">
        <f t="shared" si="0"/>
        <v>134000</v>
      </c>
      <c r="J57" s="92"/>
      <c r="K57" s="254">
        <f t="shared" si="1"/>
        <v>134000</v>
      </c>
      <c r="L57" s="92"/>
      <c r="M57" s="29">
        <v>-5802</v>
      </c>
      <c r="N57" s="92">
        <f t="shared" si="2"/>
        <v>128198</v>
      </c>
      <c r="O57" s="10" t="s">
        <v>43</v>
      </c>
      <c r="P57" s="95" t="s">
        <v>2450</v>
      </c>
      <c r="Q57" s="10" t="s">
        <v>54</v>
      </c>
      <c r="R57" s="29"/>
      <c r="S57" s="12" t="s">
        <v>2451</v>
      </c>
      <c r="T57" s="29"/>
      <c r="U57" s="92"/>
      <c r="V57" s="92"/>
      <c r="W57" s="92"/>
    </row>
    <row r="58" spans="1:23" s="20" customFormat="1" ht="15.6" hidden="1">
      <c r="A58" s="9">
        <v>44257</v>
      </c>
      <c r="B58" s="10" t="s">
        <v>313</v>
      </c>
      <c r="C58" s="424" t="s">
        <v>2452</v>
      </c>
      <c r="D58" s="228" t="s">
        <v>2453</v>
      </c>
      <c r="E58" s="111" t="s">
        <v>2454</v>
      </c>
      <c r="F58" s="431" t="s">
        <v>2455</v>
      </c>
      <c r="G58" s="245">
        <v>1</v>
      </c>
      <c r="H58" s="86">
        <v>114500</v>
      </c>
      <c r="I58" s="254">
        <f t="shared" si="0"/>
        <v>114500</v>
      </c>
      <c r="J58" s="92"/>
      <c r="K58" s="254">
        <f t="shared" si="1"/>
        <v>114500</v>
      </c>
      <c r="L58" s="92">
        <v>10097</v>
      </c>
      <c r="M58" s="29"/>
      <c r="N58" s="92">
        <f t="shared" si="2"/>
        <v>124597</v>
      </c>
      <c r="O58" s="10" t="s">
        <v>313</v>
      </c>
      <c r="P58" s="333"/>
      <c r="Q58" s="10" t="s">
        <v>40</v>
      </c>
      <c r="R58" s="29"/>
      <c r="S58" s="12"/>
      <c r="T58" s="29"/>
      <c r="U58" s="92"/>
      <c r="V58" s="92"/>
      <c r="W58" s="92"/>
    </row>
    <row r="59" spans="1:23" s="20" customFormat="1" ht="15.6">
      <c r="A59" s="9">
        <v>44258</v>
      </c>
      <c r="B59" s="10" t="s">
        <v>23</v>
      </c>
      <c r="C59" s="10" t="s">
        <v>2456</v>
      </c>
      <c r="D59" s="228" t="s">
        <v>2457</v>
      </c>
      <c r="E59" s="22" t="s">
        <v>345</v>
      </c>
      <c r="F59" s="22" t="s">
        <v>346</v>
      </c>
      <c r="G59" s="56">
        <v>1</v>
      </c>
      <c r="H59" s="86">
        <v>66000</v>
      </c>
      <c r="I59" s="86">
        <f t="shared" si="0"/>
        <v>66000</v>
      </c>
      <c r="J59" s="92"/>
      <c r="K59" s="254">
        <f t="shared" si="1"/>
        <v>66000</v>
      </c>
      <c r="L59" s="92">
        <v>23000</v>
      </c>
      <c r="M59" s="92"/>
      <c r="N59" s="92">
        <f t="shared" si="2"/>
        <v>89000</v>
      </c>
      <c r="O59" s="10" t="s">
        <v>23</v>
      </c>
      <c r="P59" s="95"/>
      <c r="Q59" s="10" t="s">
        <v>28</v>
      </c>
      <c r="R59" s="29"/>
      <c r="S59" s="12"/>
      <c r="T59" s="29"/>
      <c r="U59" s="92"/>
      <c r="V59" s="92"/>
      <c r="W59" s="92"/>
    </row>
    <row r="60" spans="1:23" s="20" customFormat="1" ht="15.6">
      <c r="A60" s="9">
        <v>44258</v>
      </c>
      <c r="B60" s="10" t="s">
        <v>23</v>
      </c>
      <c r="C60" s="11" t="s">
        <v>2458</v>
      </c>
      <c r="D60" s="228" t="s">
        <v>2459</v>
      </c>
      <c r="E60" s="15" t="s">
        <v>1784</v>
      </c>
      <c r="F60" s="33" t="s">
        <v>1785</v>
      </c>
      <c r="G60" s="56">
        <v>1</v>
      </c>
      <c r="H60" s="86">
        <v>54000</v>
      </c>
      <c r="I60" s="254">
        <f t="shared" si="0"/>
        <v>54000</v>
      </c>
      <c r="J60" s="92"/>
      <c r="K60" s="254">
        <f t="shared" si="1"/>
        <v>54000</v>
      </c>
      <c r="L60" s="92">
        <v>70000</v>
      </c>
      <c r="M60" s="92"/>
      <c r="N60" s="92">
        <f t="shared" si="2"/>
        <v>124000</v>
      </c>
      <c r="O60" s="10" t="s">
        <v>23</v>
      </c>
      <c r="P60" s="95"/>
      <c r="Q60" s="10" t="s">
        <v>40</v>
      </c>
      <c r="R60" s="29"/>
      <c r="S60" s="12"/>
      <c r="T60" s="29"/>
      <c r="U60" s="92"/>
      <c r="V60" s="92"/>
      <c r="W60" s="92"/>
    </row>
    <row r="61" spans="1:23" s="20" customFormat="1" ht="15.6">
      <c r="A61" s="9">
        <v>44258</v>
      </c>
      <c r="B61" s="10" t="s">
        <v>23</v>
      </c>
      <c r="C61" s="10" t="s">
        <v>2460</v>
      </c>
      <c r="D61" s="228" t="s">
        <v>2461</v>
      </c>
      <c r="E61" s="74" t="s">
        <v>2462</v>
      </c>
      <c r="F61" s="315" t="s">
        <v>2463</v>
      </c>
      <c r="G61" s="56">
        <v>1</v>
      </c>
      <c r="H61" s="86">
        <v>126000</v>
      </c>
      <c r="I61" s="86">
        <f t="shared" si="0"/>
        <v>126000</v>
      </c>
      <c r="J61" s="92"/>
      <c r="K61" s="254">
        <f t="shared" si="1"/>
        <v>126000</v>
      </c>
      <c r="L61" s="92">
        <v>16000</v>
      </c>
      <c r="M61" s="92"/>
      <c r="N61" s="92">
        <f t="shared" si="2"/>
        <v>142000</v>
      </c>
      <c r="O61" s="10" t="s">
        <v>23</v>
      </c>
      <c r="P61" s="95"/>
      <c r="Q61" s="10" t="s">
        <v>54</v>
      </c>
      <c r="R61" s="29"/>
      <c r="S61" s="12"/>
      <c r="T61" s="29"/>
      <c r="U61" s="92"/>
      <c r="V61" s="92"/>
      <c r="W61" s="92"/>
    </row>
    <row r="62" spans="1:23" s="20" customFormat="1" ht="15.6">
      <c r="A62" s="9">
        <v>44258</v>
      </c>
      <c r="B62" s="10" t="s">
        <v>23</v>
      </c>
      <c r="C62" s="10" t="s">
        <v>2464</v>
      </c>
      <c r="D62" s="228" t="s">
        <v>2465</v>
      </c>
      <c r="E62" s="289" t="s">
        <v>2250</v>
      </c>
      <c r="F62" s="289" t="s">
        <v>2251</v>
      </c>
      <c r="G62" s="56">
        <v>1</v>
      </c>
      <c r="H62" s="86">
        <v>88500</v>
      </c>
      <c r="I62" s="254">
        <f t="shared" si="0"/>
        <v>88500</v>
      </c>
      <c r="J62" s="92"/>
      <c r="K62" s="254">
        <f t="shared" si="1"/>
        <v>88500</v>
      </c>
      <c r="L62" s="92">
        <v>45000</v>
      </c>
      <c r="M62" s="92"/>
      <c r="N62" s="92">
        <f t="shared" si="2"/>
        <v>133500</v>
      </c>
      <c r="O62" s="10" t="s">
        <v>23</v>
      </c>
      <c r="P62" s="95"/>
      <c r="Q62" s="10" t="s">
        <v>40</v>
      </c>
      <c r="R62" s="29"/>
      <c r="S62" s="12"/>
      <c r="T62" s="29"/>
      <c r="U62" s="92"/>
      <c r="V62" s="92"/>
      <c r="W62" s="92"/>
    </row>
    <row r="63" spans="1:23" s="20" customFormat="1" ht="16.8" hidden="1">
      <c r="A63" s="9">
        <v>44258</v>
      </c>
      <c r="B63" s="10" t="s">
        <v>177</v>
      </c>
      <c r="C63" s="10" t="s">
        <v>2466</v>
      </c>
      <c r="D63" s="228" t="s">
        <v>2467</v>
      </c>
      <c r="E63" s="78" t="s">
        <v>471</v>
      </c>
      <c r="F63" s="78" t="s">
        <v>472</v>
      </c>
      <c r="G63" s="56">
        <v>1</v>
      </c>
      <c r="H63" s="86">
        <v>111000</v>
      </c>
      <c r="I63" s="86">
        <f t="shared" si="0"/>
        <v>111000</v>
      </c>
      <c r="J63" s="92"/>
      <c r="K63" s="254">
        <f t="shared" si="1"/>
        <v>111000</v>
      </c>
      <c r="L63" s="92">
        <v>6000</v>
      </c>
      <c r="M63" s="113"/>
      <c r="N63" s="92">
        <f t="shared" si="2"/>
        <v>117000</v>
      </c>
      <c r="O63" s="10" t="s">
        <v>177</v>
      </c>
      <c r="P63" s="104" t="s">
        <v>2468</v>
      </c>
      <c r="Q63" s="10" t="s">
        <v>54</v>
      </c>
      <c r="R63" s="29"/>
      <c r="S63" s="103"/>
      <c r="T63" s="29"/>
      <c r="U63" s="92"/>
      <c r="V63" s="92"/>
      <c r="W63" s="92"/>
    </row>
    <row r="64" spans="1:23" s="20" customFormat="1" ht="16.8" hidden="1">
      <c r="A64" s="9">
        <v>44258</v>
      </c>
      <c r="B64" s="10" t="s">
        <v>177</v>
      </c>
      <c r="C64" s="10" t="s">
        <v>2466</v>
      </c>
      <c r="D64" s="228" t="s">
        <v>2467</v>
      </c>
      <c r="E64" s="78" t="s">
        <v>221</v>
      </c>
      <c r="F64" s="78" t="s">
        <v>222</v>
      </c>
      <c r="G64" s="56">
        <v>1</v>
      </c>
      <c r="H64" s="86">
        <v>44000</v>
      </c>
      <c r="I64" s="254">
        <f t="shared" si="0"/>
        <v>44000</v>
      </c>
      <c r="J64" s="92"/>
      <c r="K64" s="254">
        <f t="shared" si="1"/>
        <v>44000</v>
      </c>
      <c r="L64" s="92">
        <v>6000</v>
      </c>
      <c r="M64" s="92"/>
      <c r="N64" s="92">
        <f t="shared" si="2"/>
        <v>50000</v>
      </c>
      <c r="O64" s="10" t="s">
        <v>177</v>
      </c>
      <c r="P64" s="104">
        <v>555167749575783</v>
      </c>
      <c r="Q64" s="10" t="s">
        <v>54</v>
      </c>
      <c r="R64" s="29"/>
      <c r="S64" s="103"/>
      <c r="T64" s="29"/>
      <c r="U64" s="92"/>
      <c r="V64" s="92"/>
      <c r="W64" s="92"/>
    </row>
    <row r="65" spans="1:23" s="20" customFormat="1" ht="16.8" hidden="1">
      <c r="A65" s="9">
        <v>44258</v>
      </c>
      <c r="B65" s="10" t="s">
        <v>43</v>
      </c>
      <c r="C65" s="10" t="s">
        <v>2469</v>
      </c>
      <c r="D65" s="254" t="s">
        <v>2470</v>
      </c>
      <c r="E65" s="22" t="s">
        <v>345</v>
      </c>
      <c r="F65" s="22" t="s">
        <v>346</v>
      </c>
      <c r="G65" s="56">
        <v>1</v>
      </c>
      <c r="H65" s="86">
        <v>66000</v>
      </c>
      <c r="I65" s="86">
        <f t="shared" si="0"/>
        <v>66000</v>
      </c>
      <c r="J65" s="92"/>
      <c r="K65" s="254">
        <f t="shared" si="1"/>
        <v>66000</v>
      </c>
      <c r="L65" s="92">
        <v>6000</v>
      </c>
      <c r="M65" s="92">
        <v>-2858</v>
      </c>
      <c r="N65" s="92">
        <f t="shared" si="2"/>
        <v>69142</v>
      </c>
      <c r="O65" s="10" t="s">
        <v>43</v>
      </c>
      <c r="P65" s="432" t="s">
        <v>2471</v>
      </c>
      <c r="Q65" s="10" t="s">
        <v>54</v>
      </c>
      <c r="R65" s="29"/>
      <c r="S65" s="169" t="s">
        <v>2472</v>
      </c>
      <c r="T65" s="29"/>
      <c r="U65" s="92"/>
      <c r="V65" s="92"/>
      <c r="W65" s="92"/>
    </row>
    <row r="66" spans="1:23" s="20" customFormat="1" ht="15.6" hidden="1">
      <c r="A66" s="9">
        <v>44258</v>
      </c>
      <c r="B66" s="10" t="s">
        <v>43</v>
      </c>
      <c r="C66" s="11" t="s">
        <v>2473</v>
      </c>
      <c r="D66" s="254" t="s">
        <v>2474</v>
      </c>
      <c r="E66" s="15" t="s">
        <v>2475</v>
      </c>
      <c r="F66" s="15" t="s">
        <v>2476</v>
      </c>
      <c r="G66" s="56">
        <v>4</v>
      </c>
      <c r="H66" s="86">
        <v>67000</v>
      </c>
      <c r="I66" s="254">
        <f t="shared" si="0"/>
        <v>268000</v>
      </c>
      <c r="J66" s="29"/>
      <c r="K66" s="254">
        <f t="shared" si="1"/>
        <v>268000</v>
      </c>
      <c r="L66" s="92">
        <v>18000</v>
      </c>
      <c r="M66" s="92">
        <v>-11604</v>
      </c>
      <c r="N66" s="92">
        <f t="shared" si="2"/>
        <v>274396</v>
      </c>
      <c r="O66" s="10" t="s">
        <v>43</v>
      </c>
      <c r="P66" s="75" t="s">
        <v>2477</v>
      </c>
      <c r="Q66" s="10" t="s">
        <v>54</v>
      </c>
      <c r="R66" s="29"/>
      <c r="S66" s="228" t="s">
        <v>2478</v>
      </c>
      <c r="T66" s="29"/>
      <c r="U66" s="92"/>
      <c r="V66" s="92"/>
      <c r="W66" s="92"/>
    </row>
    <row r="67" spans="1:23" s="20" customFormat="1" ht="15.6" hidden="1">
      <c r="A67" s="9">
        <v>44258</v>
      </c>
      <c r="B67" s="10" t="s">
        <v>313</v>
      </c>
      <c r="C67" s="10" t="s">
        <v>2479</v>
      </c>
      <c r="D67" s="254" t="s">
        <v>2480</v>
      </c>
      <c r="E67" s="15" t="s">
        <v>1784</v>
      </c>
      <c r="F67" s="33" t="s">
        <v>1785</v>
      </c>
      <c r="G67" s="245">
        <v>1</v>
      </c>
      <c r="H67" s="86">
        <v>54000</v>
      </c>
      <c r="I67" s="86">
        <f t="shared" ref="I67:I130" si="5">H67*G67</f>
        <v>54000</v>
      </c>
      <c r="J67" s="29"/>
      <c r="K67" s="254">
        <f t="shared" ref="K67:K130" si="6">I67-J67</f>
        <v>54000</v>
      </c>
      <c r="L67" s="92">
        <v>73000</v>
      </c>
      <c r="M67" s="92"/>
      <c r="N67" s="92">
        <f t="shared" ref="N67:N130" si="7">K67+L67+M67</f>
        <v>127000</v>
      </c>
      <c r="O67" s="10" t="s">
        <v>313</v>
      </c>
      <c r="P67" s="75"/>
      <c r="Q67" s="10" t="s">
        <v>40</v>
      </c>
      <c r="R67" s="29"/>
      <c r="S67" s="92"/>
      <c r="T67" s="29"/>
      <c r="U67" s="92"/>
      <c r="V67" s="92"/>
      <c r="W67" s="92"/>
    </row>
    <row r="68" spans="1:23" s="20" customFormat="1" ht="16.8" hidden="1">
      <c r="A68" s="9">
        <v>44258</v>
      </c>
      <c r="B68" s="10" t="s">
        <v>313</v>
      </c>
      <c r="C68" s="70" t="s">
        <v>2481</v>
      </c>
      <c r="D68" s="254" t="s">
        <v>2482</v>
      </c>
      <c r="E68" s="15" t="s">
        <v>2462</v>
      </c>
      <c r="F68" s="33" t="s">
        <v>2463</v>
      </c>
      <c r="G68" s="245">
        <v>1</v>
      </c>
      <c r="H68" s="86">
        <v>126000</v>
      </c>
      <c r="I68" s="254">
        <f t="shared" si="5"/>
        <v>126000</v>
      </c>
      <c r="J68" s="29"/>
      <c r="K68" s="254">
        <f t="shared" si="6"/>
        <v>126000</v>
      </c>
      <c r="L68" s="92">
        <v>19065</v>
      </c>
      <c r="M68" s="92"/>
      <c r="N68" s="92">
        <f t="shared" si="7"/>
        <v>145065</v>
      </c>
      <c r="O68" s="10" t="s">
        <v>313</v>
      </c>
      <c r="P68" s="72"/>
      <c r="Q68" s="10" t="s">
        <v>40</v>
      </c>
      <c r="R68" s="29"/>
      <c r="S68" s="92"/>
      <c r="T68" s="29"/>
      <c r="U68" s="92"/>
      <c r="V68" s="92"/>
      <c r="W68" s="92"/>
    </row>
    <row r="69" spans="1:23" s="20" customFormat="1" ht="15.6">
      <c r="A69" s="9">
        <v>44258</v>
      </c>
      <c r="B69" s="91" t="s">
        <v>23</v>
      </c>
      <c r="C69" s="287" t="s">
        <v>2483</v>
      </c>
      <c r="D69" s="254" t="s">
        <v>2484</v>
      </c>
      <c r="E69" s="433" t="s">
        <v>2485</v>
      </c>
      <c r="F69" s="434" t="s">
        <v>2486</v>
      </c>
      <c r="G69" s="245">
        <v>1</v>
      </c>
      <c r="H69" s="86">
        <v>70000</v>
      </c>
      <c r="I69" s="86">
        <f t="shared" si="5"/>
        <v>70000</v>
      </c>
      <c r="J69" s="29"/>
      <c r="K69" s="254">
        <f t="shared" si="6"/>
        <v>70000</v>
      </c>
      <c r="L69" s="92">
        <v>17000</v>
      </c>
      <c r="M69" s="92"/>
      <c r="N69" s="92">
        <f t="shared" si="7"/>
        <v>87000</v>
      </c>
      <c r="O69" s="91" t="s">
        <v>23</v>
      </c>
      <c r="P69" s="72"/>
      <c r="Q69" s="10" t="s">
        <v>40</v>
      </c>
      <c r="R69" s="29"/>
      <c r="S69" s="92"/>
      <c r="T69" s="29"/>
      <c r="U69" s="92"/>
      <c r="V69" s="92"/>
      <c r="W69" s="92"/>
    </row>
    <row r="70" spans="1:23" s="20" customFormat="1" ht="15.6">
      <c r="A70" s="9">
        <v>44258</v>
      </c>
      <c r="B70" s="91" t="s">
        <v>23</v>
      </c>
      <c r="C70" s="337" t="s">
        <v>2487</v>
      </c>
      <c r="D70" s="254" t="s">
        <v>2488</v>
      </c>
      <c r="E70" s="434" t="s">
        <v>2489</v>
      </c>
      <c r="F70" s="434" t="s">
        <v>2490</v>
      </c>
      <c r="G70" s="245">
        <v>1</v>
      </c>
      <c r="H70" s="86">
        <v>82000</v>
      </c>
      <c r="I70" s="254">
        <f t="shared" si="5"/>
        <v>82000</v>
      </c>
      <c r="J70" s="29"/>
      <c r="K70" s="254">
        <f t="shared" si="6"/>
        <v>82000</v>
      </c>
      <c r="L70" s="92">
        <v>8000</v>
      </c>
      <c r="M70" s="92"/>
      <c r="N70" s="92">
        <f t="shared" si="7"/>
        <v>90000</v>
      </c>
      <c r="O70" s="91" t="s">
        <v>23</v>
      </c>
      <c r="P70" s="72"/>
      <c r="Q70" s="337" t="s">
        <v>28</v>
      </c>
      <c r="R70" s="29"/>
      <c r="S70" s="92"/>
      <c r="T70" s="29"/>
      <c r="U70" s="92"/>
      <c r="V70" s="92"/>
      <c r="W70" s="92"/>
    </row>
    <row r="71" spans="1:23" s="20" customFormat="1" ht="15.6">
      <c r="A71" s="9">
        <v>44258</v>
      </c>
      <c r="B71" s="91" t="s">
        <v>23</v>
      </c>
      <c r="C71" s="287" t="s">
        <v>2491</v>
      </c>
      <c r="D71" s="254" t="s">
        <v>2492</v>
      </c>
      <c r="E71" s="337" t="s">
        <v>2493</v>
      </c>
      <c r="F71" s="434" t="s">
        <v>2494</v>
      </c>
      <c r="G71" s="245">
        <v>1</v>
      </c>
      <c r="H71" s="86">
        <v>123000</v>
      </c>
      <c r="I71" s="86">
        <f t="shared" si="5"/>
        <v>123000</v>
      </c>
      <c r="J71" s="29"/>
      <c r="K71" s="254">
        <f t="shared" si="6"/>
        <v>123000</v>
      </c>
      <c r="L71" s="92">
        <v>10000</v>
      </c>
      <c r="M71" s="92"/>
      <c r="N71" s="92">
        <f t="shared" si="7"/>
        <v>133000</v>
      </c>
      <c r="O71" s="91" t="s">
        <v>23</v>
      </c>
      <c r="P71" s="29"/>
      <c r="Q71" s="10" t="s">
        <v>40</v>
      </c>
      <c r="R71" s="29"/>
      <c r="S71" s="92"/>
      <c r="T71" s="29"/>
      <c r="U71" s="92"/>
      <c r="V71" s="92"/>
      <c r="W71" s="92"/>
    </row>
    <row r="72" spans="1:23" s="20" customFormat="1" ht="15.6" hidden="1">
      <c r="A72" s="9">
        <v>44258</v>
      </c>
      <c r="B72" s="91" t="s">
        <v>313</v>
      </c>
      <c r="C72" s="287" t="s">
        <v>2495</v>
      </c>
      <c r="D72" s="254" t="s">
        <v>2496</v>
      </c>
      <c r="E72" s="434" t="s">
        <v>2497</v>
      </c>
      <c r="F72" s="434" t="s">
        <v>2498</v>
      </c>
      <c r="G72" s="245">
        <v>1</v>
      </c>
      <c r="H72" s="86">
        <v>72500</v>
      </c>
      <c r="I72" s="254">
        <f t="shared" si="5"/>
        <v>72500</v>
      </c>
      <c r="J72" s="29"/>
      <c r="K72" s="254">
        <f t="shared" si="6"/>
        <v>72500</v>
      </c>
      <c r="L72" s="92">
        <v>17084</v>
      </c>
      <c r="M72" s="92"/>
      <c r="N72" s="92">
        <f t="shared" si="7"/>
        <v>89584</v>
      </c>
      <c r="O72" s="91" t="s">
        <v>313</v>
      </c>
      <c r="P72" s="95"/>
      <c r="Q72" s="10" t="s">
        <v>40</v>
      </c>
      <c r="R72" s="29"/>
      <c r="S72" s="12"/>
      <c r="T72" s="29"/>
      <c r="U72" s="92"/>
      <c r="V72" s="92"/>
      <c r="W72" s="92"/>
    </row>
    <row r="73" spans="1:23" s="20" customFormat="1" ht="15.6" hidden="1">
      <c r="A73" s="9">
        <v>44258</v>
      </c>
      <c r="B73" s="91" t="s">
        <v>43</v>
      </c>
      <c r="C73" s="287" t="s">
        <v>2499</v>
      </c>
      <c r="D73" s="254" t="s">
        <v>2500</v>
      </c>
      <c r="E73" s="433" t="s">
        <v>152</v>
      </c>
      <c r="F73" s="434" t="s">
        <v>153</v>
      </c>
      <c r="G73" s="245">
        <v>1</v>
      </c>
      <c r="H73" s="86">
        <v>62500</v>
      </c>
      <c r="I73" s="86">
        <f t="shared" si="5"/>
        <v>62500</v>
      </c>
      <c r="J73" s="29"/>
      <c r="K73" s="254">
        <f t="shared" si="6"/>
        <v>62500</v>
      </c>
      <c r="L73" s="92"/>
      <c r="M73" s="92">
        <v>-2707</v>
      </c>
      <c r="N73" s="92">
        <f t="shared" si="7"/>
        <v>59793</v>
      </c>
      <c r="O73" s="91" t="s">
        <v>43</v>
      </c>
      <c r="P73" s="12" t="s">
        <v>2501</v>
      </c>
      <c r="Q73" s="10" t="s">
        <v>54</v>
      </c>
      <c r="R73" s="29"/>
      <c r="S73" s="496" t="s">
        <v>2502</v>
      </c>
      <c r="T73" s="29"/>
      <c r="U73" s="92"/>
      <c r="V73" s="92"/>
      <c r="W73" s="92"/>
    </row>
    <row r="74" spans="1:23" s="20" customFormat="1" ht="17.25" hidden="1" customHeight="1">
      <c r="A74" s="9">
        <v>44258</v>
      </c>
      <c r="B74" s="91" t="s">
        <v>43</v>
      </c>
      <c r="C74" s="287" t="s">
        <v>2503</v>
      </c>
      <c r="D74" s="254" t="s">
        <v>2504</v>
      </c>
      <c r="E74" s="15" t="s">
        <v>1784</v>
      </c>
      <c r="F74" s="33" t="s">
        <v>1785</v>
      </c>
      <c r="G74" s="245">
        <v>2</v>
      </c>
      <c r="H74" s="86">
        <v>72000</v>
      </c>
      <c r="I74" s="254">
        <f t="shared" si="5"/>
        <v>144000</v>
      </c>
      <c r="J74" s="29"/>
      <c r="K74" s="254">
        <f t="shared" si="6"/>
        <v>144000</v>
      </c>
      <c r="L74" s="92">
        <v>86000</v>
      </c>
      <c r="M74" s="92">
        <v>-6235</v>
      </c>
      <c r="N74" s="92">
        <f t="shared" si="7"/>
        <v>223765</v>
      </c>
      <c r="O74" s="91" t="s">
        <v>43</v>
      </c>
      <c r="P74" s="228" t="s">
        <v>2505</v>
      </c>
      <c r="Q74" s="10" t="s">
        <v>40</v>
      </c>
      <c r="R74" s="29"/>
      <c r="S74" s="329" t="s">
        <v>2506</v>
      </c>
      <c r="T74" s="92"/>
      <c r="U74" s="92"/>
      <c r="V74" s="92"/>
      <c r="W74" s="92"/>
    </row>
    <row r="75" spans="1:23" s="20" customFormat="1" ht="15.6" hidden="1">
      <c r="A75" s="9">
        <v>44258</v>
      </c>
      <c r="B75" s="91" t="s">
        <v>43</v>
      </c>
      <c r="C75" s="287" t="s">
        <v>2507</v>
      </c>
      <c r="D75" s="254" t="s">
        <v>2508</v>
      </c>
      <c r="E75" s="434" t="s">
        <v>955</v>
      </c>
      <c r="F75" s="156" t="s">
        <v>956</v>
      </c>
      <c r="G75" s="245">
        <v>1</v>
      </c>
      <c r="H75" s="86">
        <v>73000</v>
      </c>
      <c r="I75" s="86">
        <f t="shared" si="5"/>
        <v>73000</v>
      </c>
      <c r="J75" s="29"/>
      <c r="K75" s="254">
        <f t="shared" si="6"/>
        <v>73000</v>
      </c>
      <c r="L75" s="92">
        <v>20000</v>
      </c>
      <c r="M75" s="92">
        <v>-3161</v>
      </c>
      <c r="N75" s="92">
        <f t="shared" si="7"/>
        <v>89839</v>
      </c>
      <c r="O75" s="91" t="s">
        <v>43</v>
      </c>
      <c r="P75" s="114" t="s">
        <v>2509</v>
      </c>
      <c r="Q75" s="10" t="s">
        <v>54</v>
      </c>
      <c r="R75" s="29"/>
      <c r="S75" s="37" t="s">
        <v>2510</v>
      </c>
      <c r="T75" s="92"/>
      <c r="U75" s="92"/>
      <c r="V75" s="92"/>
      <c r="W75" s="92"/>
    </row>
    <row r="76" spans="1:23" s="20" customFormat="1" ht="15.6">
      <c r="A76" s="9">
        <v>44258</v>
      </c>
      <c r="B76" s="91" t="s">
        <v>23</v>
      </c>
      <c r="C76" s="287" t="s">
        <v>2511</v>
      </c>
      <c r="D76" s="254" t="s">
        <v>2512</v>
      </c>
      <c r="E76" s="435" t="s">
        <v>2513</v>
      </c>
      <c r="F76" s="436" t="s">
        <v>2514</v>
      </c>
      <c r="G76" s="245">
        <v>1</v>
      </c>
      <c r="H76" s="86">
        <v>77000</v>
      </c>
      <c r="I76" s="86">
        <f t="shared" si="5"/>
        <v>77000</v>
      </c>
      <c r="J76" s="29">
        <f>I76*35%</f>
        <v>26950</v>
      </c>
      <c r="K76" s="254">
        <f t="shared" si="6"/>
        <v>50050</v>
      </c>
      <c r="L76" s="92">
        <v>17000</v>
      </c>
      <c r="M76" s="92"/>
      <c r="N76" s="92">
        <f t="shared" si="7"/>
        <v>67050</v>
      </c>
      <c r="O76" s="91" t="s">
        <v>23</v>
      </c>
      <c r="P76" s="117"/>
      <c r="Q76" s="10" t="s">
        <v>54</v>
      </c>
      <c r="R76" s="29"/>
      <c r="S76" s="89"/>
      <c r="T76" s="92"/>
      <c r="U76" s="92"/>
      <c r="V76" s="92"/>
      <c r="W76" s="92"/>
    </row>
    <row r="77" spans="1:23" s="20" customFormat="1" ht="15.6">
      <c r="A77" s="9">
        <v>44258</v>
      </c>
      <c r="B77" s="91" t="s">
        <v>23</v>
      </c>
      <c r="C77" s="287" t="s">
        <v>2511</v>
      </c>
      <c r="D77" s="254" t="s">
        <v>2512</v>
      </c>
      <c r="E77" s="437" t="s">
        <v>2515</v>
      </c>
      <c r="F77" s="437" t="s">
        <v>2516</v>
      </c>
      <c r="G77" s="245">
        <v>1</v>
      </c>
      <c r="H77" s="86">
        <v>76500</v>
      </c>
      <c r="I77" s="86">
        <f t="shared" si="5"/>
        <v>76500</v>
      </c>
      <c r="J77" s="29"/>
      <c r="K77" s="254">
        <f t="shared" si="6"/>
        <v>76500</v>
      </c>
      <c r="L77" s="92"/>
      <c r="M77" s="92"/>
      <c r="N77" s="92">
        <f t="shared" si="7"/>
        <v>76500</v>
      </c>
      <c r="O77" s="91" t="s">
        <v>23</v>
      </c>
      <c r="P77" s="117"/>
      <c r="Q77" s="10" t="s">
        <v>54</v>
      </c>
      <c r="R77" s="29"/>
      <c r="S77" s="89"/>
      <c r="T77" s="92"/>
      <c r="U77" s="92"/>
      <c r="V77" s="92"/>
      <c r="W77" s="92"/>
    </row>
    <row r="78" spans="1:23" s="20" customFormat="1" ht="15.6" hidden="1">
      <c r="A78" s="9">
        <v>44259</v>
      </c>
      <c r="B78" s="10" t="s">
        <v>43</v>
      </c>
      <c r="C78" s="11" t="s">
        <v>2517</v>
      </c>
      <c r="D78" s="254" t="s">
        <v>2518</v>
      </c>
      <c r="E78" s="22" t="s">
        <v>1784</v>
      </c>
      <c r="F78" s="94" t="s">
        <v>1785</v>
      </c>
      <c r="G78" s="56">
        <v>1</v>
      </c>
      <c r="H78" s="86">
        <v>72000</v>
      </c>
      <c r="I78" s="86">
        <f t="shared" si="5"/>
        <v>72000</v>
      </c>
      <c r="J78" s="29"/>
      <c r="K78" s="254">
        <f t="shared" si="6"/>
        <v>72000</v>
      </c>
      <c r="L78" s="92"/>
      <c r="M78" s="92">
        <v>-3118</v>
      </c>
      <c r="N78" s="92">
        <f t="shared" si="7"/>
        <v>68882</v>
      </c>
      <c r="O78" s="10" t="s">
        <v>43</v>
      </c>
      <c r="P78" s="100" t="s">
        <v>2519</v>
      </c>
      <c r="Q78" s="10" t="s">
        <v>54</v>
      </c>
      <c r="R78" s="29"/>
      <c r="S78" s="228" t="s">
        <v>2520</v>
      </c>
      <c r="T78" s="92"/>
      <c r="U78" s="92"/>
      <c r="V78" s="92"/>
      <c r="W78" s="92"/>
    </row>
    <row r="79" spans="1:23" s="20" customFormat="1" ht="15.6" hidden="1">
      <c r="A79" s="9">
        <v>44259</v>
      </c>
      <c r="B79" s="10" t="s">
        <v>43</v>
      </c>
      <c r="C79" s="11" t="s">
        <v>2521</v>
      </c>
      <c r="D79" s="254" t="s">
        <v>2522</v>
      </c>
      <c r="E79" s="22" t="s">
        <v>2523</v>
      </c>
      <c r="F79" s="22" t="s">
        <v>2524</v>
      </c>
      <c r="G79" s="56">
        <v>1</v>
      </c>
      <c r="H79" s="86">
        <v>41000</v>
      </c>
      <c r="I79" s="86">
        <f t="shared" si="5"/>
        <v>41000</v>
      </c>
      <c r="J79" s="29"/>
      <c r="K79" s="254">
        <f t="shared" si="6"/>
        <v>41000</v>
      </c>
      <c r="L79" s="92">
        <v>-1775</v>
      </c>
      <c r="M79" s="92"/>
      <c r="N79" s="92">
        <f t="shared" si="7"/>
        <v>39225</v>
      </c>
      <c r="O79" s="10" t="s">
        <v>43</v>
      </c>
      <c r="P79" s="228" t="s">
        <v>2525</v>
      </c>
      <c r="Q79" s="10" t="s">
        <v>54</v>
      </c>
      <c r="R79" s="29"/>
      <c r="S79" s="23" t="s">
        <v>2526</v>
      </c>
      <c r="T79" s="92"/>
      <c r="U79" s="92"/>
      <c r="V79" s="92"/>
      <c r="W79" s="92"/>
    </row>
    <row r="80" spans="1:23" s="20" customFormat="1" ht="15.6" hidden="1">
      <c r="A80" s="9">
        <v>44259</v>
      </c>
      <c r="B80" s="10" t="s">
        <v>43</v>
      </c>
      <c r="C80" s="10" t="s">
        <v>2527</v>
      </c>
      <c r="D80" s="254" t="s">
        <v>2528</v>
      </c>
      <c r="E80" s="346" t="s">
        <v>2529</v>
      </c>
      <c r="F80" s="94" t="s">
        <v>2530</v>
      </c>
      <c r="G80" s="56">
        <v>4</v>
      </c>
      <c r="H80" s="86">
        <v>63000</v>
      </c>
      <c r="I80" s="86">
        <f t="shared" si="5"/>
        <v>252000</v>
      </c>
      <c r="J80" s="29"/>
      <c r="K80" s="254">
        <f t="shared" si="6"/>
        <v>252000</v>
      </c>
      <c r="L80" s="92"/>
      <c r="M80" s="92">
        <v>-10912</v>
      </c>
      <c r="N80" s="92">
        <f t="shared" si="7"/>
        <v>241088</v>
      </c>
      <c r="O80" s="10" t="s">
        <v>43</v>
      </c>
      <c r="P80" s="228" t="s">
        <v>2531</v>
      </c>
      <c r="Q80" s="10" t="s">
        <v>54</v>
      </c>
      <c r="R80" s="92"/>
      <c r="S80" s="228" t="s">
        <v>2532</v>
      </c>
      <c r="T80" s="92"/>
      <c r="U80" s="92"/>
      <c r="V80" s="92"/>
      <c r="W80" s="92"/>
    </row>
    <row r="81" spans="1:23" s="20" customFormat="1" ht="15.6" hidden="1">
      <c r="A81" s="9">
        <v>44259</v>
      </c>
      <c r="B81" s="10" t="s">
        <v>43</v>
      </c>
      <c r="C81" s="10" t="s">
        <v>2527</v>
      </c>
      <c r="D81" s="254" t="s">
        <v>2528</v>
      </c>
      <c r="E81" s="346" t="s">
        <v>2529</v>
      </c>
      <c r="F81" s="22" t="s">
        <v>2530</v>
      </c>
      <c r="G81" s="56">
        <v>3</v>
      </c>
      <c r="H81" s="86">
        <v>63000</v>
      </c>
      <c r="I81" s="86">
        <f t="shared" si="5"/>
        <v>189000</v>
      </c>
      <c r="J81" s="29"/>
      <c r="K81" s="254">
        <f t="shared" si="6"/>
        <v>189000</v>
      </c>
      <c r="L81" s="92"/>
      <c r="M81" s="92">
        <v>-8184</v>
      </c>
      <c r="N81" s="92">
        <f t="shared" si="7"/>
        <v>180816</v>
      </c>
      <c r="O81" s="10" t="s">
        <v>43</v>
      </c>
      <c r="P81" s="228" t="s">
        <v>2533</v>
      </c>
      <c r="Q81" s="10" t="s">
        <v>54</v>
      </c>
      <c r="R81" s="92"/>
      <c r="S81" s="228" t="s">
        <v>2534</v>
      </c>
      <c r="T81" s="92"/>
      <c r="U81" s="92"/>
      <c r="V81" s="92"/>
      <c r="W81" s="92"/>
    </row>
    <row r="82" spans="1:23" s="20" customFormat="1" ht="15.6" hidden="1">
      <c r="A82" s="9">
        <v>44259</v>
      </c>
      <c r="B82" s="10" t="s">
        <v>206</v>
      </c>
      <c r="C82" s="68" t="s">
        <v>2535</v>
      </c>
      <c r="D82" s="254" t="s">
        <v>2536</v>
      </c>
      <c r="E82" s="22" t="s">
        <v>607</v>
      </c>
      <c r="F82" s="22" t="s">
        <v>608</v>
      </c>
      <c r="G82" s="56">
        <v>1</v>
      </c>
      <c r="H82" s="86">
        <v>92000</v>
      </c>
      <c r="I82" s="86">
        <f t="shared" si="5"/>
        <v>92000</v>
      </c>
      <c r="J82" s="29"/>
      <c r="K82" s="254">
        <f t="shared" si="6"/>
        <v>92000</v>
      </c>
      <c r="L82" s="92">
        <v>6400</v>
      </c>
      <c r="M82" s="92"/>
      <c r="N82" s="92">
        <f t="shared" si="7"/>
        <v>98400</v>
      </c>
      <c r="O82" s="10" t="s">
        <v>206</v>
      </c>
      <c r="P82" s="228" t="s">
        <v>2537</v>
      </c>
      <c r="Q82" s="10" t="s">
        <v>40</v>
      </c>
      <c r="R82" s="92"/>
      <c r="S82" s="228" t="s">
        <v>2538</v>
      </c>
      <c r="T82" s="92"/>
      <c r="U82" s="92"/>
      <c r="V82" s="92"/>
      <c r="W82" s="92"/>
    </row>
    <row r="83" spans="1:23" s="20" customFormat="1" ht="15.6" hidden="1">
      <c r="A83" s="9">
        <v>44259</v>
      </c>
      <c r="B83" s="10" t="s">
        <v>206</v>
      </c>
      <c r="C83" s="10" t="s">
        <v>2539</v>
      </c>
      <c r="D83" s="254" t="s">
        <v>2540</v>
      </c>
      <c r="E83" s="14" t="s">
        <v>2541</v>
      </c>
      <c r="F83" s="22" t="s">
        <v>2542</v>
      </c>
      <c r="G83" s="56">
        <v>1</v>
      </c>
      <c r="H83" s="86">
        <v>154000</v>
      </c>
      <c r="I83" s="86">
        <f t="shared" si="5"/>
        <v>154000</v>
      </c>
      <c r="J83" s="29"/>
      <c r="K83" s="254">
        <f t="shared" si="6"/>
        <v>154000</v>
      </c>
      <c r="L83" s="92">
        <v>11700</v>
      </c>
      <c r="M83" s="92"/>
      <c r="N83" s="92">
        <f t="shared" si="7"/>
        <v>165700</v>
      </c>
      <c r="O83" s="10" t="s">
        <v>206</v>
      </c>
      <c r="P83" s="105" t="s">
        <v>2543</v>
      </c>
      <c r="Q83" s="10" t="s">
        <v>176</v>
      </c>
      <c r="R83" s="29"/>
      <c r="S83" s="103" t="s">
        <v>2544</v>
      </c>
      <c r="T83" s="92"/>
      <c r="U83" s="92"/>
      <c r="V83" s="92"/>
      <c r="W83" s="92"/>
    </row>
    <row r="84" spans="1:23" s="20" customFormat="1" ht="15.6">
      <c r="A84" s="9">
        <v>44259</v>
      </c>
      <c r="B84" s="10" t="s">
        <v>23</v>
      </c>
      <c r="C84" s="10" t="s">
        <v>431</v>
      </c>
      <c r="D84" s="254" t="s">
        <v>31</v>
      </c>
      <c r="E84" s="438" t="s">
        <v>735</v>
      </c>
      <c r="F84" s="438" t="s">
        <v>2302</v>
      </c>
      <c r="G84" s="56">
        <v>1</v>
      </c>
      <c r="H84" s="86">
        <v>86000</v>
      </c>
      <c r="I84" s="86">
        <f t="shared" si="5"/>
        <v>86000</v>
      </c>
      <c r="J84" s="29">
        <f>I84*25%</f>
        <v>21500</v>
      </c>
      <c r="K84" s="254">
        <f t="shared" si="6"/>
        <v>64500</v>
      </c>
      <c r="L84" s="92">
        <v>-40000</v>
      </c>
      <c r="M84" s="92"/>
      <c r="N84" s="92">
        <f t="shared" si="7"/>
        <v>24500</v>
      </c>
      <c r="O84" s="10" t="s">
        <v>23</v>
      </c>
      <c r="P84" s="105"/>
      <c r="Q84" s="10" t="s">
        <v>434</v>
      </c>
      <c r="R84" s="92"/>
      <c r="S84" s="12"/>
      <c r="T84" s="92"/>
      <c r="U84" s="92"/>
      <c r="V84" s="92"/>
      <c r="W84" s="92"/>
    </row>
    <row r="85" spans="1:23" s="29" customFormat="1" ht="15.6">
      <c r="A85" s="9">
        <v>44259</v>
      </c>
      <c r="B85" s="10" t="s">
        <v>23</v>
      </c>
      <c r="C85" s="10" t="s">
        <v>431</v>
      </c>
      <c r="D85" s="228" t="s">
        <v>31</v>
      </c>
      <c r="E85" s="438" t="s">
        <v>963</v>
      </c>
      <c r="F85" s="439" t="s">
        <v>964</v>
      </c>
      <c r="G85" s="56">
        <v>1</v>
      </c>
      <c r="H85" s="86">
        <v>150000</v>
      </c>
      <c r="I85" s="86">
        <f t="shared" si="5"/>
        <v>150000</v>
      </c>
      <c r="J85" s="29">
        <f>I85*25%</f>
        <v>37500</v>
      </c>
      <c r="K85" s="254">
        <f t="shared" si="6"/>
        <v>112500</v>
      </c>
      <c r="L85" s="86"/>
      <c r="M85" s="86"/>
      <c r="N85" s="92">
        <f t="shared" si="7"/>
        <v>112500</v>
      </c>
      <c r="O85" s="10" t="s">
        <v>23</v>
      </c>
      <c r="P85" s="118"/>
      <c r="Q85" s="10" t="s">
        <v>434</v>
      </c>
      <c r="R85" s="92"/>
      <c r="S85" s="103"/>
      <c r="T85" s="92"/>
      <c r="U85" s="92"/>
      <c r="V85" s="92"/>
      <c r="W85" s="92"/>
    </row>
    <row r="86" spans="1:23" s="29" customFormat="1" ht="15.6" hidden="1">
      <c r="A86" s="9">
        <v>44259</v>
      </c>
      <c r="B86" s="10" t="s">
        <v>313</v>
      </c>
      <c r="C86" s="423" t="s">
        <v>2545</v>
      </c>
      <c r="D86" s="228" t="s">
        <v>2546</v>
      </c>
      <c r="E86" s="440" t="s">
        <v>2547</v>
      </c>
      <c r="F86" s="440" t="s">
        <v>2548</v>
      </c>
      <c r="G86" s="56">
        <v>2</v>
      </c>
      <c r="H86" s="86">
        <v>70700</v>
      </c>
      <c r="I86" s="86">
        <f t="shared" si="5"/>
        <v>141400</v>
      </c>
      <c r="J86" s="29">
        <f>I86*20%</f>
        <v>28280</v>
      </c>
      <c r="K86" s="254">
        <f t="shared" si="6"/>
        <v>113120</v>
      </c>
      <c r="L86" s="86">
        <v>32000</v>
      </c>
      <c r="M86" s="86"/>
      <c r="N86" s="92">
        <f t="shared" si="7"/>
        <v>145120</v>
      </c>
      <c r="O86" s="10" t="s">
        <v>313</v>
      </c>
      <c r="P86" s="95"/>
      <c r="Q86" s="10" t="s">
        <v>40</v>
      </c>
      <c r="R86" s="92"/>
      <c r="S86" s="12"/>
      <c r="T86" s="92"/>
      <c r="U86" s="92"/>
      <c r="V86" s="92"/>
      <c r="W86" s="92"/>
    </row>
    <row r="87" spans="1:23" s="29" customFormat="1" ht="15.6" hidden="1">
      <c r="A87" s="9">
        <v>44259</v>
      </c>
      <c r="B87" s="10" t="s">
        <v>313</v>
      </c>
      <c r="C87" s="423" t="s">
        <v>2545</v>
      </c>
      <c r="D87" s="228" t="s">
        <v>2549</v>
      </c>
      <c r="E87" s="440" t="s">
        <v>2550</v>
      </c>
      <c r="F87" s="440" t="s">
        <v>2551</v>
      </c>
      <c r="G87" s="56">
        <v>1</v>
      </c>
      <c r="H87" s="86">
        <v>84000</v>
      </c>
      <c r="I87" s="86">
        <f t="shared" si="5"/>
        <v>84000</v>
      </c>
      <c r="J87" s="29">
        <f t="shared" ref="J87:J90" si="8">I87*20%</f>
        <v>16800</v>
      </c>
      <c r="K87" s="254">
        <f t="shared" si="6"/>
        <v>67200</v>
      </c>
      <c r="L87" s="86"/>
      <c r="M87" s="92"/>
      <c r="N87" s="92">
        <f t="shared" si="7"/>
        <v>67200</v>
      </c>
      <c r="O87" s="10" t="s">
        <v>313</v>
      </c>
      <c r="P87" s="95"/>
      <c r="Q87" s="10" t="s">
        <v>40</v>
      </c>
      <c r="R87" s="92"/>
      <c r="S87" s="12"/>
      <c r="T87" s="92"/>
      <c r="U87" s="92"/>
      <c r="V87" s="92"/>
      <c r="W87" s="92"/>
    </row>
    <row r="88" spans="1:23" s="29" customFormat="1" ht="15.6" hidden="1">
      <c r="A88" s="9">
        <v>44259</v>
      </c>
      <c r="B88" s="10" t="s">
        <v>313</v>
      </c>
      <c r="C88" s="423" t="s">
        <v>2545</v>
      </c>
      <c r="D88" s="228" t="s">
        <v>2552</v>
      </c>
      <c r="E88" s="440" t="s">
        <v>2553</v>
      </c>
      <c r="F88" s="441" t="s">
        <v>2554</v>
      </c>
      <c r="G88" s="56">
        <v>1</v>
      </c>
      <c r="H88" s="86">
        <v>84850</v>
      </c>
      <c r="I88" s="86">
        <f t="shared" si="5"/>
        <v>84850</v>
      </c>
      <c r="J88" s="29">
        <f t="shared" si="8"/>
        <v>16970</v>
      </c>
      <c r="K88" s="254">
        <f t="shared" si="6"/>
        <v>67880</v>
      </c>
      <c r="L88" s="86"/>
      <c r="M88" s="92"/>
      <c r="N88" s="92">
        <f t="shared" si="7"/>
        <v>67880</v>
      </c>
      <c r="O88" s="10" t="s">
        <v>313</v>
      </c>
      <c r="P88" s="95"/>
      <c r="Q88" s="10" t="s">
        <v>40</v>
      </c>
      <c r="R88" s="92"/>
      <c r="S88" s="12"/>
      <c r="T88" s="92"/>
      <c r="U88" s="92"/>
      <c r="V88" s="92"/>
      <c r="W88" s="92"/>
    </row>
    <row r="89" spans="1:23" s="29" customFormat="1" ht="16.8" hidden="1">
      <c r="A89" s="9">
        <v>44259</v>
      </c>
      <c r="B89" s="10" t="s">
        <v>313</v>
      </c>
      <c r="C89" s="423" t="s">
        <v>2545</v>
      </c>
      <c r="D89" s="228" t="s">
        <v>2555</v>
      </c>
      <c r="E89" s="440" t="s">
        <v>2556</v>
      </c>
      <c r="F89" s="440" t="s">
        <v>2557</v>
      </c>
      <c r="G89" s="56">
        <v>1</v>
      </c>
      <c r="H89" s="86">
        <v>127000</v>
      </c>
      <c r="I89" s="86">
        <f t="shared" si="5"/>
        <v>127000</v>
      </c>
      <c r="J89" s="29">
        <f t="shared" si="8"/>
        <v>25400</v>
      </c>
      <c r="K89" s="254">
        <f t="shared" si="6"/>
        <v>101600</v>
      </c>
      <c r="L89" s="86"/>
      <c r="M89" s="92"/>
      <c r="N89" s="92">
        <f t="shared" si="7"/>
        <v>101600</v>
      </c>
      <c r="O89" s="10" t="s">
        <v>313</v>
      </c>
      <c r="P89" s="432"/>
      <c r="Q89" s="10" t="s">
        <v>40</v>
      </c>
      <c r="R89" s="92"/>
      <c r="S89" s="169"/>
      <c r="T89" s="92"/>
      <c r="U89" s="92"/>
      <c r="V89" s="92"/>
      <c r="W89" s="92"/>
    </row>
    <row r="90" spans="1:23" s="29" customFormat="1" ht="15.6" hidden="1">
      <c r="A90" s="9">
        <v>44259</v>
      </c>
      <c r="B90" s="10" t="s">
        <v>313</v>
      </c>
      <c r="C90" s="423" t="s">
        <v>2545</v>
      </c>
      <c r="D90" s="228" t="s">
        <v>2558</v>
      </c>
      <c r="E90" s="440" t="s">
        <v>2559</v>
      </c>
      <c r="F90" s="440" t="s">
        <v>2560</v>
      </c>
      <c r="G90" s="56">
        <v>1</v>
      </c>
      <c r="H90" s="86">
        <v>62400</v>
      </c>
      <c r="I90" s="86">
        <f t="shared" si="5"/>
        <v>62400</v>
      </c>
      <c r="J90" s="29">
        <f t="shared" si="8"/>
        <v>12480</v>
      </c>
      <c r="K90" s="254">
        <f t="shared" si="6"/>
        <v>49920</v>
      </c>
      <c r="L90" s="86"/>
      <c r="M90" s="92"/>
      <c r="N90" s="92">
        <f t="shared" si="7"/>
        <v>49920</v>
      </c>
      <c r="O90" s="10" t="s">
        <v>313</v>
      </c>
      <c r="P90" s="93"/>
      <c r="Q90" s="10" t="s">
        <v>40</v>
      </c>
      <c r="R90" s="92"/>
      <c r="S90" s="93"/>
      <c r="T90" s="92"/>
      <c r="U90" s="92"/>
      <c r="V90" s="92"/>
      <c r="W90" s="92"/>
    </row>
    <row r="91" spans="1:23" s="29" customFormat="1" ht="15.6" hidden="1">
      <c r="A91" s="9">
        <v>44259</v>
      </c>
      <c r="B91" s="10" t="s">
        <v>313</v>
      </c>
      <c r="C91" s="423" t="s">
        <v>2545</v>
      </c>
      <c r="D91" s="228" t="s">
        <v>2561</v>
      </c>
      <c r="E91" s="440" t="s">
        <v>2562</v>
      </c>
      <c r="F91" s="440" t="s">
        <v>2563</v>
      </c>
      <c r="G91" s="56">
        <v>1</v>
      </c>
      <c r="H91" s="86">
        <v>460500</v>
      </c>
      <c r="I91" s="86">
        <f t="shared" si="5"/>
        <v>460500</v>
      </c>
      <c r="K91" s="254">
        <f t="shared" si="6"/>
        <v>460500</v>
      </c>
      <c r="L91" s="92">
        <v>16000</v>
      </c>
      <c r="M91" s="92"/>
      <c r="N91" s="92">
        <f t="shared" si="7"/>
        <v>476500</v>
      </c>
      <c r="O91" s="10" t="s">
        <v>313</v>
      </c>
      <c r="P91" s="95"/>
      <c r="Q91" s="10" t="s">
        <v>40</v>
      </c>
      <c r="R91" s="92"/>
      <c r="S91" s="12"/>
      <c r="T91" s="92"/>
      <c r="U91" s="92"/>
      <c r="V91" s="92"/>
      <c r="W91" s="92"/>
    </row>
    <row r="92" spans="1:23" s="29" customFormat="1" ht="15.6" hidden="1">
      <c r="A92" s="9">
        <v>44259</v>
      </c>
      <c r="B92" s="10" t="s">
        <v>43</v>
      </c>
      <c r="C92" s="10" t="s">
        <v>2527</v>
      </c>
      <c r="D92" s="228" t="s">
        <v>2564</v>
      </c>
      <c r="E92" s="346" t="s">
        <v>2529</v>
      </c>
      <c r="F92" s="94" t="s">
        <v>2530</v>
      </c>
      <c r="G92" s="56">
        <v>4</v>
      </c>
      <c r="H92" s="86">
        <v>63000</v>
      </c>
      <c r="I92" s="86">
        <f t="shared" si="5"/>
        <v>252000</v>
      </c>
      <c r="K92" s="254">
        <f t="shared" si="6"/>
        <v>252000</v>
      </c>
      <c r="L92" s="92"/>
      <c r="M92" s="92">
        <v>-10912</v>
      </c>
      <c r="N92" s="92">
        <f t="shared" si="7"/>
        <v>241088</v>
      </c>
      <c r="O92" s="10" t="s">
        <v>43</v>
      </c>
      <c r="P92" s="96" t="s">
        <v>2565</v>
      </c>
      <c r="Q92" s="10" t="s">
        <v>54</v>
      </c>
      <c r="R92" s="92"/>
      <c r="S92" s="228" t="s">
        <v>2566</v>
      </c>
      <c r="T92" s="92"/>
      <c r="U92" s="92"/>
      <c r="V92" s="92"/>
      <c r="W92" s="92"/>
    </row>
    <row r="93" spans="1:23" s="29" customFormat="1" ht="15.6" hidden="1">
      <c r="A93" s="9">
        <v>44259</v>
      </c>
      <c r="B93" s="10" t="s">
        <v>43</v>
      </c>
      <c r="C93" s="10" t="s">
        <v>2527</v>
      </c>
      <c r="D93" s="228" t="s">
        <v>2567</v>
      </c>
      <c r="E93" s="346" t="s">
        <v>2529</v>
      </c>
      <c r="F93" s="94" t="s">
        <v>2530</v>
      </c>
      <c r="G93" s="56">
        <v>2</v>
      </c>
      <c r="H93" s="86">
        <v>63000</v>
      </c>
      <c r="I93" s="86">
        <f t="shared" si="5"/>
        <v>126000</v>
      </c>
      <c r="K93" s="254">
        <f t="shared" si="6"/>
        <v>126000</v>
      </c>
      <c r="L93" s="92"/>
      <c r="M93" s="92">
        <v>-5466</v>
      </c>
      <c r="N93" s="92">
        <f t="shared" si="7"/>
        <v>120534</v>
      </c>
      <c r="O93" s="10" t="s">
        <v>43</v>
      </c>
      <c r="P93" s="95" t="s">
        <v>2568</v>
      </c>
      <c r="Q93" s="10" t="s">
        <v>54</v>
      </c>
      <c r="R93" s="92"/>
      <c r="S93" s="12" t="s">
        <v>2569</v>
      </c>
      <c r="T93" s="92"/>
      <c r="U93" s="92"/>
      <c r="V93" s="92"/>
      <c r="W93" s="92"/>
    </row>
    <row r="94" spans="1:23" s="29" customFormat="1" ht="15.6" hidden="1">
      <c r="A94" s="9">
        <v>44259</v>
      </c>
      <c r="B94" s="10" t="s">
        <v>43</v>
      </c>
      <c r="C94" s="10" t="s">
        <v>2570</v>
      </c>
      <c r="D94" s="228" t="s">
        <v>2571</v>
      </c>
      <c r="E94" s="346" t="s">
        <v>2529</v>
      </c>
      <c r="F94" s="94" t="s">
        <v>2530</v>
      </c>
      <c r="G94" s="56">
        <v>1</v>
      </c>
      <c r="H94" s="86">
        <v>54000</v>
      </c>
      <c r="I94" s="86">
        <f t="shared" si="5"/>
        <v>54000</v>
      </c>
      <c r="K94" s="254">
        <f t="shared" si="6"/>
        <v>54000</v>
      </c>
      <c r="L94" s="92"/>
      <c r="M94" s="92">
        <v>-2338</v>
      </c>
      <c r="N94" s="92">
        <f t="shared" si="7"/>
        <v>51662</v>
      </c>
      <c r="O94" s="10" t="s">
        <v>43</v>
      </c>
      <c r="P94" s="95" t="s">
        <v>2572</v>
      </c>
      <c r="Q94" s="10" t="s">
        <v>54</v>
      </c>
      <c r="R94" s="92"/>
      <c r="S94" s="12" t="s">
        <v>2573</v>
      </c>
      <c r="T94" s="92"/>
      <c r="U94" s="92"/>
      <c r="V94" s="92"/>
      <c r="W94" s="92"/>
    </row>
    <row r="95" spans="1:23" s="29" customFormat="1" ht="15.6" hidden="1">
      <c r="A95" s="9">
        <v>44259</v>
      </c>
      <c r="B95" s="10" t="s">
        <v>313</v>
      </c>
      <c r="C95" s="424" t="s">
        <v>2574</v>
      </c>
      <c r="D95" s="228" t="s">
        <v>2575</v>
      </c>
      <c r="E95" s="15" t="s">
        <v>1784</v>
      </c>
      <c r="F95" s="33" t="s">
        <v>1785</v>
      </c>
      <c r="G95" s="56">
        <v>1</v>
      </c>
      <c r="H95" s="86">
        <v>54000</v>
      </c>
      <c r="I95" s="86">
        <f t="shared" si="5"/>
        <v>54000</v>
      </c>
      <c r="K95" s="254">
        <f t="shared" si="6"/>
        <v>54000</v>
      </c>
      <c r="L95" s="92">
        <v>70060</v>
      </c>
      <c r="M95" s="92"/>
      <c r="N95" s="92">
        <f t="shared" si="7"/>
        <v>124060</v>
      </c>
      <c r="O95" s="10" t="s">
        <v>313</v>
      </c>
      <c r="P95" s="95"/>
      <c r="Q95" s="10" t="s">
        <v>40</v>
      </c>
      <c r="R95" s="92"/>
      <c r="S95" s="93"/>
      <c r="T95" s="92"/>
      <c r="U95" s="92"/>
      <c r="V95" s="92"/>
      <c r="W95" s="92"/>
    </row>
    <row r="96" spans="1:23" s="20" customFormat="1" ht="15.6">
      <c r="A96" s="9">
        <v>44259</v>
      </c>
      <c r="B96" s="10" t="s">
        <v>23</v>
      </c>
      <c r="C96" s="10" t="s">
        <v>2576</v>
      </c>
      <c r="D96" s="228" t="s">
        <v>2577</v>
      </c>
      <c r="E96" s="346" t="s">
        <v>2529</v>
      </c>
      <c r="F96" s="94" t="s">
        <v>2530</v>
      </c>
      <c r="G96" s="56">
        <v>3</v>
      </c>
      <c r="H96" s="86">
        <v>63000</v>
      </c>
      <c r="I96" s="86">
        <f t="shared" si="5"/>
        <v>189000</v>
      </c>
      <c r="J96" s="29"/>
      <c r="K96" s="254">
        <f t="shared" si="6"/>
        <v>189000</v>
      </c>
      <c r="L96" s="92">
        <v>75000</v>
      </c>
      <c r="M96" s="92"/>
      <c r="N96" s="92">
        <f t="shared" si="7"/>
        <v>264000</v>
      </c>
      <c r="O96" s="10" t="s">
        <v>23</v>
      </c>
      <c r="P96" s="95"/>
      <c r="Q96" s="10" t="s">
        <v>54</v>
      </c>
      <c r="R96" s="92"/>
      <c r="S96" s="12"/>
      <c r="T96" s="92"/>
      <c r="U96" s="92"/>
      <c r="V96" s="92"/>
      <c r="W96" s="92"/>
    </row>
    <row r="97" spans="1:23" s="20" customFormat="1" ht="15.6">
      <c r="A97" s="9">
        <v>44259</v>
      </c>
      <c r="B97" s="91" t="s">
        <v>23</v>
      </c>
      <c r="C97" s="287" t="s">
        <v>2578</v>
      </c>
      <c r="D97" s="228" t="s">
        <v>2579</v>
      </c>
      <c r="E97" s="14" t="s">
        <v>2580</v>
      </c>
      <c r="F97" s="22" t="s">
        <v>2581</v>
      </c>
      <c r="G97" s="245">
        <v>1</v>
      </c>
      <c r="H97" s="86">
        <v>83000</v>
      </c>
      <c r="I97" s="86">
        <f t="shared" si="5"/>
        <v>83000</v>
      </c>
      <c r="J97" s="29"/>
      <c r="K97" s="254">
        <f t="shared" si="6"/>
        <v>83000</v>
      </c>
      <c r="L97" s="86">
        <v>55000</v>
      </c>
      <c r="M97" s="92"/>
      <c r="N97" s="92">
        <f t="shared" si="7"/>
        <v>138000</v>
      </c>
      <c r="O97" s="91" t="s">
        <v>23</v>
      </c>
      <c r="P97" s="118"/>
      <c r="Q97" s="10" t="s">
        <v>40</v>
      </c>
      <c r="R97" s="92"/>
      <c r="S97" s="167"/>
      <c r="T97" s="92"/>
      <c r="U97" s="92"/>
      <c r="V97" s="92"/>
      <c r="W97" s="92"/>
    </row>
    <row r="98" spans="1:23" s="20" customFormat="1" ht="15.6">
      <c r="A98" s="9">
        <v>44259</v>
      </c>
      <c r="B98" s="91" t="s">
        <v>23</v>
      </c>
      <c r="C98" s="287" t="s">
        <v>2582</v>
      </c>
      <c r="D98" s="228" t="s">
        <v>2583</v>
      </c>
      <c r="E98" s="14" t="s">
        <v>2462</v>
      </c>
      <c r="F98" s="94" t="s">
        <v>2463</v>
      </c>
      <c r="G98" s="245">
        <v>1</v>
      </c>
      <c r="H98" s="86">
        <v>126000</v>
      </c>
      <c r="I98" s="86">
        <f t="shared" si="5"/>
        <v>126000</v>
      </c>
      <c r="J98" s="29"/>
      <c r="K98" s="254">
        <f t="shared" si="6"/>
        <v>126000</v>
      </c>
      <c r="L98" s="86">
        <v>11000</v>
      </c>
      <c r="M98" s="92"/>
      <c r="N98" s="92">
        <f t="shared" si="7"/>
        <v>137000</v>
      </c>
      <c r="O98" s="91" t="s">
        <v>23</v>
      </c>
      <c r="P98" s="118"/>
      <c r="Q98" s="10" t="s">
        <v>40</v>
      </c>
      <c r="R98" s="92"/>
      <c r="S98" s="12"/>
      <c r="T98" s="92"/>
      <c r="U98" s="92"/>
      <c r="V98" s="92"/>
      <c r="W98" s="92"/>
    </row>
    <row r="99" spans="1:23" s="20" customFormat="1" ht="15.6" hidden="1">
      <c r="A99" s="9">
        <v>44259</v>
      </c>
      <c r="B99" s="91" t="s">
        <v>313</v>
      </c>
      <c r="C99" s="442" t="s">
        <v>2584</v>
      </c>
      <c r="D99" s="228" t="s">
        <v>2585</v>
      </c>
      <c r="E99" s="22" t="s">
        <v>2586</v>
      </c>
      <c r="F99" s="22" t="s">
        <v>2587</v>
      </c>
      <c r="G99" s="245">
        <v>1</v>
      </c>
      <c r="H99" s="86">
        <v>550550</v>
      </c>
      <c r="I99" s="86">
        <f t="shared" si="5"/>
        <v>550550</v>
      </c>
      <c r="J99" s="29"/>
      <c r="K99" s="254">
        <f t="shared" si="6"/>
        <v>550550</v>
      </c>
      <c r="L99" s="86">
        <v>17096</v>
      </c>
      <c r="M99" s="92"/>
      <c r="N99" s="92">
        <f t="shared" si="7"/>
        <v>567646</v>
      </c>
      <c r="O99" s="91" t="s">
        <v>313</v>
      </c>
      <c r="P99" s="95"/>
      <c r="Q99" s="10" t="s">
        <v>40</v>
      </c>
      <c r="R99" s="92"/>
      <c r="S99" s="12"/>
      <c r="T99" s="92"/>
      <c r="U99" s="92"/>
      <c r="V99" s="92"/>
      <c r="W99" s="92"/>
    </row>
    <row r="100" spans="1:23" s="20" customFormat="1" ht="15.6" hidden="1">
      <c r="A100" s="9">
        <v>44260</v>
      </c>
      <c r="B100" s="90" t="s">
        <v>43</v>
      </c>
      <c r="C100" s="123" t="s">
        <v>2588</v>
      </c>
      <c r="D100" s="228" t="s">
        <v>2589</v>
      </c>
      <c r="E100" s="22" t="s">
        <v>1116</v>
      </c>
      <c r="F100" s="22" t="s">
        <v>1117</v>
      </c>
      <c r="G100" s="330">
        <v>1</v>
      </c>
      <c r="H100" s="86">
        <v>92000</v>
      </c>
      <c r="I100" s="86">
        <f t="shared" si="5"/>
        <v>92000</v>
      </c>
      <c r="J100" s="29"/>
      <c r="K100" s="320">
        <f t="shared" si="6"/>
        <v>92000</v>
      </c>
      <c r="L100" s="92"/>
      <c r="M100" s="92">
        <v>-3984</v>
      </c>
      <c r="N100" s="92">
        <f t="shared" si="7"/>
        <v>88016</v>
      </c>
      <c r="O100" s="90" t="s">
        <v>43</v>
      </c>
      <c r="P100" s="228" t="s">
        <v>2590</v>
      </c>
      <c r="Q100" s="91" t="s">
        <v>54</v>
      </c>
      <c r="R100" s="92"/>
      <c r="S100" s="228" t="s">
        <v>2591</v>
      </c>
      <c r="T100" s="92"/>
      <c r="U100" s="92"/>
      <c r="V100" s="92"/>
      <c r="W100" s="92"/>
    </row>
    <row r="101" spans="1:23" s="20" customFormat="1" ht="15.6" hidden="1">
      <c r="A101" s="9">
        <v>44260</v>
      </c>
      <c r="B101" s="91" t="s">
        <v>43</v>
      </c>
      <c r="C101" s="123" t="s">
        <v>2592</v>
      </c>
      <c r="D101" s="228" t="s">
        <v>2593</v>
      </c>
      <c r="E101" s="22" t="s">
        <v>1784</v>
      </c>
      <c r="F101" s="94" t="s">
        <v>1785</v>
      </c>
      <c r="G101" s="330">
        <v>1</v>
      </c>
      <c r="H101" s="86">
        <v>72000</v>
      </c>
      <c r="I101" s="86">
        <f t="shared" si="5"/>
        <v>72000</v>
      </c>
      <c r="J101" s="29"/>
      <c r="K101" s="320">
        <f t="shared" si="6"/>
        <v>72000</v>
      </c>
      <c r="L101" s="92"/>
      <c r="M101" s="92">
        <v>-3118</v>
      </c>
      <c r="N101" s="92">
        <f t="shared" si="7"/>
        <v>68882</v>
      </c>
      <c r="O101" s="91" t="s">
        <v>43</v>
      </c>
      <c r="P101" s="95" t="s">
        <v>2594</v>
      </c>
      <c r="Q101" s="91" t="s">
        <v>54</v>
      </c>
      <c r="R101" s="92"/>
      <c r="S101" s="12" t="s">
        <v>2595</v>
      </c>
      <c r="T101" s="92"/>
      <c r="U101" s="92"/>
      <c r="V101" s="92"/>
      <c r="W101" s="92"/>
    </row>
    <row r="102" spans="1:23" s="20" customFormat="1" ht="15.6" hidden="1">
      <c r="A102" s="9">
        <v>44260</v>
      </c>
      <c r="B102" s="91" t="s">
        <v>43</v>
      </c>
      <c r="C102" s="123" t="s">
        <v>2596</v>
      </c>
      <c r="D102" s="228" t="s">
        <v>2597</v>
      </c>
      <c r="E102" s="22" t="s">
        <v>2598</v>
      </c>
      <c r="F102" s="22" t="s">
        <v>2599</v>
      </c>
      <c r="G102" s="330">
        <v>1</v>
      </c>
      <c r="H102" s="86">
        <v>121000</v>
      </c>
      <c r="I102" s="86">
        <f t="shared" si="5"/>
        <v>121000</v>
      </c>
      <c r="J102" s="29"/>
      <c r="K102" s="320">
        <f t="shared" si="6"/>
        <v>121000</v>
      </c>
      <c r="L102" s="92"/>
      <c r="M102" s="92">
        <v>-5239</v>
      </c>
      <c r="N102" s="92">
        <f t="shared" si="7"/>
        <v>115761</v>
      </c>
      <c r="O102" s="91" t="s">
        <v>43</v>
      </c>
      <c r="P102" s="95" t="s">
        <v>2600</v>
      </c>
      <c r="Q102" s="91" t="s">
        <v>54</v>
      </c>
      <c r="R102" s="92"/>
      <c r="S102" s="12" t="s">
        <v>2601</v>
      </c>
      <c r="T102" s="92"/>
      <c r="U102" s="92"/>
      <c r="V102" s="92"/>
      <c r="W102" s="92"/>
    </row>
    <row r="103" spans="1:23" s="20" customFormat="1" ht="15.6" hidden="1">
      <c r="A103" s="9">
        <v>44260</v>
      </c>
      <c r="B103" s="91" t="s">
        <v>206</v>
      </c>
      <c r="C103" s="381" t="s">
        <v>2602</v>
      </c>
      <c r="D103" s="228" t="s">
        <v>2603</v>
      </c>
      <c r="E103" s="98" t="s">
        <v>2604</v>
      </c>
      <c r="F103" s="99" t="s">
        <v>2605</v>
      </c>
      <c r="G103" s="330">
        <v>1</v>
      </c>
      <c r="H103" s="86">
        <v>42000</v>
      </c>
      <c r="I103" s="86">
        <f t="shared" si="5"/>
        <v>42000</v>
      </c>
      <c r="J103" s="29"/>
      <c r="K103" s="320">
        <f t="shared" si="6"/>
        <v>42000</v>
      </c>
      <c r="L103" s="92">
        <v>7500</v>
      </c>
      <c r="M103" s="92"/>
      <c r="N103" s="92">
        <f t="shared" si="7"/>
        <v>49500</v>
      </c>
      <c r="O103" s="91" t="s">
        <v>206</v>
      </c>
      <c r="P103" s="228" t="s">
        <v>2606</v>
      </c>
      <c r="Q103" s="91" t="s">
        <v>28</v>
      </c>
      <c r="R103" s="92"/>
      <c r="S103" s="228" t="s">
        <v>2607</v>
      </c>
      <c r="T103" s="92"/>
      <c r="U103" s="92"/>
      <c r="V103" s="92"/>
      <c r="W103" s="92"/>
    </row>
    <row r="104" spans="1:23" s="20" customFormat="1" ht="15.6" hidden="1">
      <c r="A104" s="9">
        <v>44260</v>
      </c>
      <c r="B104" s="91" t="s">
        <v>206</v>
      </c>
      <c r="C104" s="381" t="s">
        <v>2602</v>
      </c>
      <c r="D104" s="228" t="s">
        <v>2603</v>
      </c>
      <c r="E104" s="98" t="s">
        <v>2608</v>
      </c>
      <c r="F104" s="98" t="s">
        <v>2609</v>
      </c>
      <c r="G104" s="330">
        <v>1</v>
      </c>
      <c r="H104" s="86">
        <v>68000</v>
      </c>
      <c r="I104" s="86">
        <f t="shared" si="5"/>
        <v>68000</v>
      </c>
      <c r="J104" s="29"/>
      <c r="K104" s="320">
        <f t="shared" si="6"/>
        <v>68000</v>
      </c>
      <c r="L104" s="92"/>
      <c r="M104" s="92"/>
      <c r="N104" s="92">
        <f t="shared" si="7"/>
        <v>68000</v>
      </c>
      <c r="O104" s="91" t="s">
        <v>206</v>
      </c>
      <c r="P104" s="228" t="s">
        <v>2606</v>
      </c>
      <c r="Q104" s="91" t="s">
        <v>28</v>
      </c>
      <c r="R104" s="92"/>
      <c r="S104" s="228" t="s">
        <v>2607</v>
      </c>
      <c r="T104" s="92"/>
      <c r="U104" s="92"/>
      <c r="V104" s="92"/>
      <c r="W104" s="92"/>
    </row>
    <row r="105" spans="1:23" s="20" customFormat="1" ht="15.6" hidden="1">
      <c r="A105" s="9">
        <v>44260</v>
      </c>
      <c r="B105" s="91" t="s">
        <v>206</v>
      </c>
      <c r="C105" s="123" t="s">
        <v>2610</v>
      </c>
      <c r="D105" s="228" t="s">
        <v>2611</v>
      </c>
      <c r="E105" s="14" t="s">
        <v>2612</v>
      </c>
      <c r="F105" s="22" t="s">
        <v>2613</v>
      </c>
      <c r="G105" s="330">
        <v>2</v>
      </c>
      <c r="H105" s="86">
        <v>66500</v>
      </c>
      <c r="I105" s="86">
        <f t="shared" si="5"/>
        <v>133000</v>
      </c>
      <c r="J105" s="29"/>
      <c r="K105" s="320">
        <f t="shared" si="6"/>
        <v>133000</v>
      </c>
      <c r="L105" s="92">
        <v>5600</v>
      </c>
      <c r="M105" s="29"/>
      <c r="N105" s="92">
        <f t="shared" si="7"/>
        <v>138600</v>
      </c>
      <c r="O105" s="91" t="s">
        <v>206</v>
      </c>
      <c r="P105" s="95" t="s">
        <v>2614</v>
      </c>
      <c r="Q105" s="91" t="s">
        <v>28</v>
      </c>
      <c r="R105" s="92"/>
      <c r="S105" s="12"/>
      <c r="T105" s="92"/>
      <c r="U105" s="92"/>
      <c r="V105" s="92"/>
      <c r="W105" s="92"/>
    </row>
    <row r="106" spans="1:23" s="20" customFormat="1" ht="15.6" hidden="1">
      <c r="A106" s="9">
        <v>44260</v>
      </c>
      <c r="B106" s="91" t="s">
        <v>177</v>
      </c>
      <c r="C106" s="123" t="s">
        <v>2615</v>
      </c>
      <c r="D106" s="228" t="s">
        <v>2616</v>
      </c>
      <c r="E106" s="24" t="s">
        <v>493</v>
      </c>
      <c r="F106" s="24" t="s">
        <v>494</v>
      </c>
      <c r="G106" s="330">
        <v>1</v>
      </c>
      <c r="H106" s="86">
        <v>66500</v>
      </c>
      <c r="I106" s="86">
        <f t="shared" si="5"/>
        <v>66500</v>
      </c>
      <c r="J106" s="29"/>
      <c r="K106" s="320">
        <f t="shared" si="6"/>
        <v>66500</v>
      </c>
      <c r="L106" s="92">
        <v>9000</v>
      </c>
      <c r="M106" s="92"/>
      <c r="N106" s="92">
        <f t="shared" si="7"/>
        <v>75500</v>
      </c>
      <c r="O106" s="91" t="s">
        <v>177</v>
      </c>
      <c r="P106" s="95">
        <v>552222855041208</v>
      </c>
      <c r="Q106" s="91" t="s">
        <v>54</v>
      </c>
      <c r="R106" s="92"/>
      <c r="S106" s="169" t="s">
        <v>2617</v>
      </c>
      <c r="T106" s="92"/>
      <c r="U106" s="92"/>
      <c r="V106" s="92"/>
      <c r="W106" s="92"/>
    </row>
    <row r="107" spans="1:23" s="20" customFormat="1" hidden="1">
      <c r="A107" s="9">
        <v>44260</v>
      </c>
      <c r="B107" s="91" t="s">
        <v>177</v>
      </c>
      <c r="C107" s="123" t="s">
        <v>2615</v>
      </c>
      <c r="D107" s="228" t="s">
        <v>2616</v>
      </c>
      <c r="E107" s="443" t="s">
        <v>471</v>
      </c>
      <c r="F107" s="443" t="s">
        <v>472</v>
      </c>
      <c r="G107" s="330">
        <v>1</v>
      </c>
      <c r="H107" s="86">
        <v>111000</v>
      </c>
      <c r="I107" s="86">
        <f t="shared" si="5"/>
        <v>111000</v>
      </c>
      <c r="J107" s="29"/>
      <c r="K107" s="320">
        <f t="shared" si="6"/>
        <v>111000</v>
      </c>
      <c r="L107" s="92"/>
      <c r="M107" s="92"/>
      <c r="N107" s="92">
        <f t="shared" si="7"/>
        <v>111000</v>
      </c>
      <c r="O107" s="91" t="s">
        <v>177</v>
      </c>
      <c r="P107" s="95">
        <v>552222855041208</v>
      </c>
      <c r="Q107" s="91" t="s">
        <v>54</v>
      </c>
      <c r="R107" s="92"/>
      <c r="S107" s="12" t="s">
        <v>2617</v>
      </c>
      <c r="T107" s="92"/>
      <c r="U107" s="92"/>
      <c r="V107" s="92"/>
      <c r="W107" s="92"/>
    </row>
    <row r="108" spans="1:23" s="20" customFormat="1" ht="15.6" hidden="1">
      <c r="A108" s="9">
        <v>44260</v>
      </c>
      <c r="B108" s="91" t="s">
        <v>313</v>
      </c>
      <c r="C108" s="424" t="s">
        <v>2618</v>
      </c>
      <c r="D108" s="228" t="s">
        <v>2619</v>
      </c>
      <c r="E108" s="22" t="s">
        <v>2349</v>
      </c>
      <c r="F108" s="94" t="s">
        <v>2350</v>
      </c>
      <c r="G108" s="330">
        <v>1</v>
      </c>
      <c r="H108" s="86">
        <v>213000</v>
      </c>
      <c r="I108" s="86">
        <f t="shared" si="5"/>
        <v>213000</v>
      </c>
      <c r="J108" s="29"/>
      <c r="K108" s="320">
        <f t="shared" si="6"/>
        <v>213000</v>
      </c>
      <c r="L108" s="92">
        <v>7056</v>
      </c>
      <c r="M108" s="92"/>
      <c r="N108" s="92">
        <f t="shared" si="7"/>
        <v>220056</v>
      </c>
      <c r="O108" s="91" t="s">
        <v>313</v>
      </c>
      <c r="P108" s="95"/>
      <c r="Q108" s="91" t="s">
        <v>28</v>
      </c>
      <c r="R108" s="92"/>
      <c r="S108" s="12"/>
      <c r="T108" s="92"/>
      <c r="U108" s="92"/>
      <c r="V108" s="92"/>
      <c r="W108" s="92"/>
    </row>
    <row r="109" spans="1:23" s="20" customFormat="1" ht="15.6">
      <c r="A109" s="9">
        <v>44260</v>
      </c>
      <c r="B109" s="91" t="s">
        <v>23</v>
      </c>
      <c r="C109" s="123" t="s">
        <v>2620</v>
      </c>
      <c r="D109" s="228" t="s">
        <v>2621</v>
      </c>
      <c r="E109" s="91" t="s">
        <v>2622</v>
      </c>
      <c r="F109" s="94" t="s">
        <v>2623</v>
      </c>
      <c r="G109" s="330">
        <v>1</v>
      </c>
      <c r="H109" s="86">
        <v>54000</v>
      </c>
      <c r="I109" s="86">
        <f t="shared" si="5"/>
        <v>54000</v>
      </c>
      <c r="J109" s="29"/>
      <c r="K109" s="320">
        <f t="shared" si="6"/>
        <v>54000</v>
      </c>
      <c r="L109" s="92">
        <v>16000</v>
      </c>
      <c r="M109" s="92"/>
      <c r="N109" s="92">
        <f t="shared" si="7"/>
        <v>70000</v>
      </c>
      <c r="O109" s="91" t="s">
        <v>23</v>
      </c>
      <c r="P109" s="95"/>
      <c r="Q109" s="91" t="s">
        <v>40</v>
      </c>
      <c r="R109" s="92"/>
      <c r="S109" s="12"/>
      <c r="T109" s="92"/>
      <c r="U109" s="92"/>
      <c r="V109" s="92"/>
      <c r="W109" s="92"/>
    </row>
    <row r="110" spans="1:23" s="20" customFormat="1" ht="15.6" hidden="1">
      <c r="A110" s="9">
        <v>44260</v>
      </c>
      <c r="B110" s="91" t="s">
        <v>313</v>
      </c>
      <c r="C110" s="91" t="s">
        <v>2624</v>
      </c>
      <c r="D110" s="228" t="s">
        <v>2625</v>
      </c>
      <c r="E110" s="361" t="s">
        <v>1318</v>
      </c>
      <c r="F110" s="361" t="s">
        <v>1319</v>
      </c>
      <c r="G110" s="330">
        <v>1</v>
      </c>
      <c r="H110" s="86">
        <v>91500</v>
      </c>
      <c r="I110" s="86">
        <f t="shared" si="5"/>
        <v>91500</v>
      </c>
      <c r="J110" s="29"/>
      <c r="K110" s="320">
        <f t="shared" si="6"/>
        <v>91500</v>
      </c>
      <c r="L110" s="92">
        <v>94067</v>
      </c>
      <c r="M110" s="92"/>
      <c r="N110" s="92">
        <f t="shared" si="7"/>
        <v>185567</v>
      </c>
      <c r="O110" s="91" t="s">
        <v>313</v>
      </c>
      <c r="P110" s="95"/>
      <c r="Q110" s="91" t="s">
        <v>40</v>
      </c>
      <c r="R110" s="92"/>
      <c r="S110" s="103"/>
      <c r="T110" s="92"/>
      <c r="U110" s="92"/>
      <c r="V110" s="92"/>
      <c r="W110" s="92"/>
    </row>
    <row r="111" spans="1:23" s="20" customFormat="1" ht="15.6" hidden="1">
      <c r="A111" s="9">
        <v>44260</v>
      </c>
      <c r="B111" s="91" t="s">
        <v>313</v>
      </c>
      <c r="C111" s="91" t="s">
        <v>2624</v>
      </c>
      <c r="D111" s="228" t="s">
        <v>2626</v>
      </c>
      <c r="E111" s="361" t="s">
        <v>2627</v>
      </c>
      <c r="F111" s="361" t="s">
        <v>2628</v>
      </c>
      <c r="G111" s="330">
        <v>1</v>
      </c>
      <c r="H111" s="86">
        <v>64500</v>
      </c>
      <c r="I111" s="86">
        <f t="shared" si="5"/>
        <v>64500</v>
      </c>
      <c r="J111" s="29"/>
      <c r="K111" s="320">
        <f t="shared" si="6"/>
        <v>64500</v>
      </c>
      <c r="L111" s="86"/>
      <c r="M111" s="92"/>
      <c r="N111" s="92">
        <f t="shared" si="7"/>
        <v>64500</v>
      </c>
      <c r="O111" s="91" t="s">
        <v>313</v>
      </c>
      <c r="P111" s="105"/>
      <c r="Q111" s="91" t="s">
        <v>40</v>
      </c>
      <c r="R111" s="92"/>
      <c r="S111" s="329"/>
      <c r="T111" s="92"/>
      <c r="U111" s="92"/>
      <c r="V111" s="92"/>
      <c r="W111" s="92"/>
    </row>
    <row r="112" spans="1:23" s="20" customFormat="1" ht="15.6" hidden="1">
      <c r="A112" s="9">
        <v>44260</v>
      </c>
      <c r="B112" s="91" t="s">
        <v>313</v>
      </c>
      <c r="C112" s="91" t="s">
        <v>2624</v>
      </c>
      <c r="D112" s="228" t="s">
        <v>2629</v>
      </c>
      <c r="E112" s="361" t="s">
        <v>2630</v>
      </c>
      <c r="F112" s="361" t="s">
        <v>1254</v>
      </c>
      <c r="G112" s="330">
        <v>1</v>
      </c>
      <c r="H112" s="86">
        <v>70000</v>
      </c>
      <c r="I112" s="86">
        <f t="shared" si="5"/>
        <v>70000</v>
      </c>
      <c r="J112" s="29"/>
      <c r="K112" s="320">
        <f t="shared" si="6"/>
        <v>70000</v>
      </c>
      <c r="L112" s="86"/>
      <c r="M112" s="92"/>
      <c r="N112" s="92">
        <f t="shared" si="7"/>
        <v>70000</v>
      </c>
      <c r="O112" s="91" t="s">
        <v>313</v>
      </c>
      <c r="P112" s="118"/>
      <c r="Q112" s="91" t="s">
        <v>40</v>
      </c>
      <c r="R112" s="92"/>
      <c r="S112" s="103"/>
      <c r="T112" s="92"/>
      <c r="U112" s="92"/>
      <c r="V112" s="92"/>
      <c r="W112" s="92"/>
    </row>
    <row r="113" spans="1:23" s="20" customFormat="1" ht="15.6" hidden="1">
      <c r="A113" s="9">
        <v>44260</v>
      </c>
      <c r="B113" s="91" t="s">
        <v>313</v>
      </c>
      <c r="C113" s="91" t="s">
        <v>2624</v>
      </c>
      <c r="D113" s="228" t="s">
        <v>2631</v>
      </c>
      <c r="E113" s="361" t="s">
        <v>2632</v>
      </c>
      <c r="F113" s="444" t="s">
        <v>2633</v>
      </c>
      <c r="G113" s="330">
        <v>1</v>
      </c>
      <c r="H113" s="86">
        <v>84000</v>
      </c>
      <c r="I113" s="86">
        <f t="shared" si="5"/>
        <v>84000</v>
      </c>
      <c r="J113" s="29"/>
      <c r="K113" s="320">
        <f t="shared" si="6"/>
        <v>84000</v>
      </c>
      <c r="L113" s="29"/>
      <c r="M113" s="92"/>
      <c r="N113" s="92">
        <f t="shared" si="7"/>
        <v>84000</v>
      </c>
      <c r="O113" s="91" t="s">
        <v>313</v>
      </c>
      <c r="P113" s="95"/>
      <c r="Q113" s="91" t="s">
        <v>40</v>
      </c>
      <c r="R113" s="92"/>
      <c r="S113" s="12"/>
      <c r="T113" s="92"/>
      <c r="U113" s="92"/>
      <c r="V113" s="92"/>
      <c r="W113" s="92"/>
    </row>
    <row r="114" spans="1:23" s="20" customFormat="1" ht="15.6" hidden="1">
      <c r="A114" s="9">
        <v>44260</v>
      </c>
      <c r="B114" s="91" t="s">
        <v>313</v>
      </c>
      <c r="C114" s="91" t="s">
        <v>2624</v>
      </c>
      <c r="D114" s="228" t="s">
        <v>2634</v>
      </c>
      <c r="E114" s="445" t="s">
        <v>2635</v>
      </c>
      <c r="F114" s="445" t="s">
        <v>2636</v>
      </c>
      <c r="G114" s="330">
        <v>1</v>
      </c>
      <c r="H114" s="86">
        <v>136000</v>
      </c>
      <c r="I114" s="86">
        <f t="shared" si="5"/>
        <v>136000</v>
      </c>
      <c r="J114" s="29"/>
      <c r="K114" s="320">
        <f t="shared" si="6"/>
        <v>136000</v>
      </c>
      <c r="L114" s="29"/>
      <c r="M114" s="92"/>
      <c r="N114" s="92">
        <f t="shared" si="7"/>
        <v>136000</v>
      </c>
      <c r="O114" s="91" t="s">
        <v>313</v>
      </c>
      <c r="P114" s="95"/>
      <c r="Q114" s="91" t="s">
        <v>40</v>
      </c>
      <c r="R114" s="92"/>
      <c r="S114" s="110"/>
      <c r="T114" s="92"/>
      <c r="U114" s="92"/>
      <c r="V114" s="92"/>
      <c r="W114" s="92"/>
    </row>
    <row r="115" spans="1:23" s="20" customFormat="1" ht="15.6" hidden="1">
      <c r="A115" s="9">
        <v>44260</v>
      </c>
      <c r="B115" s="91" t="s">
        <v>313</v>
      </c>
      <c r="C115" s="91" t="s">
        <v>2624</v>
      </c>
      <c r="D115" s="228" t="s">
        <v>2637</v>
      </c>
      <c r="E115" s="446" t="s">
        <v>2638</v>
      </c>
      <c r="F115" s="361" t="s">
        <v>2628</v>
      </c>
      <c r="G115" s="330">
        <v>1</v>
      </c>
      <c r="H115" s="86">
        <v>43000</v>
      </c>
      <c r="I115" s="86">
        <f t="shared" si="5"/>
        <v>43000</v>
      </c>
      <c r="J115" s="29"/>
      <c r="K115" s="320">
        <f t="shared" si="6"/>
        <v>43000</v>
      </c>
      <c r="L115" s="29"/>
      <c r="M115" s="29"/>
      <c r="N115" s="92">
        <f t="shared" si="7"/>
        <v>43000</v>
      </c>
      <c r="O115" s="91" t="s">
        <v>313</v>
      </c>
      <c r="P115" s="95"/>
      <c r="Q115" s="91" t="s">
        <v>40</v>
      </c>
      <c r="R115" s="92"/>
      <c r="S115" s="12"/>
      <c r="T115" s="92"/>
      <c r="U115" s="92"/>
      <c r="V115" s="92"/>
      <c r="W115" s="92"/>
    </row>
    <row r="116" spans="1:23" s="20" customFormat="1" ht="15.6" hidden="1">
      <c r="A116" s="9">
        <v>44260</v>
      </c>
      <c r="B116" s="91" t="s">
        <v>43</v>
      </c>
      <c r="C116" s="123" t="s">
        <v>2639</v>
      </c>
      <c r="D116" s="228" t="s">
        <v>2640</v>
      </c>
      <c r="E116" s="14" t="s">
        <v>2641</v>
      </c>
      <c r="F116" s="339" t="s">
        <v>2642</v>
      </c>
      <c r="G116" s="245">
        <v>1</v>
      </c>
      <c r="H116" s="183">
        <v>91000</v>
      </c>
      <c r="I116" s="86">
        <f t="shared" si="5"/>
        <v>91000</v>
      </c>
      <c r="J116" s="29"/>
      <c r="K116" s="320">
        <f t="shared" si="6"/>
        <v>91000</v>
      </c>
      <c r="L116" s="29">
        <v>3000</v>
      </c>
      <c r="M116" s="29">
        <v>-3940</v>
      </c>
      <c r="N116" s="92">
        <f t="shared" si="7"/>
        <v>90060</v>
      </c>
      <c r="O116" s="91" t="s">
        <v>43</v>
      </c>
      <c r="P116" s="228"/>
      <c r="Q116" s="91" t="s">
        <v>54</v>
      </c>
      <c r="R116" s="92"/>
      <c r="S116" s="12"/>
      <c r="T116" s="92"/>
      <c r="U116" s="92"/>
      <c r="V116" s="92"/>
      <c r="W116" s="92"/>
    </row>
    <row r="117" spans="1:23" s="20" customFormat="1" ht="15.6">
      <c r="A117" s="9">
        <v>44260</v>
      </c>
      <c r="B117" s="91" t="s">
        <v>23</v>
      </c>
      <c r="C117" s="91" t="s">
        <v>2643</v>
      </c>
      <c r="D117" s="228" t="s">
        <v>2644</v>
      </c>
      <c r="E117" s="14" t="s">
        <v>2645</v>
      </c>
      <c r="F117" s="14" t="s">
        <v>2646</v>
      </c>
      <c r="G117" s="245">
        <v>1</v>
      </c>
      <c r="H117" s="72">
        <v>117000</v>
      </c>
      <c r="I117" s="86">
        <f t="shared" si="5"/>
        <v>117000</v>
      </c>
      <c r="J117" s="29"/>
      <c r="K117" s="320">
        <f t="shared" si="6"/>
        <v>117000</v>
      </c>
      <c r="L117" s="29">
        <v>45000</v>
      </c>
      <c r="M117" s="29"/>
      <c r="N117" s="92">
        <f t="shared" si="7"/>
        <v>162000</v>
      </c>
      <c r="O117" s="91" t="s">
        <v>23</v>
      </c>
      <c r="P117" s="95"/>
      <c r="Q117" s="91" t="s">
        <v>40</v>
      </c>
      <c r="R117" s="92"/>
      <c r="S117" s="12"/>
      <c r="T117" s="92"/>
      <c r="U117" s="92"/>
      <c r="V117" s="92"/>
      <c r="W117" s="92"/>
    </row>
    <row r="118" spans="1:23" s="29" customFormat="1" ht="15.6" hidden="1">
      <c r="A118" s="9">
        <v>44260</v>
      </c>
      <c r="B118" s="91" t="s">
        <v>313</v>
      </c>
      <c r="C118" s="91" t="s">
        <v>2647</v>
      </c>
      <c r="D118" s="228" t="s">
        <v>2648</v>
      </c>
      <c r="E118" s="14" t="s">
        <v>2649</v>
      </c>
      <c r="F118" s="339" t="s">
        <v>2650</v>
      </c>
      <c r="G118" s="245">
        <v>1</v>
      </c>
      <c r="H118" s="183">
        <v>103000</v>
      </c>
      <c r="I118" s="86">
        <f t="shared" si="5"/>
        <v>103000</v>
      </c>
      <c r="K118" s="320">
        <f t="shared" si="6"/>
        <v>103000</v>
      </c>
      <c r="L118" s="29">
        <v>17088</v>
      </c>
      <c r="N118" s="92">
        <f t="shared" si="7"/>
        <v>120088</v>
      </c>
      <c r="O118" s="91" t="s">
        <v>313</v>
      </c>
      <c r="P118" s="106"/>
      <c r="Q118" s="91" t="s">
        <v>40</v>
      </c>
      <c r="R118" s="92"/>
      <c r="S118" s="23"/>
      <c r="T118" s="92"/>
      <c r="U118" s="92"/>
      <c r="V118" s="92"/>
      <c r="W118" s="92"/>
    </row>
    <row r="119" spans="1:23" s="20" customFormat="1" ht="15.6" hidden="1">
      <c r="A119" s="9">
        <v>44263</v>
      </c>
      <c r="B119" s="10" t="s">
        <v>206</v>
      </c>
      <c r="C119" s="11" t="s">
        <v>2651</v>
      </c>
      <c r="D119" s="228" t="s">
        <v>2652</v>
      </c>
      <c r="E119" s="15" t="s">
        <v>1669</v>
      </c>
      <c r="F119" s="11" t="s">
        <v>1670</v>
      </c>
      <c r="G119" s="56">
        <v>1</v>
      </c>
      <c r="H119" s="183">
        <v>81000</v>
      </c>
      <c r="I119" s="86">
        <f t="shared" si="5"/>
        <v>81000</v>
      </c>
      <c r="J119" s="29"/>
      <c r="K119" s="320">
        <f t="shared" si="6"/>
        <v>81000</v>
      </c>
      <c r="L119" s="119">
        <v>15400</v>
      </c>
      <c r="M119" s="29"/>
      <c r="N119" s="92">
        <f t="shared" si="7"/>
        <v>96400</v>
      </c>
      <c r="O119" s="10" t="s">
        <v>206</v>
      </c>
      <c r="P119" s="228"/>
      <c r="Q119" s="10" t="s">
        <v>28</v>
      </c>
      <c r="R119" s="92"/>
      <c r="S119" s="72"/>
      <c r="T119" s="92"/>
      <c r="U119" s="92"/>
      <c r="V119" s="92"/>
      <c r="W119" s="92"/>
    </row>
    <row r="120" spans="1:23" s="20" customFormat="1" ht="15.6" hidden="1">
      <c r="A120" s="9">
        <v>44263</v>
      </c>
      <c r="B120" s="10" t="s">
        <v>206</v>
      </c>
      <c r="C120" s="11" t="s">
        <v>2653</v>
      </c>
      <c r="D120" s="228" t="s">
        <v>2654</v>
      </c>
      <c r="E120" s="10" t="s">
        <v>2655</v>
      </c>
      <c r="F120" s="15" t="s">
        <v>2656</v>
      </c>
      <c r="G120" s="56">
        <v>1</v>
      </c>
      <c r="H120" s="183">
        <v>84000</v>
      </c>
      <c r="I120" s="86">
        <f t="shared" si="5"/>
        <v>84000</v>
      </c>
      <c r="J120" s="29"/>
      <c r="K120" s="320">
        <f t="shared" si="6"/>
        <v>84000</v>
      </c>
      <c r="L120" s="119">
        <v>20500</v>
      </c>
      <c r="M120" s="29"/>
      <c r="N120" s="92">
        <f t="shared" si="7"/>
        <v>104500</v>
      </c>
      <c r="O120" s="10" t="s">
        <v>206</v>
      </c>
      <c r="P120" s="96"/>
      <c r="Q120" s="10" t="s">
        <v>328</v>
      </c>
      <c r="R120" s="92"/>
      <c r="S120" s="12"/>
      <c r="T120" s="92"/>
      <c r="U120" s="92"/>
      <c r="V120" s="92"/>
      <c r="W120" s="92"/>
    </row>
    <row r="121" spans="1:23" s="20" customFormat="1" ht="15.6" hidden="1">
      <c r="A121" s="9">
        <v>44263</v>
      </c>
      <c r="B121" s="10" t="s">
        <v>206</v>
      </c>
      <c r="C121" s="11" t="s">
        <v>2657</v>
      </c>
      <c r="D121" s="228" t="s">
        <v>2658</v>
      </c>
      <c r="E121" s="39" t="s">
        <v>553</v>
      </c>
      <c r="F121" s="39" t="s">
        <v>554</v>
      </c>
      <c r="G121" s="56">
        <v>1</v>
      </c>
      <c r="H121" s="183">
        <v>65500</v>
      </c>
      <c r="I121" s="86">
        <f t="shared" si="5"/>
        <v>65500</v>
      </c>
      <c r="J121" s="29"/>
      <c r="K121" s="320">
        <f t="shared" si="6"/>
        <v>65500</v>
      </c>
      <c r="L121" s="119">
        <v>39100</v>
      </c>
      <c r="M121" s="29"/>
      <c r="N121" s="92">
        <f t="shared" si="7"/>
        <v>104600</v>
      </c>
      <c r="O121" s="10" t="s">
        <v>206</v>
      </c>
      <c r="P121" s="105"/>
      <c r="Q121" s="10" t="s">
        <v>54</v>
      </c>
      <c r="R121" s="92"/>
      <c r="S121" s="23"/>
      <c r="T121" s="92"/>
      <c r="U121" s="92"/>
      <c r="V121" s="92"/>
      <c r="W121" s="92"/>
    </row>
    <row r="122" spans="1:23" s="20" customFormat="1" ht="15.6" hidden="1">
      <c r="A122" s="9">
        <v>44263</v>
      </c>
      <c r="B122" s="10" t="s">
        <v>206</v>
      </c>
      <c r="C122" s="11" t="s">
        <v>2657</v>
      </c>
      <c r="D122" s="228" t="s">
        <v>2658</v>
      </c>
      <c r="E122" s="39" t="s">
        <v>2659</v>
      </c>
      <c r="F122" s="447" t="s">
        <v>2660</v>
      </c>
      <c r="G122" s="56">
        <v>1</v>
      </c>
      <c r="H122" s="183">
        <v>170000</v>
      </c>
      <c r="I122" s="86">
        <f t="shared" si="5"/>
        <v>170000</v>
      </c>
      <c r="J122" s="29"/>
      <c r="K122" s="320">
        <f t="shared" si="6"/>
        <v>170000</v>
      </c>
      <c r="L122" s="119"/>
      <c r="M122" s="29"/>
      <c r="N122" s="92">
        <f t="shared" si="7"/>
        <v>170000</v>
      </c>
      <c r="O122" s="10" t="s">
        <v>206</v>
      </c>
      <c r="P122" s="105"/>
      <c r="Q122" s="10" t="s">
        <v>54</v>
      </c>
      <c r="R122" s="12"/>
      <c r="S122" s="23"/>
      <c r="T122" s="92"/>
      <c r="U122" s="92"/>
      <c r="V122" s="92"/>
      <c r="W122" s="92"/>
    </row>
    <row r="123" spans="1:23" s="20" customFormat="1" ht="15.6" hidden="1">
      <c r="A123" s="9">
        <v>44263</v>
      </c>
      <c r="B123" s="10" t="s">
        <v>43</v>
      </c>
      <c r="C123" s="11" t="s">
        <v>2661</v>
      </c>
      <c r="D123" s="228" t="s">
        <v>2662</v>
      </c>
      <c r="E123" s="22" t="s">
        <v>1371</v>
      </c>
      <c r="F123" s="94" t="s">
        <v>1372</v>
      </c>
      <c r="G123" s="56">
        <v>1</v>
      </c>
      <c r="H123" s="183">
        <v>98000</v>
      </c>
      <c r="I123" s="86">
        <f t="shared" si="5"/>
        <v>98000</v>
      </c>
      <c r="J123" s="29"/>
      <c r="K123" s="320">
        <f t="shared" si="6"/>
        <v>98000</v>
      </c>
      <c r="L123" s="119"/>
      <c r="M123" s="29">
        <v>-4243</v>
      </c>
      <c r="N123" s="92">
        <f t="shared" si="7"/>
        <v>93757</v>
      </c>
      <c r="O123" s="10" t="s">
        <v>43</v>
      </c>
      <c r="P123" s="95" t="s">
        <v>2663</v>
      </c>
      <c r="Q123" s="10" t="s">
        <v>40</v>
      </c>
      <c r="R123" s="89"/>
      <c r="S123" s="12" t="s">
        <v>2664</v>
      </c>
      <c r="T123" s="92"/>
      <c r="U123" s="92"/>
      <c r="V123" s="92"/>
      <c r="W123" s="92"/>
    </row>
    <row r="124" spans="1:23" s="20" customFormat="1" ht="15.6" hidden="1">
      <c r="A124" s="9">
        <v>44263</v>
      </c>
      <c r="B124" s="10" t="s">
        <v>43</v>
      </c>
      <c r="C124" s="10" t="s">
        <v>2665</v>
      </c>
      <c r="D124" s="228" t="s">
        <v>2666</v>
      </c>
      <c r="E124" s="15" t="s">
        <v>2667</v>
      </c>
      <c r="F124" s="15" t="s">
        <v>2668</v>
      </c>
      <c r="G124" s="56">
        <v>1</v>
      </c>
      <c r="H124" s="183">
        <v>112000</v>
      </c>
      <c r="I124" s="86">
        <f t="shared" si="5"/>
        <v>112000</v>
      </c>
      <c r="J124" s="29"/>
      <c r="K124" s="320">
        <f t="shared" si="6"/>
        <v>112000</v>
      </c>
      <c r="L124" s="119"/>
      <c r="M124" s="29">
        <v>-4850</v>
      </c>
      <c r="N124" s="92">
        <f t="shared" si="7"/>
        <v>107150</v>
      </c>
      <c r="O124" s="10" t="s">
        <v>43</v>
      </c>
      <c r="P124" s="100" t="s">
        <v>2669</v>
      </c>
      <c r="Q124" s="10" t="s">
        <v>54</v>
      </c>
      <c r="R124" s="92"/>
      <c r="S124" s="23" t="s">
        <v>2670</v>
      </c>
      <c r="T124" s="92"/>
      <c r="U124" s="92"/>
      <c r="V124" s="92"/>
      <c r="W124" s="92"/>
    </row>
    <row r="125" spans="1:23" s="20" customFormat="1" ht="15.6" hidden="1">
      <c r="A125" s="9">
        <v>44263</v>
      </c>
      <c r="B125" s="10" t="s">
        <v>43</v>
      </c>
      <c r="C125" s="11" t="s">
        <v>2671</v>
      </c>
      <c r="D125" s="228" t="s">
        <v>2672</v>
      </c>
      <c r="E125" s="22" t="s">
        <v>345</v>
      </c>
      <c r="F125" s="22" t="s">
        <v>346</v>
      </c>
      <c r="G125" s="56">
        <v>1</v>
      </c>
      <c r="H125" s="183">
        <v>66000</v>
      </c>
      <c r="I125" s="86">
        <f t="shared" si="5"/>
        <v>66000</v>
      </c>
      <c r="J125" s="29"/>
      <c r="K125" s="320">
        <f t="shared" si="6"/>
        <v>66000</v>
      </c>
      <c r="L125" s="119"/>
      <c r="M125" s="29">
        <v>-2858</v>
      </c>
      <c r="N125" s="92">
        <f t="shared" si="7"/>
        <v>63142</v>
      </c>
      <c r="O125" s="10" t="s">
        <v>43</v>
      </c>
      <c r="P125" s="228" t="s">
        <v>2673</v>
      </c>
      <c r="Q125" s="10" t="s">
        <v>54</v>
      </c>
      <c r="R125" s="29"/>
      <c r="S125" s="23" t="s">
        <v>2674</v>
      </c>
      <c r="T125" s="29"/>
      <c r="U125" s="29"/>
      <c r="V125" s="92"/>
      <c r="W125" s="92"/>
    </row>
    <row r="126" spans="1:23" s="20" customFormat="1" hidden="1">
      <c r="A126" s="9">
        <v>44263</v>
      </c>
      <c r="B126" s="10" t="s">
        <v>43</v>
      </c>
      <c r="C126" s="11" t="s">
        <v>2675</v>
      </c>
      <c r="D126" s="228" t="s">
        <v>2676</v>
      </c>
      <c r="E126" s="10" t="s">
        <v>2677</v>
      </c>
      <c r="F126" s="10" t="s">
        <v>2678</v>
      </c>
      <c r="G126" s="56">
        <v>1</v>
      </c>
      <c r="H126" s="183">
        <v>106000</v>
      </c>
      <c r="I126" s="86">
        <f t="shared" si="5"/>
        <v>106000</v>
      </c>
      <c r="J126" s="29"/>
      <c r="K126" s="320">
        <f t="shared" si="6"/>
        <v>106000</v>
      </c>
      <c r="L126" s="119"/>
      <c r="M126" s="29">
        <v>-4590</v>
      </c>
      <c r="N126" s="92">
        <f t="shared" si="7"/>
        <v>101410</v>
      </c>
      <c r="O126" s="10" t="s">
        <v>43</v>
      </c>
      <c r="P126" s="228" t="s">
        <v>2679</v>
      </c>
      <c r="Q126" s="10" t="s">
        <v>54</v>
      </c>
      <c r="R126" s="29"/>
      <c r="S126" s="23" t="s">
        <v>2680</v>
      </c>
      <c r="T126" s="29"/>
      <c r="U126" s="29"/>
      <c r="V126" s="92"/>
      <c r="W126" s="92"/>
    </row>
    <row r="127" spans="1:23" s="20" customFormat="1" ht="15.6" hidden="1">
      <c r="A127" s="9">
        <v>44263</v>
      </c>
      <c r="B127" s="10" t="s">
        <v>43</v>
      </c>
      <c r="C127" s="11" t="s">
        <v>2681</v>
      </c>
      <c r="D127" s="228" t="s">
        <v>2682</v>
      </c>
      <c r="E127" s="15" t="s">
        <v>1784</v>
      </c>
      <c r="F127" s="15" t="s">
        <v>1785</v>
      </c>
      <c r="G127" s="56">
        <v>1</v>
      </c>
      <c r="H127" s="183">
        <v>72000</v>
      </c>
      <c r="I127" s="86">
        <f t="shared" si="5"/>
        <v>72000</v>
      </c>
      <c r="J127" s="29"/>
      <c r="K127" s="320">
        <f t="shared" si="6"/>
        <v>72000</v>
      </c>
      <c r="L127" s="119"/>
      <c r="M127" s="29">
        <v>-3118</v>
      </c>
      <c r="N127" s="92">
        <f t="shared" si="7"/>
        <v>68882</v>
      </c>
      <c r="O127" s="10" t="s">
        <v>43</v>
      </c>
      <c r="P127" s="228" t="s">
        <v>2683</v>
      </c>
      <c r="Q127" s="10" t="s">
        <v>54</v>
      </c>
      <c r="R127" s="29"/>
      <c r="S127" s="23" t="s">
        <v>2684</v>
      </c>
      <c r="T127" s="29"/>
      <c r="U127" s="29"/>
      <c r="V127" s="92"/>
      <c r="W127" s="92"/>
    </row>
    <row r="128" spans="1:23" s="20" customFormat="1" ht="15.6" hidden="1">
      <c r="A128" s="9">
        <v>44263</v>
      </c>
      <c r="B128" s="10" t="s">
        <v>43</v>
      </c>
      <c r="C128" s="11" t="s">
        <v>2685</v>
      </c>
      <c r="D128" s="228" t="s">
        <v>2686</v>
      </c>
      <c r="E128" s="22" t="s">
        <v>1371</v>
      </c>
      <c r="F128" s="22" t="s">
        <v>1372</v>
      </c>
      <c r="G128" s="56">
        <v>1</v>
      </c>
      <c r="H128" s="183">
        <v>98000</v>
      </c>
      <c r="I128" s="86">
        <f t="shared" si="5"/>
        <v>98000</v>
      </c>
      <c r="J128" s="29"/>
      <c r="K128" s="320">
        <f t="shared" si="6"/>
        <v>98000</v>
      </c>
      <c r="L128" s="119">
        <v>3000</v>
      </c>
      <c r="M128" s="29">
        <v>-4243</v>
      </c>
      <c r="N128" s="92">
        <f t="shared" si="7"/>
        <v>96757</v>
      </c>
      <c r="O128" s="10" t="s">
        <v>43</v>
      </c>
      <c r="P128" s="228" t="s">
        <v>2687</v>
      </c>
      <c r="Q128" s="10" t="s">
        <v>54</v>
      </c>
      <c r="R128" s="29"/>
      <c r="S128" s="23" t="s">
        <v>2688</v>
      </c>
      <c r="T128" s="29"/>
      <c r="U128" s="29"/>
      <c r="V128" s="92"/>
      <c r="W128" s="92"/>
    </row>
    <row r="129" spans="1:23" s="20" customFormat="1" ht="15.6" hidden="1">
      <c r="A129" s="9">
        <v>44263</v>
      </c>
      <c r="B129" s="10" t="s">
        <v>43</v>
      </c>
      <c r="C129" s="11" t="s">
        <v>2689</v>
      </c>
      <c r="D129" s="228" t="s">
        <v>2690</v>
      </c>
      <c r="E129" s="15" t="s">
        <v>1784</v>
      </c>
      <c r="F129" s="33" t="s">
        <v>1785</v>
      </c>
      <c r="G129" s="56">
        <v>1</v>
      </c>
      <c r="H129" s="183">
        <v>72000</v>
      </c>
      <c r="I129" s="86">
        <f t="shared" si="5"/>
        <v>72000</v>
      </c>
      <c r="J129" s="29"/>
      <c r="K129" s="320">
        <f t="shared" si="6"/>
        <v>72000</v>
      </c>
      <c r="L129" s="119">
        <v>29000</v>
      </c>
      <c r="M129" s="29">
        <v>-3118</v>
      </c>
      <c r="N129" s="92">
        <f t="shared" si="7"/>
        <v>97882</v>
      </c>
      <c r="O129" s="10" t="s">
        <v>43</v>
      </c>
      <c r="P129" s="228" t="s">
        <v>2691</v>
      </c>
      <c r="Q129" s="10" t="s">
        <v>54</v>
      </c>
      <c r="R129" s="29"/>
      <c r="S129" s="23" t="s">
        <v>2692</v>
      </c>
      <c r="T129" s="29"/>
      <c r="U129" s="29"/>
      <c r="V129" s="92"/>
      <c r="W129" s="92"/>
    </row>
    <row r="130" spans="1:23" s="20" customFormat="1" hidden="1">
      <c r="A130" s="9">
        <v>44263</v>
      </c>
      <c r="B130" s="10" t="s">
        <v>43</v>
      </c>
      <c r="C130" s="11" t="s">
        <v>2693</v>
      </c>
      <c r="D130" s="228" t="s">
        <v>2694</v>
      </c>
      <c r="E130" s="78" t="s">
        <v>1562</v>
      </c>
      <c r="F130" s="11" t="s">
        <v>1563</v>
      </c>
      <c r="G130" s="56">
        <v>1</v>
      </c>
      <c r="H130" s="183">
        <v>68500</v>
      </c>
      <c r="I130" s="86">
        <f t="shared" si="5"/>
        <v>68500</v>
      </c>
      <c r="J130" s="29"/>
      <c r="K130" s="320">
        <f t="shared" si="6"/>
        <v>68500</v>
      </c>
      <c r="L130" s="119"/>
      <c r="M130" s="29">
        <v>-2967</v>
      </c>
      <c r="N130" s="92">
        <f t="shared" si="7"/>
        <v>65533</v>
      </c>
      <c r="O130" s="10" t="s">
        <v>43</v>
      </c>
      <c r="P130" s="95" t="s">
        <v>2695</v>
      </c>
      <c r="Q130" s="10" t="s">
        <v>40</v>
      </c>
      <c r="R130" s="29"/>
      <c r="S130" s="228" t="s">
        <v>2696</v>
      </c>
      <c r="T130" s="29"/>
      <c r="U130" s="29"/>
      <c r="V130" s="92"/>
      <c r="W130" s="92"/>
    </row>
    <row r="131" spans="1:23" s="20" customFormat="1" hidden="1">
      <c r="A131" s="9">
        <v>44263</v>
      </c>
      <c r="B131" s="10" t="s">
        <v>43</v>
      </c>
      <c r="C131" s="10" t="s">
        <v>2697</v>
      </c>
      <c r="D131" s="228" t="s">
        <v>2698</v>
      </c>
      <c r="E131" s="10" t="s">
        <v>2699</v>
      </c>
      <c r="F131" s="10" t="s">
        <v>2700</v>
      </c>
      <c r="G131" s="56">
        <v>1</v>
      </c>
      <c r="H131" s="183">
        <v>96000</v>
      </c>
      <c r="I131" s="86">
        <f t="shared" ref="I131:I241" si="9">H131*G131</f>
        <v>96000</v>
      </c>
      <c r="J131" s="29"/>
      <c r="K131" s="320">
        <f t="shared" ref="K131:K194" si="10">I131-J131</f>
        <v>96000</v>
      </c>
      <c r="L131" s="119"/>
      <c r="M131" s="29">
        <v>-4157</v>
      </c>
      <c r="N131" s="92">
        <f t="shared" ref="N131:N194" si="11">K131+L131+M131</f>
        <v>91843</v>
      </c>
      <c r="O131" s="10" t="s">
        <v>43</v>
      </c>
      <c r="P131" s="95" t="s">
        <v>2701</v>
      </c>
      <c r="Q131" s="10" t="s">
        <v>54</v>
      </c>
      <c r="R131" s="29"/>
      <c r="S131" s="12" t="s">
        <v>2702</v>
      </c>
      <c r="T131" s="29"/>
      <c r="U131" s="29"/>
      <c r="V131" s="92"/>
      <c r="W131" s="92"/>
    </row>
    <row r="132" spans="1:23" s="20" customFormat="1" ht="15.6" hidden="1">
      <c r="A132" s="9">
        <v>44263</v>
      </c>
      <c r="B132" s="10" t="s">
        <v>177</v>
      </c>
      <c r="C132" s="10" t="s">
        <v>2703</v>
      </c>
      <c r="D132" s="228" t="s">
        <v>2704</v>
      </c>
      <c r="E132" s="448" t="s">
        <v>2705</v>
      </c>
      <c r="F132" s="448" t="s">
        <v>2706</v>
      </c>
      <c r="G132" s="56">
        <v>1</v>
      </c>
      <c r="H132" s="183">
        <v>86000</v>
      </c>
      <c r="I132" s="86">
        <f t="shared" si="9"/>
        <v>86000</v>
      </c>
      <c r="J132" s="29"/>
      <c r="K132" s="320">
        <f t="shared" si="10"/>
        <v>86000</v>
      </c>
      <c r="L132" s="119">
        <v>50000</v>
      </c>
      <c r="M132" s="29"/>
      <c r="N132" s="92">
        <f t="shared" si="11"/>
        <v>136000</v>
      </c>
      <c r="O132" s="10" t="s">
        <v>177</v>
      </c>
      <c r="P132" s="95">
        <v>553017436030162</v>
      </c>
      <c r="Q132" s="10" t="s">
        <v>54</v>
      </c>
      <c r="R132" s="29"/>
      <c r="S132" s="12"/>
      <c r="T132" s="29"/>
      <c r="U132" s="29"/>
      <c r="V132" s="92"/>
      <c r="W132" s="92"/>
    </row>
    <row r="133" spans="1:23" s="20" customFormat="1" ht="15" hidden="1" customHeight="1">
      <c r="A133" s="9">
        <v>44263</v>
      </c>
      <c r="B133" s="10" t="s">
        <v>177</v>
      </c>
      <c r="C133" s="10" t="s">
        <v>2703</v>
      </c>
      <c r="D133" s="228" t="s">
        <v>2704</v>
      </c>
      <c r="E133" s="448" t="s">
        <v>88</v>
      </c>
      <c r="F133" s="448" t="s">
        <v>111</v>
      </c>
      <c r="G133" s="56">
        <v>1</v>
      </c>
      <c r="H133" s="183">
        <v>370000</v>
      </c>
      <c r="I133" s="86">
        <f t="shared" si="9"/>
        <v>370000</v>
      </c>
      <c r="J133" s="29"/>
      <c r="K133" s="320">
        <f t="shared" si="10"/>
        <v>370000</v>
      </c>
      <c r="L133" s="119"/>
      <c r="M133" s="29"/>
      <c r="N133" s="92">
        <f t="shared" si="11"/>
        <v>370000</v>
      </c>
      <c r="O133" s="10" t="s">
        <v>177</v>
      </c>
      <c r="P133" s="104" t="s">
        <v>2707</v>
      </c>
      <c r="Q133" s="10" t="s">
        <v>54</v>
      </c>
      <c r="R133" s="29"/>
      <c r="S133" s="12"/>
      <c r="T133" s="29"/>
      <c r="U133" s="29"/>
      <c r="V133" s="92"/>
      <c r="W133" s="92"/>
    </row>
    <row r="134" spans="1:23" s="20" customFormat="1" ht="15.6" hidden="1">
      <c r="A134" s="9">
        <v>44263</v>
      </c>
      <c r="B134" s="10" t="s">
        <v>177</v>
      </c>
      <c r="C134" s="11" t="s">
        <v>2708</v>
      </c>
      <c r="D134" s="228" t="s">
        <v>2709</v>
      </c>
      <c r="E134" s="15" t="s">
        <v>872</v>
      </c>
      <c r="F134" s="15" t="s">
        <v>2710</v>
      </c>
      <c r="G134" s="56">
        <v>1</v>
      </c>
      <c r="H134" s="183">
        <v>71000</v>
      </c>
      <c r="I134" s="86">
        <f t="shared" si="9"/>
        <v>71000</v>
      </c>
      <c r="J134" s="29"/>
      <c r="K134" s="320">
        <f t="shared" si="10"/>
        <v>71000</v>
      </c>
      <c r="L134" s="119">
        <v>28500</v>
      </c>
      <c r="M134" s="29"/>
      <c r="N134" s="92">
        <f t="shared" si="11"/>
        <v>99500</v>
      </c>
      <c r="O134" s="10" t="s">
        <v>177</v>
      </c>
      <c r="P134" s="95">
        <v>553471600935558</v>
      </c>
      <c r="Q134" s="10" t="s">
        <v>54</v>
      </c>
      <c r="R134" s="29"/>
      <c r="S134" s="12"/>
      <c r="T134" s="29"/>
      <c r="U134" s="29"/>
      <c r="V134" s="92"/>
      <c r="W134" s="92"/>
    </row>
    <row r="135" spans="1:23" s="20" customFormat="1" ht="15.6" hidden="1">
      <c r="A135" s="9">
        <v>44263</v>
      </c>
      <c r="B135" s="337" t="s">
        <v>313</v>
      </c>
      <c r="C135" s="337" t="s">
        <v>2711</v>
      </c>
      <c r="D135" s="228" t="s">
        <v>2712</v>
      </c>
      <c r="E135" s="449" t="s">
        <v>2713</v>
      </c>
      <c r="F135" s="449" t="s">
        <v>1315</v>
      </c>
      <c r="G135" s="319">
        <v>1</v>
      </c>
      <c r="H135" s="183">
        <v>88000</v>
      </c>
      <c r="I135" s="86">
        <f t="shared" si="9"/>
        <v>88000</v>
      </c>
      <c r="J135" s="29"/>
      <c r="K135" s="320">
        <f t="shared" si="10"/>
        <v>88000</v>
      </c>
      <c r="L135" s="86">
        <v>13061</v>
      </c>
      <c r="M135" s="92"/>
      <c r="N135" s="92">
        <f t="shared" si="11"/>
        <v>101061</v>
      </c>
      <c r="O135" s="337" t="s">
        <v>313</v>
      </c>
      <c r="P135" s="29"/>
      <c r="Q135" s="337" t="s">
        <v>40</v>
      </c>
      <c r="R135" s="29"/>
      <c r="S135" s="110"/>
      <c r="T135" s="29"/>
      <c r="U135" s="29"/>
      <c r="V135" s="92"/>
      <c r="W135" s="92"/>
    </row>
    <row r="136" spans="1:23" s="20" customFormat="1" hidden="1">
      <c r="A136" s="9">
        <v>44263</v>
      </c>
      <c r="B136" s="337" t="s">
        <v>313</v>
      </c>
      <c r="C136" s="337" t="s">
        <v>2711</v>
      </c>
      <c r="D136" s="228" t="s">
        <v>2714</v>
      </c>
      <c r="E136" s="450" t="s">
        <v>2715</v>
      </c>
      <c r="F136" s="450" t="s">
        <v>2716</v>
      </c>
      <c r="G136" s="319">
        <v>1</v>
      </c>
      <c r="H136" s="183">
        <v>77000</v>
      </c>
      <c r="I136" s="86">
        <f t="shared" si="9"/>
        <v>77000</v>
      </c>
      <c r="J136" s="29"/>
      <c r="K136" s="320">
        <f t="shared" si="10"/>
        <v>77000</v>
      </c>
      <c r="L136" s="86"/>
      <c r="M136" s="92"/>
      <c r="N136" s="92">
        <f t="shared" si="11"/>
        <v>77000</v>
      </c>
      <c r="O136" s="337" t="s">
        <v>313</v>
      </c>
      <c r="P136" s="29"/>
      <c r="Q136" s="337" t="s">
        <v>40</v>
      </c>
      <c r="R136" s="29"/>
      <c r="S136" s="29"/>
      <c r="T136" s="29"/>
      <c r="U136" s="29"/>
      <c r="V136" s="92"/>
      <c r="W136" s="92"/>
    </row>
    <row r="137" spans="1:23" s="20" customFormat="1" ht="15.6" hidden="1">
      <c r="A137" s="9">
        <v>44263</v>
      </c>
      <c r="B137" s="337" t="s">
        <v>43</v>
      </c>
      <c r="C137" s="337" t="s">
        <v>2717</v>
      </c>
      <c r="D137" s="228" t="s">
        <v>2718</v>
      </c>
      <c r="E137" s="451" t="s">
        <v>2719</v>
      </c>
      <c r="F137" s="452" t="s">
        <v>2720</v>
      </c>
      <c r="G137" s="319">
        <v>1</v>
      </c>
      <c r="H137" s="183">
        <v>65500</v>
      </c>
      <c r="I137" s="86">
        <f t="shared" si="9"/>
        <v>65500</v>
      </c>
      <c r="J137" s="29"/>
      <c r="K137" s="320">
        <f t="shared" si="10"/>
        <v>65500</v>
      </c>
      <c r="L137" s="86"/>
      <c r="M137" s="92">
        <v>-2837</v>
      </c>
      <c r="N137" s="92">
        <f t="shared" si="11"/>
        <v>62663</v>
      </c>
      <c r="O137" s="337" t="s">
        <v>43</v>
      </c>
      <c r="P137" s="335" t="s">
        <v>2721</v>
      </c>
      <c r="Q137" s="337" t="s">
        <v>54</v>
      </c>
      <c r="R137" s="335"/>
      <c r="S137" s="12" t="s">
        <v>2722</v>
      </c>
      <c r="T137" s="29"/>
      <c r="U137" s="29"/>
      <c r="V137" s="92"/>
      <c r="W137" s="92"/>
    </row>
    <row r="138" spans="1:23" s="20" customFormat="1" ht="15.6">
      <c r="A138" s="9">
        <v>44264</v>
      </c>
      <c r="B138" s="10" t="s">
        <v>23</v>
      </c>
      <c r="C138" s="11" t="s">
        <v>2723</v>
      </c>
      <c r="D138" s="228" t="s">
        <v>2724</v>
      </c>
      <c r="E138" s="15" t="s">
        <v>2547</v>
      </c>
      <c r="F138" s="15" t="s">
        <v>2548</v>
      </c>
      <c r="G138" s="56">
        <v>1</v>
      </c>
      <c r="H138" s="183">
        <v>101000</v>
      </c>
      <c r="I138" s="86">
        <f t="shared" si="9"/>
        <v>101000</v>
      </c>
      <c r="J138" s="29">
        <f>I138*30%</f>
        <v>30300</v>
      </c>
      <c r="K138" s="320">
        <f t="shared" si="10"/>
        <v>70700</v>
      </c>
      <c r="L138" s="86">
        <v>17000</v>
      </c>
      <c r="M138" s="92"/>
      <c r="N138" s="92">
        <f t="shared" si="11"/>
        <v>87700</v>
      </c>
      <c r="O138" s="10" t="s">
        <v>23</v>
      </c>
      <c r="P138" s="29"/>
      <c r="Q138" s="10" t="s">
        <v>54</v>
      </c>
      <c r="R138" s="29"/>
      <c r="S138" s="29"/>
      <c r="T138" s="29"/>
      <c r="U138" s="29"/>
      <c r="V138" s="92"/>
      <c r="W138" s="92"/>
    </row>
    <row r="139" spans="1:23" s="20" customFormat="1" ht="15.6">
      <c r="A139" s="9">
        <v>44264</v>
      </c>
      <c r="B139" s="10" t="s">
        <v>23</v>
      </c>
      <c r="C139" s="11" t="s">
        <v>2725</v>
      </c>
      <c r="D139" s="228" t="s">
        <v>2726</v>
      </c>
      <c r="E139" s="130" t="s">
        <v>1042</v>
      </c>
      <c r="F139" s="130" t="s">
        <v>1043</v>
      </c>
      <c r="G139" s="56">
        <v>2</v>
      </c>
      <c r="H139" s="183">
        <v>115500</v>
      </c>
      <c r="I139" s="86">
        <f t="shared" si="9"/>
        <v>231000</v>
      </c>
      <c r="J139" s="29"/>
      <c r="K139" s="320">
        <f t="shared" si="10"/>
        <v>231000</v>
      </c>
      <c r="L139" s="86">
        <v>32000</v>
      </c>
      <c r="M139" s="92"/>
      <c r="N139" s="92">
        <f t="shared" si="11"/>
        <v>263000</v>
      </c>
      <c r="O139" s="10" t="s">
        <v>23</v>
      </c>
      <c r="P139" s="167"/>
      <c r="Q139" s="10" t="s">
        <v>40</v>
      </c>
      <c r="R139" s="29"/>
      <c r="S139" s="167"/>
      <c r="T139" s="29"/>
      <c r="U139" s="29"/>
      <c r="V139" s="92"/>
      <c r="W139" s="92"/>
    </row>
    <row r="140" spans="1:23" s="20" customFormat="1" ht="15.6">
      <c r="A140" s="9">
        <v>44264</v>
      </c>
      <c r="B140" s="10" t="s">
        <v>23</v>
      </c>
      <c r="C140" s="11" t="s">
        <v>2725</v>
      </c>
      <c r="D140" s="228" t="s">
        <v>2726</v>
      </c>
      <c r="E140" s="130" t="s">
        <v>2727</v>
      </c>
      <c r="F140" s="130" t="s">
        <v>2728</v>
      </c>
      <c r="G140" s="56">
        <v>2</v>
      </c>
      <c r="H140" s="183">
        <v>64000</v>
      </c>
      <c r="I140" s="86">
        <f t="shared" si="9"/>
        <v>128000</v>
      </c>
      <c r="J140" s="29"/>
      <c r="K140" s="320">
        <f t="shared" si="10"/>
        <v>128000</v>
      </c>
      <c r="L140" s="86"/>
      <c r="M140" s="92"/>
      <c r="N140" s="92">
        <f t="shared" si="11"/>
        <v>128000</v>
      </c>
      <c r="O140" s="10" t="s">
        <v>23</v>
      </c>
      <c r="P140" s="168"/>
      <c r="Q140" s="10" t="s">
        <v>40</v>
      </c>
      <c r="R140" s="29"/>
      <c r="S140" s="169"/>
      <c r="T140" s="29"/>
      <c r="U140" s="29"/>
      <c r="V140" s="92"/>
      <c r="W140" s="92"/>
    </row>
    <row r="141" spans="1:23" s="20" customFormat="1" ht="15.6">
      <c r="A141" s="9">
        <v>44264</v>
      </c>
      <c r="B141" s="10" t="s">
        <v>23</v>
      </c>
      <c r="C141" s="11" t="s">
        <v>2729</v>
      </c>
      <c r="D141" s="228" t="s">
        <v>2730</v>
      </c>
      <c r="E141" s="15" t="s">
        <v>2731</v>
      </c>
      <c r="F141" s="15" t="s">
        <v>2732</v>
      </c>
      <c r="G141" s="56">
        <v>1</v>
      </c>
      <c r="H141" s="183">
        <v>90000</v>
      </c>
      <c r="I141" s="86">
        <f t="shared" si="9"/>
        <v>90000</v>
      </c>
      <c r="J141" s="29"/>
      <c r="K141" s="320">
        <f t="shared" si="10"/>
        <v>90000</v>
      </c>
      <c r="L141" s="86">
        <v>17000</v>
      </c>
      <c r="M141" s="92"/>
      <c r="N141" s="92">
        <f t="shared" si="11"/>
        <v>107000</v>
      </c>
      <c r="O141" s="10" t="s">
        <v>23</v>
      </c>
      <c r="P141" s="29"/>
      <c r="Q141" s="10" t="s">
        <v>40</v>
      </c>
      <c r="R141" s="29"/>
      <c r="S141" s="29"/>
      <c r="T141" s="29"/>
      <c r="U141" s="29"/>
      <c r="V141" s="92"/>
      <c r="W141" s="92"/>
    </row>
    <row r="142" spans="1:23" s="20" customFormat="1" ht="15.6">
      <c r="A142" s="9">
        <v>44264</v>
      </c>
      <c r="B142" s="10" t="s">
        <v>23</v>
      </c>
      <c r="C142" s="11" t="s">
        <v>2733</v>
      </c>
      <c r="D142" s="228" t="s">
        <v>2734</v>
      </c>
      <c r="E142" s="15" t="s">
        <v>2735</v>
      </c>
      <c r="F142" s="15" t="s">
        <v>583</v>
      </c>
      <c r="G142" s="56">
        <v>1</v>
      </c>
      <c r="H142" s="183">
        <v>80500</v>
      </c>
      <c r="I142" s="86">
        <f t="shared" si="9"/>
        <v>80500</v>
      </c>
      <c r="J142" s="29"/>
      <c r="K142" s="320">
        <f t="shared" si="10"/>
        <v>80500</v>
      </c>
      <c r="L142" s="86">
        <v>36000</v>
      </c>
      <c r="M142" s="92"/>
      <c r="N142" s="92">
        <f t="shared" si="11"/>
        <v>116500</v>
      </c>
      <c r="O142" s="10" t="s">
        <v>23</v>
      </c>
      <c r="P142" s="29"/>
      <c r="Q142" s="10" t="s">
        <v>54</v>
      </c>
      <c r="R142" s="29"/>
      <c r="S142" s="29"/>
      <c r="T142" s="29"/>
      <c r="U142" s="29"/>
      <c r="V142" s="92"/>
      <c r="W142" s="92"/>
    </row>
    <row r="143" spans="1:23" s="20" customFormat="1" ht="172.8">
      <c r="A143" s="9">
        <v>44264</v>
      </c>
      <c r="B143" s="10" t="s">
        <v>313</v>
      </c>
      <c r="C143" s="11" t="s">
        <v>2736</v>
      </c>
      <c r="D143" s="1096" t="s">
        <v>9417</v>
      </c>
      <c r="E143" s="15" t="s">
        <v>2462</v>
      </c>
      <c r="F143" s="33" t="s">
        <v>2463</v>
      </c>
      <c r="G143" s="56">
        <v>1</v>
      </c>
      <c r="H143" s="183">
        <v>126000</v>
      </c>
      <c r="I143" s="86">
        <f t="shared" si="9"/>
        <v>126000</v>
      </c>
      <c r="J143" s="29">
        <f>I143*20%</f>
        <v>25200</v>
      </c>
      <c r="K143" s="320">
        <f t="shared" si="10"/>
        <v>100800</v>
      </c>
      <c r="L143" s="86">
        <v>61023</v>
      </c>
      <c r="M143" s="92"/>
      <c r="N143" s="92">
        <f t="shared" si="11"/>
        <v>161823</v>
      </c>
      <c r="O143" s="10" t="s">
        <v>313</v>
      </c>
      <c r="P143" s="95"/>
      <c r="Q143" s="10" t="s">
        <v>40</v>
      </c>
      <c r="R143" s="12"/>
      <c r="S143" s="29"/>
      <c r="T143" s="29"/>
      <c r="U143" s="29"/>
      <c r="V143" s="92"/>
      <c r="W143" s="92"/>
    </row>
    <row r="144" spans="1:23" s="20" customFormat="1" ht="15.6">
      <c r="A144" s="9">
        <v>44264</v>
      </c>
      <c r="B144" s="10" t="s">
        <v>23</v>
      </c>
      <c r="C144" s="11" t="s">
        <v>2737</v>
      </c>
      <c r="D144" s="228" t="s">
        <v>2738</v>
      </c>
      <c r="E144" s="15" t="s">
        <v>2739</v>
      </c>
      <c r="F144" s="15" t="s">
        <v>2740</v>
      </c>
      <c r="G144" s="56">
        <v>1</v>
      </c>
      <c r="H144" s="183">
        <v>158000</v>
      </c>
      <c r="I144" s="86">
        <f t="shared" si="9"/>
        <v>158000</v>
      </c>
      <c r="J144" s="29"/>
      <c r="K144" s="320">
        <f t="shared" si="10"/>
        <v>158000</v>
      </c>
      <c r="L144" s="86">
        <v>17000</v>
      </c>
      <c r="M144" s="92"/>
      <c r="N144" s="92">
        <f t="shared" si="11"/>
        <v>175000</v>
      </c>
      <c r="O144" s="10" t="s">
        <v>23</v>
      </c>
      <c r="P144" s="95"/>
      <c r="Q144" s="10" t="s">
        <v>40</v>
      </c>
      <c r="R144" s="12"/>
      <c r="S144" s="29"/>
      <c r="T144" s="29"/>
      <c r="U144" s="29"/>
      <c r="V144" s="92"/>
      <c r="W144" s="92"/>
    </row>
    <row r="145" spans="1:23" s="20" customFormat="1" ht="15.6">
      <c r="A145" s="9">
        <v>44264</v>
      </c>
      <c r="B145" s="10" t="s">
        <v>23</v>
      </c>
      <c r="C145" s="11" t="s">
        <v>2741</v>
      </c>
      <c r="D145" s="228" t="s">
        <v>2742</v>
      </c>
      <c r="E145" s="10" t="s">
        <v>2743</v>
      </c>
      <c r="F145" s="15" t="s">
        <v>2744</v>
      </c>
      <c r="G145" s="56">
        <v>1</v>
      </c>
      <c r="H145" s="183">
        <v>118000</v>
      </c>
      <c r="I145" s="86">
        <f t="shared" si="9"/>
        <v>118000</v>
      </c>
      <c r="J145" s="29"/>
      <c r="K145" s="320">
        <f t="shared" si="10"/>
        <v>118000</v>
      </c>
      <c r="L145" s="86">
        <v>15000</v>
      </c>
      <c r="M145" s="92"/>
      <c r="N145" s="92">
        <f t="shared" si="11"/>
        <v>133000</v>
      </c>
      <c r="O145" s="10" t="s">
        <v>23</v>
      </c>
      <c r="P145" s="95"/>
      <c r="Q145" s="10" t="s">
        <v>40</v>
      </c>
      <c r="R145" s="12"/>
      <c r="S145" s="29"/>
      <c r="T145" s="29"/>
      <c r="U145" s="29"/>
      <c r="V145" s="92"/>
      <c r="W145" s="92"/>
    </row>
    <row r="146" spans="1:23" s="20" customFormat="1" ht="16.8" hidden="1">
      <c r="A146" s="9">
        <v>44264</v>
      </c>
      <c r="B146" s="10" t="s">
        <v>313</v>
      </c>
      <c r="C146" s="70" t="s">
        <v>2745</v>
      </c>
      <c r="D146" s="228" t="s">
        <v>2746</v>
      </c>
      <c r="E146" s="15" t="s">
        <v>2747</v>
      </c>
      <c r="F146" s="15" t="s">
        <v>2748</v>
      </c>
      <c r="G146" s="56">
        <v>1</v>
      </c>
      <c r="H146" s="183">
        <v>85500</v>
      </c>
      <c r="I146" s="86">
        <f t="shared" si="9"/>
        <v>85500</v>
      </c>
      <c r="J146" s="29"/>
      <c r="K146" s="320">
        <f t="shared" si="10"/>
        <v>85500</v>
      </c>
      <c r="L146" s="86">
        <v>41013</v>
      </c>
      <c r="M146" s="92"/>
      <c r="N146" s="92">
        <f t="shared" si="11"/>
        <v>126513</v>
      </c>
      <c r="O146" s="10" t="s">
        <v>313</v>
      </c>
      <c r="P146" s="95"/>
      <c r="Q146" s="10" t="s">
        <v>40</v>
      </c>
      <c r="R146" s="12"/>
      <c r="S146" s="167"/>
      <c r="T146" s="92"/>
      <c r="U146" s="92"/>
      <c r="V146" s="92"/>
      <c r="W146" s="92"/>
    </row>
    <row r="147" spans="1:23" s="20" customFormat="1" ht="15.6">
      <c r="A147" s="9">
        <v>44264</v>
      </c>
      <c r="B147" s="10" t="s">
        <v>23</v>
      </c>
      <c r="C147" s="11" t="s">
        <v>2749</v>
      </c>
      <c r="D147" s="228" t="s">
        <v>2750</v>
      </c>
      <c r="E147" s="15" t="s">
        <v>2462</v>
      </c>
      <c r="F147" s="33" t="s">
        <v>2463</v>
      </c>
      <c r="G147" s="56">
        <v>1</v>
      </c>
      <c r="H147" s="183">
        <v>126000</v>
      </c>
      <c r="I147" s="86">
        <f t="shared" si="9"/>
        <v>126000</v>
      </c>
      <c r="J147" s="29"/>
      <c r="K147" s="320">
        <f t="shared" si="10"/>
        <v>126000</v>
      </c>
      <c r="L147" s="86">
        <v>15000</v>
      </c>
      <c r="M147" s="92"/>
      <c r="N147" s="92">
        <f t="shared" si="11"/>
        <v>141000</v>
      </c>
      <c r="O147" s="10" t="s">
        <v>23</v>
      </c>
      <c r="P147" s="335"/>
      <c r="Q147" s="10" t="s">
        <v>40</v>
      </c>
      <c r="R147" s="92"/>
      <c r="S147" s="169"/>
      <c r="T147" s="92"/>
      <c r="U147" s="92"/>
      <c r="V147" s="92"/>
      <c r="W147" s="92"/>
    </row>
    <row r="148" spans="1:23" s="20" customFormat="1" ht="15.6">
      <c r="A148" s="9">
        <v>44264</v>
      </c>
      <c r="B148" s="10" t="s">
        <v>23</v>
      </c>
      <c r="C148" s="11" t="s">
        <v>2751</v>
      </c>
      <c r="D148" s="228" t="s">
        <v>2752</v>
      </c>
      <c r="E148" s="22" t="s">
        <v>2753</v>
      </c>
      <c r="F148" s="22" t="s">
        <v>2754</v>
      </c>
      <c r="G148" s="56">
        <v>3</v>
      </c>
      <c r="H148" s="183">
        <v>100000</v>
      </c>
      <c r="I148" s="86">
        <f t="shared" si="9"/>
        <v>300000</v>
      </c>
      <c r="J148" s="29">
        <f>I148*20%</f>
        <v>60000</v>
      </c>
      <c r="K148" s="320">
        <f t="shared" si="10"/>
        <v>240000</v>
      </c>
      <c r="L148" s="86">
        <v>5000</v>
      </c>
      <c r="M148" s="92"/>
      <c r="N148" s="92">
        <f t="shared" si="11"/>
        <v>245000</v>
      </c>
      <c r="O148" s="10" t="s">
        <v>23</v>
      </c>
      <c r="P148" s="106"/>
      <c r="Q148" s="10" t="s">
        <v>28</v>
      </c>
      <c r="R148" s="92"/>
      <c r="S148" s="23"/>
      <c r="T148" s="92"/>
      <c r="U148" s="92"/>
      <c r="V148" s="92"/>
      <c r="W148" s="92"/>
    </row>
    <row r="149" spans="1:23" s="20" customFormat="1" ht="15.6">
      <c r="A149" s="9">
        <v>44264</v>
      </c>
      <c r="B149" s="10" t="s">
        <v>23</v>
      </c>
      <c r="C149" s="11" t="s">
        <v>2755</v>
      </c>
      <c r="D149" s="228" t="s">
        <v>2756</v>
      </c>
      <c r="E149" s="284" t="s">
        <v>2757</v>
      </c>
      <c r="F149" s="400" t="s">
        <v>265</v>
      </c>
      <c r="G149" s="56">
        <v>1</v>
      </c>
      <c r="H149" s="183">
        <v>121000</v>
      </c>
      <c r="I149" s="86">
        <f t="shared" si="9"/>
        <v>121000</v>
      </c>
      <c r="J149" s="29"/>
      <c r="K149" s="320">
        <f t="shared" si="10"/>
        <v>121000</v>
      </c>
      <c r="L149" s="86">
        <v>7000</v>
      </c>
      <c r="M149" s="92"/>
      <c r="N149" s="92">
        <f t="shared" si="11"/>
        <v>128000</v>
      </c>
      <c r="O149" s="10" t="s">
        <v>23</v>
      </c>
      <c r="P149" s="107"/>
      <c r="Q149" s="10" t="s">
        <v>28</v>
      </c>
      <c r="R149" s="227"/>
      <c r="S149" s="122"/>
      <c r="T149" s="92"/>
      <c r="U149" s="92"/>
      <c r="V149" s="92"/>
      <c r="W149" s="92"/>
    </row>
    <row r="150" spans="1:23" s="20" customFormat="1" ht="15.6">
      <c r="A150" s="9">
        <v>44264</v>
      </c>
      <c r="B150" s="10" t="s">
        <v>23</v>
      </c>
      <c r="C150" s="11" t="s">
        <v>2755</v>
      </c>
      <c r="D150" s="228" t="s">
        <v>2756</v>
      </c>
      <c r="E150" s="98" t="s">
        <v>1911</v>
      </c>
      <c r="F150" s="98" t="s">
        <v>1912</v>
      </c>
      <c r="G150" s="56">
        <v>1</v>
      </c>
      <c r="H150" s="183">
        <v>98000</v>
      </c>
      <c r="I150" s="86">
        <f t="shared" si="9"/>
        <v>98000</v>
      </c>
      <c r="J150" s="29"/>
      <c r="K150" s="320">
        <f t="shared" si="10"/>
        <v>98000</v>
      </c>
      <c r="L150" s="86"/>
      <c r="M150" s="92"/>
      <c r="N150" s="92">
        <f t="shared" si="11"/>
        <v>98000</v>
      </c>
      <c r="O150" s="10" t="s">
        <v>23</v>
      </c>
      <c r="P150" s="23"/>
      <c r="Q150" s="10" t="s">
        <v>28</v>
      </c>
      <c r="R150" s="92"/>
      <c r="S150" s="122"/>
      <c r="T150" s="92"/>
      <c r="U150" s="92"/>
      <c r="V150" s="92"/>
      <c r="W150" s="92"/>
    </row>
    <row r="151" spans="1:23" s="20" customFormat="1" ht="15.6">
      <c r="A151" s="9">
        <v>44264</v>
      </c>
      <c r="B151" s="10" t="s">
        <v>23</v>
      </c>
      <c r="C151" s="11" t="s">
        <v>2758</v>
      </c>
      <c r="D151" s="228" t="s">
        <v>2759</v>
      </c>
      <c r="E151" s="311" t="s">
        <v>1529</v>
      </c>
      <c r="F151" s="15" t="s">
        <v>1530</v>
      </c>
      <c r="G151" s="56">
        <v>1</v>
      </c>
      <c r="H151" s="183">
        <v>104000</v>
      </c>
      <c r="I151" s="86">
        <f t="shared" si="9"/>
        <v>104000</v>
      </c>
      <c r="J151" s="29"/>
      <c r="K151" s="320">
        <f t="shared" si="10"/>
        <v>104000</v>
      </c>
      <c r="L151" s="86">
        <v>11000</v>
      </c>
      <c r="M151" s="92"/>
      <c r="N151" s="92">
        <f t="shared" si="11"/>
        <v>115000</v>
      </c>
      <c r="O151" s="10" t="s">
        <v>23</v>
      </c>
      <c r="P151" s="95"/>
      <c r="Q151" s="10" t="s">
        <v>40</v>
      </c>
      <c r="R151" s="12"/>
      <c r="S151" s="110"/>
      <c r="T151" s="92"/>
      <c r="U151" s="92"/>
      <c r="V151" s="92"/>
      <c r="W151" s="92"/>
    </row>
    <row r="152" spans="1:23" s="20" customFormat="1" ht="15.6" hidden="1">
      <c r="A152" s="9">
        <v>44264</v>
      </c>
      <c r="B152" s="10" t="s">
        <v>313</v>
      </c>
      <c r="C152" s="10" t="s">
        <v>2760</v>
      </c>
      <c r="D152" s="228" t="s">
        <v>2761</v>
      </c>
      <c r="E152" s="22" t="s">
        <v>2762</v>
      </c>
      <c r="F152" s="94" t="s">
        <v>2763</v>
      </c>
      <c r="G152" s="56">
        <v>1</v>
      </c>
      <c r="H152" s="183">
        <v>158000</v>
      </c>
      <c r="I152" s="86">
        <f t="shared" si="9"/>
        <v>158000</v>
      </c>
      <c r="J152" s="29">
        <f>I152*20%</f>
        <v>31600</v>
      </c>
      <c r="K152" s="320">
        <f t="shared" si="10"/>
        <v>126400</v>
      </c>
      <c r="L152" s="86">
        <v>16016</v>
      </c>
      <c r="M152" s="92"/>
      <c r="N152" s="92">
        <f t="shared" si="11"/>
        <v>142416</v>
      </c>
      <c r="O152" s="10" t="s">
        <v>23</v>
      </c>
      <c r="P152" s="23"/>
      <c r="Q152" s="10" t="s">
        <v>40</v>
      </c>
      <c r="R152" s="92"/>
      <c r="S152" s="122"/>
      <c r="T152" s="92"/>
      <c r="U152" s="92"/>
      <c r="V152" s="92"/>
      <c r="W152" s="92"/>
    </row>
    <row r="153" spans="1:23" s="26" customFormat="1" ht="15.6" hidden="1">
      <c r="A153" s="9">
        <v>44264</v>
      </c>
      <c r="B153" s="10" t="s">
        <v>43</v>
      </c>
      <c r="C153" s="11" t="s">
        <v>2764</v>
      </c>
      <c r="D153" s="23" t="s">
        <v>2765</v>
      </c>
      <c r="E153" s="453" t="s">
        <v>2250</v>
      </c>
      <c r="F153" s="453" t="s">
        <v>2251</v>
      </c>
      <c r="G153" s="56">
        <v>1</v>
      </c>
      <c r="H153" s="23">
        <v>83000</v>
      </c>
      <c r="I153" s="23">
        <f t="shared" si="9"/>
        <v>83000</v>
      </c>
      <c r="J153" s="29"/>
      <c r="K153" s="320">
        <f t="shared" si="10"/>
        <v>83000</v>
      </c>
      <c r="L153" s="171">
        <v>20000</v>
      </c>
      <c r="M153" s="23">
        <v>-3594</v>
      </c>
      <c r="N153" s="92">
        <f t="shared" si="11"/>
        <v>99406</v>
      </c>
      <c r="O153" s="10" t="s">
        <v>43</v>
      </c>
      <c r="P153" s="23" t="s">
        <v>2766</v>
      </c>
      <c r="Q153" s="10" t="s">
        <v>54</v>
      </c>
      <c r="R153" s="329"/>
      <c r="S153" s="23"/>
      <c r="T153" s="23"/>
      <c r="U153" s="23"/>
      <c r="V153" s="23"/>
      <c r="W153" s="23"/>
    </row>
    <row r="154" spans="1:23" s="26" customFormat="1" ht="15.6" hidden="1">
      <c r="A154" s="9">
        <v>44264</v>
      </c>
      <c r="B154" s="10" t="s">
        <v>43</v>
      </c>
      <c r="C154" s="11" t="s">
        <v>2767</v>
      </c>
      <c r="D154" s="23" t="s">
        <v>2768</v>
      </c>
      <c r="E154" s="14" t="s">
        <v>1371</v>
      </c>
      <c r="F154" s="339" t="s">
        <v>1372</v>
      </c>
      <c r="G154" s="56">
        <v>1</v>
      </c>
      <c r="H154" s="23">
        <v>98000</v>
      </c>
      <c r="I154" s="23">
        <f t="shared" si="9"/>
        <v>98000</v>
      </c>
      <c r="J154" s="29"/>
      <c r="K154" s="320">
        <f t="shared" si="10"/>
        <v>98000</v>
      </c>
      <c r="L154" s="171">
        <v>13000</v>
      </c>
      <c r="M154" s="23">
        <v>-4243</v>
      </c>
      <c r="N154" s="92">
        <f t="shared" si="11"/>
        <v>106757</v>
      </c>
      <c r="O154" s="10" t="s">
        <v>43</v>
      </c>
      <c r="P154" s="107" t="s">
        <v>2769</v>
      </c>
      <c r="Q154" s="10" t="s">
        <v>54</v>
      </c>
      <c r="R154" s="107"/>
      <c r="S154" s="23"/>
      <c r="T154" s="23"/>
      <c r="U154" s="23"/>
      <c r="V154" s="23"/>
      <c r="W154" s="23"/>
    </row>
    <row r="155" spans="1:23" s="26" customFormat="1" ht="15.6" hidden="1">
      <c r="A155" s="9">
        <v>44264</v>
      </c>
      <c r="B155" s="10" t="s">
        <v>206</v>
      </c>
      <c r="C155" s="10" t="s">
        <v>2770</v>
      </c>
      <c r="D155" s="23" t="s">
        <v>2771</v>
      </c>
      <c r="E155" s="14" t="s">
        <v>2772</v>
      </c>
      <c r="F155" s="339" t="s">
        <v>2773</v>
      </c>
      <c r="G155" s="56">
        <v>1</v>
      </c>
      <c r="H155" s="23">
        <v>74500</v>
      </c>
      <c r="I155" s="23">
        <f t="shared" si="9"/>
        <v>74500</v>
      </c>
      <c r="J155" s="29"/>
      <c r="K155" s="320">
        <f t="shared" si="10"/>
        <v>74500</v>
      </c>
      <c r="L155" s="171">
        <v>7400</v>
      </c>
      <c r="M155" s="23"/>
      <c r="N155" s="92">
        <f t="shared" si="11"/>
        <v>81900</v>
      </c>
      <c r="O155" s="10" t="s">
        <v>206</v>
      </c>
      <c r="P155" s="23"/>
      <c r="Q155" s="10" t="s">
        <v>28</v>
      </c>
      <c r="R155" s="23"/>
      <c r="S155" s="23"/>
      <c r="T155" s="23"/>
      <c r="U155" s="23"/>
      <c r="V155" s="23"/>
      <c r="W155" s="23"/>
    </row>
    <row r="156" spans="1:23" s="23" customFormat="1" ht="15.6" hidden="1">
      <c r="A156" s="9">
        <v>44264</v>
      </c>
      <c r="B156" s="10" t="s">
        <v>43</v>
      </c>
      <c r="C156" s="11" t="s">
        <v>2774</v>
      </c>
      <c r="D156" s="23" t="s">
        <v>2775</v>
      </c>
      <c r="E156" s="71" t="s">
        <v>99</v>
      </c>
      <c r="F156" s="71" t="s">
        <v>120</v>
      </c>
      <c r="G156" s="245">
        <v>1</v>
      </c>
      <c r="H156" s="23">
        <v>133000</v>
      </c>
      <c r="I156" s="23">
        <f t="shared" si="9"/>
        <v>133000</v>
      </c>
      <c r="J156" s="29"/>
      <c r="K156" s="320">
        <f t="shared" si="10"/>
        <v>133000</v>
      </c>
      <c r="L156" s="171"/>
      <c r="M156" s="23">
        <v>-5759</v>
      </c>
      <c r="N156" s="92">
        <f t="shared" si="11"/>
        <v>127241</v>
      </c>
      <c r="O156" s="10" t="s">
        <v>43</v>
      </c>
      <c r="P156" s="23" t="s">
        <v>2776</v>
      </c>
      <c r="Q156" s="10" t="s">
        <v>54</v>
      </c>
      <c r="S156" s="36"/>
    </row>
    <row r="157" spans="1:23" s="26" customFormat="1" ht="15.6">
      <c r="A157" s="9">
        <v>44264</v>
      </c>
      <c r="B157" s="10" t="s">
        <v>23</v>
      </c>
      <c r="C157" s="11" t="s">
        <v>2777</v>
      </c>
      <c r="D157" s="23" t="s">
        <v>2778</v>
      </c>
      <c r="E157" s="74" t="s">
        <v>579</v>
      </c>
      <c r="F157" s="315" t="s">
        <v>72</v>
      </c>
      <c r="G157" s="245">
        <v>1</v>
      </c>
      <c r="H157" s="23">
        <v>108000</v>
      </c>
      <c r="I157" s="23">
        <f t="shared" si="9"/>
        <v>108000</v>
      </c>
      <c r="J157" s="29">
        <f>I157*35%</f>
        <v>37800</v>
      </c>
      <c r="K157" s="320">
        <f t="shared" si="10"/>
        <v>70200</v>
      </c>
      <c r="L157" s="171">
        <v>19000</v>
      </c>
      <c r="M157" s="23"/>
      <c r="N157" s="92">
        <f t="shared" si="11"/>
        <v>89200</v>
      </c>
      <c r="O157" s="10" t="s">
        <v>23</v>
      </c>
      <c r="P157" s="23"/>
      <c r="Q157" s="10" t="s">
        <v>40</v>
      </c>
      <c r="R157" s="23"/>
      <c r="S157" s="23"/>
      <c r="T157" s="23"/>
      <c r="U157" s="23"/>
      <c r="V157" s="23"/>
      <c r="W157" s="23"/>
    </row>
    <row r="158" spans="1:23" s="26" customFormat="1" ht="15.6" hidden="1">
      <c r="A158" s="9">
        <v>44264</v>
      </c>
      <c r="B158" s="10" t="s">
        <v>43</v>
      </c>
      <c r="C158" s="11" t="s">
        <v>2779</v>
      </c>
      <c r="D158" s="23" t="s">
        <v>2780</v>
      </c>
      <c r="E158" s="74" t="s">
        <v>489</v>
      </c>
      <c r="F158" s="74" t="s">
        <v>490</v>
      </c>
      <c r="G158" s="245">
        <v>1</v>
      </c>
      <c r="H158" s="23">
        <v>72000</v>
      </c>
      <c r="I158" s="23">
        <f t="shared" si="9"/>
        <v>72000</v>
      </c>
      <c r="J158" s="29"/>
      <c r="K158" s="320">
        <f t="shared" si="10"/>
        <v>72000</v>
      </c>
      <c r="L158" s="171">
        <v>10000</v>
      </c>
      <c r="M158" s="23">
        <v>-3118</v>
      </c>
      <c r="N158" s="92">
        <f t="shared" si="11"/>
        <v>78882</v>
      </c>
      <c r="O158" s="10" t="s">
        <v>43</v>
      </c>
      <c r="P158" s="12" t="s">
        <v>2781</v>
      </c>
      <c r="Q158" s="10" t="s">
        <v>54</v>
      </c>
      <c r="R158" s="23"/>
      <c r="S158" s="12"/>
      <c r="T158" s="23"/>
      <c r="U158" s="23"/>
      <c r="V158" s="23"/>
      <c r="W158" s="23"/>
    </row>
    <row r="159" spans="1:23" s="26" customFormat="1" ht="15.6" hidden="1">
      <c r="A159" s="9">
        <v>44264</v>
      </c>
      <c r="B159" s="10" t="s">
        <v>313</v>
      </c>
      <c r="C159" s="442" t="s">
        <v>2782</v>
      </c>
      <c r="D159" s="23" t="s">
        <v>2783</v>
      </c>
      <c r="E159" s="15" t="s">
        <v>2462</v>
      </c>
      <c r="F159" s="33" t="s">
        <v>2463</v>
      </c>
      <c r="G159" s="245">
        <v>1</v>
      </c>
      <c r="H159" s="23">
        <v>126000</v>
      </c>
      <c r="I159" s="23">
        <f t="shared" si="9"/>
        <v>126000</v>
      </c>
      <c r="J159" s="29"/>
      <c r="K159" s="320">
        <f t="shared" si="10"/>
        <v>126000</v>
      </c>
      <c r="L159" s="171">
        <v>11072</v>
      </c>
      <c r="M159" s="23"/>
      <c r="N159" s="92">
        <f t="shared" si="11"/>
        <v>137072</v>
      </c>
      <c r="O159" s="10" t="s">
        <v>313</v>
      </c>
      <c r="P159" s="12"/>
      <c r="Q159" s="337" t="s">
        <v>40</v>
      </c>
      <c r="R159" s="23"/>
      <c r="S159" s="12"/>
      <c r="T159" s="23"/>
      <c r="U159" s="23"/>
      <c r="V159" s="23"/>
      <c r="W159" s="23"/>
    </row>
    <row r="160" spans="1:23" s="26" customFormat="1" ht="15.6">
      <c r="A160" s="9">
        <v>44265</v>
      </c>
      <c r="B160" s="10" t="s">
        <v>23</v>
      </c>
      <c r="C160" s="10" t="s">
        <v>1271</v>
      </c>
      <c r="D160" s="23" t="s">
        <v>31</v>
      </c>
      <c r="E160" s="428" t="s">
        <v>2784</v>
      </c>
      <c r="F160" s="454" t="s">
        <v>2785</v>
      </c>
      <c r="G160" s="30">
        <v>1</v>
      </c>
      <c r="H160" s="23">
        <v>75500</v>
      </c>
      <c r="I160" s="23">
        <f t="shared" si="9"/>
        <v>75500</v>
      </c>
      <c r="J160" s="29"/>
      <c r="K160" s="320">
        <f t="shared" si="10"/>
        <v>75500</v>
      </c>
      <c r="L160" s="171"/>
      <c r="M160" s="23"/>
      <c r="N160" s="92">
        <f t="shared" si="11"/>
        <v>75500</v>
      </c>
      <c r="O160" s="10" t="s">
        <v>23</v>
      </c>
      <c r="P160" s="23"/>
      <c r="Q160" s="10" t="s">
        <v>29</v>
      </c>
      <c r="R160" s="23"/>
      <c r="S160" s="23"/>
      <c r="T160" s="23"/>
      <c r="U160" s="23"/>
      <c r="V160" s="23"/>
      <c r="W160" s="23"/>
    </row>
    <row r="161" spans="1:23" s="26" customFormat="1" ht="15.6" hidden="1">
      <c r="A161" s="9">
        <v>44265</v>
      </c>
      <c r="B161" s="10" t="s">
        <v>43</v>
      </c>
      <c r="C161" s="11" t="s">
        <v>2786</v>
      </c>
      <c r="D161" s="23" t="s">
        <v>2787</v>
      </c>
      <c r="E161" s="455" t="s">
        <v>2788</v>
      </c>
      <c r="F161" s="74" t="s">
        <v>2789</v>
      </c>
      <c r="G161" s="30">
        <v>1</v>
      </c>
      <c r="H161" s="23">
        <v>64500</v>
      </c>
      <c r="I161" s="23">
        <f t="shared" si="9"/>
        <v>64500</v>
      </c>
      <c r="J161" s="29"/>
      <c r="K161" s="320">
        <f t="shared" si="10"/>
        <v>64500</v>
      </c>
      <c r="L161" s="171">
        <v>17000</v>
      </c>
      <c r="M161" s="23">
        <v>-2793</v>
      </c>
      <c r="N161" s="92">
        <f t="shared" si="11"/>
        <v>78707</v>
      </c>
      <c r="O161" s="10" t="s">
        <v>43</v>
      </c>
      <c r="P161" s="100" t="s">
        <v>2790</v>
      </c>
      <c r="Q161" s="10" t="s">
        <v>54</v>
      </c>
      <c r="R161" s="23"/>
      <c r="S161" s="23" t="s">
        <v>2791</v>
      </c>
      <c r="T161" s="23"/>
      <c r="U161" s="23"/>
      <c r="V161" s="23"/>
      <c r="W161" s="23"/>
    </row>
    <row r="162" spans="1:23" s="26" customFormat="1" ht="15.6" hidden="1">
      <c r="A162" s="9">
        <v>44265</v>
      </c>
      <c r="B162" s="10" t="s">
        <v>43</v>
      </c>
      <c r="C162" s="11" t="s">
        <v>2792</v>
      </c>
      <c r="D162" s="23" t="s">
        <v>2793</v>
      </c>
      <c r="E162" s="74" t="s">
        <v>2641</v>
      </c>
      <c r="F162" s="74" t="s">
        <v>2642</v>
      </c>
      <c r="G162" s="30">
        <v>1</v>
      </c>
      <c r="H162" s="23">
        <v>91000</v>
      </c>
      <c r="I162" s="23">
        <f t="shared" si="9"/>
        <v>91000</v>
      </c>
      <c r="J162" s="29"/>
      <c r="K162" s="320">
        <f t="shared" si="10"/>
        <v>91000</v>
      </c>
      <c r="L162" s="171">
        <v>13000</v>
      </c>
      <c r="M162" s="23">
        <v>-3940</v>
      </c>
      <c r="N162" s="92">
        <f t="shared" si="11"/>
        <v>100060</v>
      </c>
      <c r="O162" s="10" t="s">
        <v>43</v>
      </c>
      <c r="P162" s="95" t="s">
        <v>2794</v>
      </c>
      <c r="Q162" s="10" t="s">
        <v>54</v>
      </c>
      <c r="R162" s="12"/>
      <c r="S162" s="23" t="s">
        <v>2795</v>
      </c>
      <c r="T162" s="23"/>
      <c r="U162" s="23"/>
      <c r="V162" s="23"/>
      <c r="W162" s="23"/>
    </row>
    <row r="163" spans="1:23" s="26" customFormat="1" ht="15.6" hidden="1">
      <c r="A163" s="9">
        <v>44265</v>
      </c>
      <c r="B163" s="10" t="s">
        <v>170</v>
      </c>
      <c r="C163" s="11" t="s">
        <v>2796</v>
      </c>
      <c r="D163" s="23" t="s">
        <v>2797</v>
      </c>
      <c r="E163" s="14" t="s">
        <v>2798</v>
      </c>
      <c r="F163" s="339" t="s">
        <v>2799</v>
      </c>
      <c r="G163" s="30">
        <v>1</v>
      </c>
      <c r="H163" s="23">
        <v>61000</v>
      </c>
      <c r="I163" s="23">
        <f t="shared" si="9"/>
        <v>61000</v>
      </c>
      <c r="J163" s="29"/>
      <c r="K163" s="320">
        <f t="shared" si="10"/>
        <v>61000</v>
      </c>
      <c r="L163" s="171">
        <v>7000</v>
      </c>
      <c r="M163" s="23"/>
      <c r="N163" s="92">
        <f t="shared" si="11"/>
        <v>68000</v>
      </c>
      <c r="O163" s="10" t="s">
        <v>170</v>
      </c>
      <c r="P163" s="12"/>
      <c r="Q163" s="10" t="s">
        <v>28</v>
      </c>
      <c r="R163" s="23"/>
      <c r="S163" s="12"/>
      <c r="T163" s="23"/>
      <c r="U163" s="23"/>
      <c r="V163" s="23"/>
      <c r="W163" s="23"/>
    </row>
    <row r="164" spans="1:23" s="20" customFormat="1" ht="16.8" hidden="1">
      <c r="A164" s="9">
        <v>44265</v>
      </c>
      <c r="B164" s="10" t="s">
        <v>177</v>
      </c>
      <c r="C164" s="10" t="s">
        <v>2800</v>
      </c>
      <c r="D164" s="228" t="s">
        <v>2801</v>
      </c>
      <c r="E164" s="14" t="s">
        <v>2802</v>
      </c>
      <c r="F164" s="339" t="s">
        <v>2803</v>
      </c>
      <c r="G164" s="30">
        <v>1</v>
      </c>
      <c r="H164" s="23">
        <v>75000</v>
      </c>
      <c r="I164" s="23">
        <f t="shared" si="9"/>
        <v>75000</v>
      </c>
      <c r="J164" s="29"/>
      <c r="K164" s="320">
        <f t="shared" si="10"/>
        <v>75000</v>
      </c>
      <c r="L164" s="171">
        <v>9000</v>
      </c>
      <c r="M164" s="92"/>
      <c r="N164" s="92">
        <f t="shared" si="11"/>
        <v>84000</v>
      </c>
      <c r="O164" s="10" t="s">
        <v>177</v>
      </c>
      <c r="P164" s="104">
        <v>555313225469354</v>
      </c>
      <c r="Q164" s="10" t="s">
        <v>54</v>
      </c>
      <c r="R164" s="92"/>
      <c r="S164" s="12"/>
      <c r="T164" s="92"/>
      <c r="U164" s="92"/>
      <c r="V164" s="92"/>
      <c r="W164" s="92"/>
    </row>
    <row r="165" spans="1:23" s="20" customFormat="1" ht="15.6">
      <c r="A165" s="9">
        <v>44265</v>
      </c>
      <c r="B165" s="10" t="s">
        <v>23</v>
      </c>
      <c r="C165" s="10" t="s">
        <v>2804</v>
      </c>
      <c r="D165" s="228" t="s">
        <v>2805</v>
      </c>
      <c r="E165" s="22" t="s">
        <v>2802</v>
      </c>
      <c r="F165" s="94" t="s">
        <v>2803</v>
      </c>
      <c r="G165" s="30">
        <v>1</v>
      </c>
      <c r="H165" s="23">
        <v>75000</v>
      </c>
      <c r="I165" s="23">
        <f t="shared" si="9"/>
        <v>75000</v>
      </c>
      <c r="J165" s="29"/>
      <c r="K165" s="320">
        <f t="shared" si="10"/>
        <v>75000</v>
      </c>
      <c r="L165" s="171">
        <v>10000</v>
      </c>
      <c r="M165" s="92"/>
      <c r="N165" s="92">
        <f t="shared" si="11"/>
        <v>85000</v>
      </c>
      <c r="O165" s="10" t="s">
        <v>23</v>
      </c>
      <c r="P165" s="95"/>
      <c r="Q165" s="10" t="s">
        <v>28</v>
      </c>
      <c r="R165" s="92"/>
      <c r="S165" s="12"/>
      <c r="T165" s="92"/>
      <c r="U165" s="92"/>
      <c r="V165" s="92"/>
      <c r="W165" s="92"/>
    </row>
    <row r="166" spans="1:23" s="20" customFormat="1" ht="15.6" hidden="1">
      <c r="A166" s="9">
        <v>44265</v>
      </c>
      <c r="B166" s="10" t="s">
        <v>313</v>
      </c>
      <c r="C166" s="11" t="s">
        <v>2806</v>
      </c>
      <c r="D166" s="245" t="s">
        <v>2807</v>
      </c>
      <c r="E166" s="22" t="s">
        <v>2808</v>
      </c>
      <c r="F166" s="22" t="s">
        <v>2809</v>
      </c>
      <c r="G166" s="30">
        <v>1</v>
      </c>
      <c r="H166" s="23">
        <v>97000</v>
      </c>
      <c r="I166" s="23">
        <f t="shared" si="9"/>
        <v>97000</v>
      </c>
      <c r="J166" s="29">
        <f>I166*25%</f>
        <v>24250</v>
      </c>
      <c r="K166" s="320">
        <f t="shared" si="10"/>
        <v>72750</v>
      </c>
      <c r="L166" s="171">
        <v>41081</v>
      </c>
      <c r="M166" s="92"/>
      <c r="N166" s="92">
        <f t="shared" si="11"/>
        <v>113831</v>
      </c>
      <c r="O166" s="10" t="s">
        <v>313</v>
      </c>
      <c r="P166" s="95"/>
      <c r="Q166" s="10" t="s">
        <v>40</v>
      </c>
      <c r="R166" s="92"/>
      <c r="S166" s="12"/>
      <c r="T166" s="92"/>
      <c r="U166" s="92"/>
      <c r="V166" s="92"/>
      <c r="W166" s="92"/>
    </row>
    <row r="167" spans="1:23" s="20" customFormat="1" ht="15.6" hidden="1">
      <c r="A167" s="9">
        <v>44265</v>
      </c>
      <c r="B167" s="10" t="s">
        <v>313</v>
      </c>
      <c r="C167" s="11" t="s">
        <v>573</v>
      </c>
      <c r="D167" s="228" t="s">
        <v>574</v>
      </c>
      <c r="E167" s="81" t="s">
        <v>1337</v>
      </c>
      <c r="F167" s="82" t="s">
        <v>1338</v>
      </c>
      <c r="G167" s="30">
        <v>1</v>
      </c>
      <c r="H167" s="23">
        <v>97000</v>
      </c>
      <c r="I167" s="23">
        <f t="shared" si="9"/>
        <v>97000</v>
      </c>
      <c r="J167" s="29"/>
      <c r="K167" s="320">
        <f t="shared" si="10"/>
        <v>97000</v>
      </c>
      <c r="L167" s="171">
        <v>8030</v>
      </c>
      <c r="M167" s="92"/>
      <c r="N167" s="92">
        <f t="shared" si="11"/>
        <v>105030</v>
      </c>
      <c r="O167" s="10" t="s">
        <v>313</v>
      </c>
      <c r="P167" s="95"/>
      <c r="Q167" s="10" t="s">
        <v>28</v>
      </c>
      <c r="R167" s="92"/>
      <c r="S167" s="12"/>
      <c r="T167" s="92"/>
      <c r="U167" s="92"/>
      <c r="V167" s="92"/>
      <c r="W167" s="92"/>
    </row>
    <row r="168" spans="1:23" s="20" customFormat="1" ht="15.6" hidden="1">
      <c r="A168" s="9">
        <v>44265</v>
      </c>
      <c r="B168" s="10" t="s">
        <v>313</v>
      </c>
      <c r="C168" s="11" t="s">
        <v>573</v>
      </c>
      <c r="D168" s="228" t="s">
        <v>574</v>
      </c>
      <c r="E168" s="81" t="s">
        <v>2810</v>
      </c>
      <c r="F168" s="81" t="s">
        <v>2811</v>
      </c>
      <c r="G168" s="498">
        <v>1</v>
      </c>
      <c r="H168" s="23">
        <v>105000</v>
      </c>
      <c r="I168" s="23">
        <f t="shared" si="9"/>
        <v>105000</v>
      </c>
      <c r="J168" s="29"/>
      <c r="K168" s="320">
        <f t="shared" si="10"/>
        <v>105000</v>
      </c>
      <c r="L168" s="171"/>
      <c r="M168" s="92"/>
      <c r="N168" s="92">
        <f t="shared" si="11"/>
        <v>105000</v>
      </c>
      <c r="O168" s="10" t="s">
        <v>313</v>
      </c>
      <c r="P168" s="95"/>
      <c r="Q168" s="10" t="s">
        <v>28</v>
      </c>
      <c r="R168" s="92"/>
      <c r="S168" s="12"/>
      <c r="T168" s="92"/>
      <c r="U168" s="92"/>
      <c r="V168" s="92"/>
      <c r="W168" s="92"/>
    </row>
    <row r="169" spans="1:23" s="20" customFormat="1" ht="15.6">
      <c r="A169" s="9">
        <v>44265</v>
      </c>
      <c r="B169" s="10" t="s">
        <v>23</v>
      </c>
      <c r="C169" s="11" t="s">
        <v>2812</v>
      </c>
      <c r="D169" s="228" t="s">
        <v>2813</v>
      </c>
      <c r="E169" s="15" t="s">
        <v>697</v>
      </c>
      <c r="F169" s="15" t="s">
        <v>698</v>
      </c>
      <c r="G169" s="242">
        <v>1</v>
      </c>
      <c r="H169" s="23">
        <v>177000</v>
      </c>
      <c r="I169" s="23">
        <f t="shared" si="9"/>
        <v>177000</v>
      </c>
      <c r="J169" s="29"/>
      <c r="K169" s="320">
        <f t="shared" si="10"/>
        <v>177000</v>
      </c>
      <c r="L169" s="171">
        <v>11000</v>
      </c>
      <c r="M169" s="92"/>
      <c r="N169" s="92">
        <f t="shared" si="11"/>
        <v>188000</v>
      </c>
      <c r="O169" s="10" t="s">
        <v>23</v>
      </c>
      <c r="P169" s="95"/>
      <c r="Q169" s="10" t="s">
        <v>40</v>
      </c>
      <c r="R169" s="92"/>
      <c r="S169" s="12"/>
      <c r="T169" s="92"/>
      <c r="U169" s="92"/>
      <c r="V169" s="92"/>
      <c r="W169" s="92"/>
    </row>
    <row r="170" spans="1:23" s="20" customFormat="1" ht="15.6" hidden="1">
      <c r="A170" s="9">
        <v>44265</v>
      </c>
      <c r="B170" s="10" t="s">
        <v>313</v>
      </c>
      <c r="C170" s="11" t="s">
        <v>2814</v>
      </c>
      <c r="D170" s="228" t="s">
        <v>2815</v>
      </c>
      <c r="E170" s="431" t="s">
        <v>2816</v>
      </c>
      <c r="F170" s="431" t="s">
        <v>2817</v>
      </c>
      <c r="G170" s="456">
        <v>1</v>
      </c>
      <c r="H170" s="23">
        <v>76000</v>
      </c>
      <c r="I170" s="23">
        <f t="shared" si="9"/>
        <v>76000</v>
      </c>
      <c r="J170" s="29"/>
      <c r="K170" s="320">
        <f t="shared" si="10"/>
        <v>76000</v>
      </c>
      <c r="L170" s="171">
        <v>16063</v>
      </c>
      <c r="M170" s="29"/>
      <c r="N170" s="92">
        <f t="shared" si="11"/>
        <v>92063</v>
      </c>
      <c r="O170" s="10" t="s">
        <v>313</v>
      </c>
      <c r="P170" s="95"/>
      <c r="Q170" s="10" t="s">
        <v>40</v>
      </c>
      <c r="R170" s="228"/>
      <c r="S170" s="12"/>
      <c r="T170" s="92"/>
      <c r="U170" s="92"/>
      <c r="V170" s="92"/>
      <c r="W170" s="92"/>
    </row>
    <row r="171" spans="1:23" s="20" customFormat="1" ht="15.6">
      <c r="A171" s="9">
        <v>44265</v>
      </c>
      <c r="B171" s="10" t="s">
        <v>23</v>
      </c>
      <c r="C171" s="11" t="s">
        <v>2818</v>
      </c>
      <c r="D171" s="228" t="s">
        <v>2819</v>
      </c>
      <c r="E171" s="15" t="s">
        <v>2820</v>
      </c>
      <c r="F171" s="33" t="s">
        <v>2821</v>
      </c>
      <c r="G171" s="242">
        <v>1</v>
      </c>
      <c r="H171" s="23">
        <v>340000</v>
      </c>
      <c r="I171" s="23">
        <f t="shared" si="9"/>
        <v>340000</v>
      </c>
      <c r="J171" s="29"/>
      <c r="K171" s="320">
        <f t="shared" si="10"/>
        <v>340000</v>
      </c>
      <c r="L171" s="171">
        <v>68000</v>
      </c>
      <c r="M171" s="92"/>
      <c r="N171" s="92">
        <f t="shared" si="11"/>
        <v>408000</v>
      </c>
      <c r="O171" s="10" t="s">
        <v>23</v>
      </c>
      <c r="P171" s="95"/>
      <c r="Q171" s="10" t="s">
        <v>54</v>
      </c>
      <c r="R171" s="228"/>
      <c r="S171" s="12"/>
      <c r="T171" s="92"/>
      <c r="U171" s="92"/>
      <c r="V171" s="92"/>
      <c r="W171" s="92"/>
    </row>
    <row r="172" spans="1:23" s="20" customFormat="1" ht="15.6">
      <c r="A172" s="9">
        <v>44265</v>
      </c>
      <c r="B172" s="10" t="s">
        <v>23</v>
      </c>
      <c r="C172" s="10" t="s">
        <v>2822</v>
      </c>
      <c r="D172" s="228" t="s">
        <v>2823</v>
      </c>
      <c r="E172" s="15" t="s">
        <v>2824</v>
      </c>
      <c r="F172" s="15" t="s">
        <v>2825</v>
      </c>
      <c r="G172" s="242">
        <v>10</v>
      </c>
      <c r="H172" s="23">
        <v>89500</v>
      </c>
      <c r="I172" s="23">
        <f t="shared" si="9"/>
        <v>895000</v>
      </c>
      <c r="J172" s="29">
        <f>I172*20%</f>
        <v>179000</v>
      </c>
      <c r="K172" s="320">
        <f t="shared" si="10"/>
        <v>716000</v>
      </c>
      <c r="L172" s="171">
        <v>76000</v>
      </c>
      <c r="M172" s="29"/>
      <c r="N172" s="92">
        <f t="shared" si="11"/>
        <v>792000</v>
      </c>
      <c r="O172" s="10" t="s">
        <v>23</v>
      </c>
      <c r="P172" s="106"/>
      <c r="Q172" s="10" t="s">
        <v>54</v>
      </c>
      <c r="R172" s="228"/>
      <c r="S172" s="23"/>
      <c r="T172" s="92"/>
      <c r="U172" s="92"/>
      <c r="V172" s="92"/>
      <c r="W172" s="92"/>
    </row>
    <row r="173" spans="1:23" s="20" customFormat="1" ht="15.6" hidden="1">
      <c r="A173" s="9">
        <v>44265</v>
      </c>
      <c r="B173" s="10" t="s">
        <v>43</v>
      </c>
      <c r="C173" s="10" t="s">
        <v>2826</v>
      </c>
      <c r="D173" s="228" t="s">
        <v>2827</v>
      </c>
      <c r="E173" s="74" t="s">
        <v>2828</v>
      </c>
      <c r="F173" s="33" t="s">
        <v>2829</v>
      </c>
      <c r="G173" s="242">
        <v>1</v>
      </c>
      <c r="H173" s="23">
        <v>176000</v>
      </c>
      <c r="I173" s="23">
        <f t="shared" si="9"/>
        <v>176000</v>
      </c>
      <c r="J173" s="29"/>
      <c r="K173" s="320">
        <f t="shared" si="10"/>
        <v>176000</v>
      </c>
      <c r="L173" s="171"/>
      <c r="M173" s="92">
        <v>-7621</v>
      </c>
      <c r="N173" s="92">
        <f t="shared" si="11"/>
        <v>168379</v>
      </c>
      <c r="O173" s="10" t="s">
        <v>43</v>
      </c>
      <c r="P173" s="328" t="s">
        <v>2830</v>
      </c>
      <c r="Q173" s="10" t="s">
        <v>54</v>
      </c>
      <c r="R173" s="227"/>
      <c r="S173" s="23" t="s">
        <v>2831</v>
      </c>
      <c r="T173" s="92"/>
      <c r="U173" s="92"/>
      <c r="V173" s="92"/>
      <c r="W173" s="92"/>
    </row>
    <row r="174" spans="1:23" s="20" customFormat="1" ht="15.6" hidden="1">
      <c r="A174" s="9">
        <v>44265</v>
      </c>
      <c r="B174" s="10" t="s">
        <v>43</v>
      </c>
      <c r="C174" s="11" t="s">
        <v>2832</v>
      </c>
      <c r="D174" s="228" t="s">
        <v>2833</v>
      </c>
      <c r="E174" s="74" t="s">
        <v>1889</v>
      </c>
      <c r="F174" s="15" t="s">
        <v>1890</v>
      </c>
      <c r="G174" s="242">
        <v>1</v>
      </c>
      <c r="H174" s="23">
        <v>134000</v>
      </c>
      <c r="I174" s="23">
        <f t="shared" si="9"/>
        <v>134000</v>
      </c>
      <c r="J174" s="29"/>
      <c r="K174" s="320">
        <f t="shared" si="10"/>
        <v>134000</v>
      </c>
      <c r="L174" s="171">
        <v>3000</v>
      </c>
      <c r="M174" s="92">
        <v>-5802</v>
      </c>
      <c r="N174" s="92">
        <f t="shared" si="11"/>
        <v>131198</v>
      </c>
      <c r="O174" s="10" t="s">
        <v>43</v>
      </c>
      <c r="P174" s="328" t="s">
        <v>2834</v>
      </c>
      <c r="Q174" s="10" t="s">
        <v>54</v>
      </c>
      <c r="R174" s="227"/>
      <c r="S174" s="23" t="s">
        <v>2835</v>
      </c>
      <c r="T174" s="92"/>
      <c r="U174" s="92"/>
      <c r="V174" s="92"/>
      <c r="W174" s="92"/>
    </row>
    <row r="175" spans="1:23" s="20" customFormat="1" ht="15.6" hidden="1">
      <c r="A175" s="9">
        <v>44265</v>
      </c>
      <c r="B175" s="10" t="s">
        <v>43</v>
      </c>
      <c r="C175" s="11" t="s">
        <v>2836</v>
      </c>
      <c r="D175" s="228" t="s">
        <v>2837</v>
      </c>
      <c r="E175" s="281" t="s">
        <v>345</v>
      </c>
      <c r="F175" s="281" t="s">
        <v>346</v>
      </c>
      <c r="G175" s="242">
        <v>1</v>
      </c>
      <c r="H175" s="23">
        <v>66000</v>
      </c>
      <c r="I175" s="23">
        <f t="shared" si="9"/>
        <v>66000</v>
      </c>
      <c r="J175" s="29"/>
      <c r="K175" s="320">
        <f t="shared" si="10"/>
        <v>66000</v>
      </c>
      <c r="L175" s="171">
        <v>23000</v>
      </c>
      <c r="M175" s="92">
        <v>-2858</v>
      </c>
      <c r="N175" s="92">
        <f t="shared" si="11"/>
        <v>86142</v>
      </c>
      <c r="O175" s="10" t="s">
        <v>43</v>
      </c>
      <c r="P175" s="328" t="s">
        <v>2838</v>
      </c>
      <c r="Q175" s="10" t="s">
        <v>54</v>
      </c>
      <c r="R175" s="227"/>
      <c r="S175" s="23" t="s">
        <v>2839</v>
      </c>
      <c r="T175" s="92"/>
      <c r="U175" s="92"/>
      <c r="V175" s="92"/>
      <c r="W175" s="92"/>
    </row>
    <row r="176" spans="1:23" s="20" customFormat="1" ht="15.6" hidden="1">
      <c r="A176" s="9">
        <v>44265</v>
      </c>
      <c r="B176" s="10" t="s">
        <v>313</v>
      </c>
      <c r="C176" s="11" t="s">
        <v>2840</v>
      </c>
      <c r="D176" s="228" t="s">
        <v>2841</v>
      </c>
      <c r="E176" s="263" t="s">
        <v>2842</v>
      </c>
      <c r="F176" s="263" t="s">
        <v>2843</v>
      </c>
      <c r="G176" s="30">
        <v>1</v>
      </c>
      <c r="H176" s="23">
        <v>153000</v>
      </c>
      <c r="I176" s="23">
        <f t="shared" si="9"/>
        <v>153000</v>
      </c>
      <c r="J176" s="29"/>
      <c r="K176" s="320">
        <f t="shared" si="10"/>
        <v>153000</v>
      </c>
      <c r="L176" s="171">
        <v>429006</v>
      </c>
      <c r="M176" s="92"/>
      <c r="N176" s="92">
        <f t="shared" si="11"/>
        <v>582006</v>
      </c>
      <c r="O176" s="10" t="s">
        <v>313</v>
      </c>
      <c r="P176" s="102"/>
      <c r="Q176" s="10" t="s">
        <v>40</v>
      </c>
      <c r="R176" s="227"/>
      <c r="S176" s="23"/>
      <c r="T176" s="92"/>
      <c r="U176" s="92"/>
      <c r="V176" s="92"/>
      <c r="W176" s="92"/>
    </row>
    <row r="177" spans="1:23" s="20" customFormat="1" ht="15.6" hidden="1">
      <c r="A177" s="9">
        <v>44265</v>
      </c>
      <c r="B177" s="10" t="s">
        <v>313</v>
      </c>
      <c r="C177" s="11" t="s">
        <v>2840</v>
      </c>
      <c r="D177" s="228" t="s">
        <v>2844</v>
      </c>
      <c r="E177" s="62" t="s">
        <v>2845</v>
      </c>
      <c r="F177" s="263" t="s">
        <v>2846</v>
      </c>
      <c r="G177" s="30">
        <v>2</v>
      </c>
      <c r="H177" s="23">
        <v>376000</v>
      </c>
      <c r="I177" s="23">
        <f t="shared" si="9"/>
        <v>752000</v>
      </c>
      <c r="J177" s="29"/>
      <c r="K177" s="320">
        <f t="shared" si="10"/>
        <v>752000</v>
      </c>
      <c r="L177" s="86"/>
      <c r="M177" s="92"/>
      <c r="N177" s="92">
        <f t="shared" si="11"/>
        <v>752000</v>
      </c>
      <c r="O177" s="10" t="s">
        <v>313</v>
      </c>
      <c r="P177" s="23"/>
      <c r="Q177" s="10" t="s">
        <v>40</v>
      </c>
      <c r="R177" s="92"/>
      <c r="S177" s="23"/>
      <c r="T177" s="92"/>
      <c r="U177" s="92"/>
      <c r="V177" s="92"/>
      <c r="W177" s="92"/>
    </row>
    <row r="178" spans="1:23" s="20" customFormat="1" ht="15.6" hidden="1">
      <c r="A178" s="9">
        <v>44265</v>
      </c>
      <c r="B178" s="10" t="s">
        <v>313</v>
      </c>
      <c r="C178" s="11" t="s">
        <v>2840</v>
      </c>
      <c r="D178" s="228" t="s">
        <v>2847</v>
      </c>
      <c r="E178" s="457" t="s">
        <v>2848</v>
      </c>
      <c r="F178" s="457" t="s">
        <v>2849</v>
      </c>
      <c r="G178" s="30">
        <v>1</v>
      </c>
      <c r="H178" s="23">
        <v>116000</v>
      </c>
      <c r="I178" s="23">
        <f t="shared" si="9"/>
        <v>116000</v>
      </c>
      <c r="J178" s="29"/>
      <c r="K178" s="320">
        <f t="shared" si="10"/>
        <v>116000</v>
      </c>
      <c r="L178" s="86"/>
      <c r="M178" s="92"/>
      <c r="N178" s="92">
        <f t="shared" si="11"/>
        <v>116000</v>
      </c>
      <c r="O178" s="10" t="s">
        <v>313</v>
      </c>
      <c r="P178" s="328"/>
      <c r="Q178" s="10" t="s">
        <v>40</v>
      </c>
      <c r="R178" s="92"/>
      <c r="S178" s="23"/>
      <c r="T178" s="92"/>
      <c r="U178" s="92"/>
      <c r="V178" s="92"/>
      <c r="W178" s="92"/>
    </row>
    <row r="179" spans="1:23" s="20" customFormat="1" ht="15.6" hidden="1">
      <c r="A179" s="9">
        <v>44265</v>
      </c>
      <c r="B179" s="10" t="s">
        <v>313</v>
      </c>
      <c r="C179" s="11" t="s">
        <v>2840</v>
      </c>
      <c r="D179" s="228" t="s">
        <v>2850</v>
      </c>
      <c r="E179" s="457" t="s">
        <v>2489</v>
      </c>
      <c r="F179" s="457" t="s">
        <v>2490</v>
      </c>
      <c r="G179" s="30">
        <v>2</v>
      </c>
      <c r="H179" s="23">
        <v>82000</v>
      </c>
      <c r="I179" s="23">
        <f t="shared" si="9"/>
        <v>164000</v>
      </c>
      <c r="J179" s="29"/>
      <c r="K179" s="320">
        <f t="shared" si="10"/>
        <v>164000</v>
      </c>
      <c r="L179" s="493"/>
      <c r="M179" s="92"/>
      <c r="N179" s="92">
        <f t="shared" si="11"/>
        <v>164000</v>
      </c>
      <c r="O179" s="10" t="s">
        <v>313</v>
      </c>
      <c r="P179" s="75"/>
      <c r="Q179" s="10" t="s">
        <v>40</v>
      </c>
      <c r="R179" s="92"/>
      <c r="S179" s="23"/>
      <c r="T179" s="92"/>
      <c r="U179" s="92"/>
      <c r="V179" s="92"/>
      <c r="W179" s="92"/>
    </row>
    <row r="180" spans="1:23" s="20" customFormat="1" ht="15.6" hidden="1">
      <c r="A180" s="9">
        <v>44265</v>
      </c>
      <c r="B180" s="10" t="s">
        <v>313</v>
      </c>
      <c r="C180" s="11" t="s">
        <v>2840</v>
      </c>
      <c r="D180" s="228" t="s">
        <v>2851</v>
      </c>
      <c r="E180" s="263" t="s">
        <v>2852</v>
      </c>
      <c r="F180" s="264" t="s">
        <v>2853</v>
      </c>
      <c r="G180" s="30">
        <v>1</v>
      </c>
      <c r="H180" s="23">
        <v>127000</v>
      </c>
      <c r="I180" s="23">
        <f t="shared" si="9"/>
        <v>127000</v>
      </c>
      <c r="J180" s="29"/>
      <c r="K180" s="320">
        <f t="shared" si="10"/>
        <v>127000</v>
      </c>
      <c r="L180" s="119"/>
      <c r="M180" s="29"/>
      <c r="N180" s="92">
        <f t="shared" si="11"/>
        <v>127000</v>
      </c>
      <c r="O180" s="10" t="s">
        <v>313</v>
      </c>
      <c r="P180" s="29"/>
      <c r="Q180" s="10" t="s">
        <v>40</v>
      </c>
      <c r="R180" s="29"/>
      <c r="S180" s="23"/>
      <c r="T180" s="92"/>
      <c r="U180" s="92"/>
      <c r="V180" s="92"/>
      <c r="W180" s="92"/>
    </row>
    <row r="181" spans="1:23" s="20" customFormat="1" ht="15.6" hidden="1">
      <c r="A181" s="9">
        <v>44265</v>
      </c>
      <c r="B181" s="10" t="s">
        <v>313</v>
      </c>
      <c r="C181" s="11" t="s">
        <v>2840</v>
      </c>
      <c r="D181" s="228" t="s">
        <v>2854</v>
      </c>
      <c r="E181" s="263" t="s">
        <v>2855</v>
      </c>
      <c r="F181" s="263" t="s">
        <v>2856</v>
      </c>
      <c r="G181" s="30">
        <v>1</v>
      </c>
      <c r="H181" s="23">
        <v>166000</v>
      </c>
      <c r="I181" s="23">
        <f t="shared" si="9"/>
        <v>166000</v>
      </c>
      <c r="J181" s="29"/>
      <c r="K181" s="320">
        <f t="shared" si="10"/>
        <v>166000</v>
      </c>
      <c r="L181" s="119"/>
      <c r="M181" s="29"/>
      <c r="N181" s="92">
        <f t="shared" si="11"/>
        <v>166000</v>
      </c>
      <c r="O181" s="10" t="s">
        <v>313</v>
      </c>
      <c r="P181" s="29"/>
      <c r="Q181" s="10" t="s">
        <v>40</v>
      </c>
      <c r="R181" s="29"/>
      <c r="S181" s="12"/>
      <c r="T181" s="92"/>
      <c r="U181" s="92"/>
      <c r="V181" s="92"/>
      <c r="W181" s="92"/>
    </row>
    <row r="182" spans="1:23" s="20" customFormat="1" ht="15" hidden="1" customHeight="1">
      <c r="A182" s="9">
        <v>44265</v>
      </c>
      <c r="B182" s="10" t="s">
        <v>313</v>
      </c>
      <c r="C182" s="11" t="s">
        <v>2840</v>
      </c>
      <c r="D182" s="228" t="s">
        <v>2857</v>
      </c>
      <c r="E182" s="263" t="s">
        <v>684</v>
      </c>
      <c r="F182" s="263" t="s">
        <v>685</v>
      </c>
      <c r="G182" s="30">
        <v>1</v>
      </c>
      <c r="H182" s="23">
        <v>91000</v>
      </c>
      <c r="I182" s="23">
        <f t="shared" si="9"/>
        <v>91000</v>
      </c>
      <c r="J182" s="29"/>
      <c r="K182" s="320">
        <f t="shared" si="10"/>
        <v>91000</v>
      </c>
      <c r="L182" s="119"/>
      <c r="M182" s="29"/>
      <c r="N182" s="92">
        <f t="shared" si="11"/>
        <v>91000</v>
      </c>
      <c r="O182" s="10" t="s">
        <v>313</v>
      </c>
      <c r="P182" s="29"/>
      <c r="Q182" s="10" t="s">
        <v>40</v>
      </c>
      <c r="R182" s="29"/>
      <c r="S182" s="329"/>
      <c r="T182" s="92"/>
      <c r="U182" s="92"/>
      <c r="V182" s="92"/>
      <c r="W182" s="92"/>
    </row>
    <row r="183" spans="1:23" s="20" customFormat="1" ht="15.6" hidden="1">
      <c r="A183" s="9">
        <v>44265</v>
      </c>
      <c r="B183" s="10" t="s">
        <v>313</v>
      </c>
      <c r="C183" s="11" t="s">
        <v>2840</v>
      </c>
      <c r="D183" s="228" t="s">
        <v>2858</v>
      </c>
      <c r="E183" s="261" t="s">
        <v>2859</v>
      </c>
      <c r="F183" s="264" t="s">
        <v>2860</v>
      </c>
      <c r="G183" s="30">
        <v>1</v>
      </c>
      <c r="H183" s="23">
        <v>93000</v>
      </c>
      <c r="I183" s="23">
        <f t="shared" si="9"/>
        <v>93000</v>
      </c>
      <c r="J183" s="29"/>
      <c r="K183" s="320">
        <f t="shared" si="10"/>
        <v>93000</v>
      </c>
      <c r="L183" s="119"/>
      <c r="M183" s="29"/>
      <c r="N183" s="92">
        <f t="shared" si="11"/>
        <v>93000</v>
      </c>
      <c r="O183" s="10" t="s">
        <v>313</v>
      </c>
      <c r="P183" s="29"/>
      <c r="Q183" s="10" t="s">
        <v>40</v>
      </c>
      <c r="R183" s="29"/>
      <c r="S183" s="12"/>
      <c r="T183" s="92"/>
      <c r="U183" s="92"/>
      <c r="V183" s="92"/>
      <c r="W183" s="92"/>
    </row>
    <row r="184" spans="1:23" s="20" customFormat="1" ht="15.6" hidden="1">
      <c r="A184" s="9">
        <v>44265</v>
      </c>
      <c r="B184" s="10" t="s">
        <v>313</v>
      </c>
      <c r="C184" s="11" t="s">
        <v>2840</v>
      </c>
      <c r="D184" s="228" t="s">
        <v>2861</v>
      </c>
      <c r="E184" s="263" t="s">
        <v>1415</v>
      </c>
      <c r="F184" s="263" t="s">
        <v>1416</v>
      </c>
      <c r="G184" s="30">
        <v>1</v>
      </c>
      <c r="H184" s="23">
        <v>105000</v>
      </c>
      <c r="I184" s="23">
        <f t="shared" si="9"/>
        <v>105000</v>
      </c>
      <c r="J184" s="29"/>
      <c r="K184" s="320">
        <f t="shared" si="10"/>
        <v>105000</v>
      </c>
      <c r="L184" s="119"/>
      <c r="M184" s="29"/>
      <c r="N184" s="92">
        <f t="shared" si="11"/>
        <v>105000</v>
      </c>
      <c r="O184" s="10" t="s">
        <v>313</v>
      </c>
      <c r="P184" s="29"/>
      <c r="Q184" s="10" t="s">
        <v>40</v>
      </c>
      <c r="R184" s="29"/>
      <c r="S184" s="92"/>
      <c r="T184" s="92"/>
      <c r="U184" s="92"/>
      <c r="V184" s="92"/>
      <c r="W184" s="92"/>
    </row>
    <row r="185" spans="1:23" s="20" customFormat="1" ht="15.6" hidden="1">
      <c r="A185" s="9">
        <v>44265</v>
      </c>
      <c r="B185" s="10" t="s">
        <v>313</v>
      </c>
      <c r="C185" s="11" t="s">
        <v>2840</v>
      </c>
      <c r="D185" s="228" t="s">
        <v>2862</v>
      </c>
      <c r="E185" s="263" t="s">
        <v>2169</v>
      </c>
      <c r="F185" s="263" t="s">
        <v>128</v>
      </c>
      <c r="G185" s="30">
        <v>1</v>
      </c>
      <c r="H185" s="23">
        <v>77500</v>
      </c>
      <c r="I185" s="23">
        <f t="shared" si="9"/>
        <v>77500</v>
      </c>
      <c r="J185" s="29"/>
      <c r="K185" s="320">
        <f t="shared" si="10"/>
        <v>77500</v>
      </c>
      <c r="L185" s="119"/>
      <c r="M185" s="29"/>
      <c r="N185" s="92">
        <f t="shared" si="11"/>
        <v>77500</v>
      </c>
      <c r="O185" s="10" t="s">
        <v>313</v>
      </c>
      <c r="P185" s="29"/>
      <c r="Q185" s="10" t="s">
        <v>40</v>
      </c>
      <c r="R185" s="29"/>
      <c r="S185" s="167"/>
      <c r="T185" s="92"/>
      <c r="U185" s="92"/>
      <c r="V185" s="92"/>
      <c r="W185" s="92"/>
    </row>
    <row r="186" spans="1:23" s="20" customFormat="1" ht="15.6" hidden="1">
      <c r="A186" s="9">
        <v>44265</v>
      </c>
      <c r="B186" s="10" t="s">
        <v>313</v>
      </c>
      <c r="C186" s="11" t="s">
        <v>2840</v>
      </c>
      <c r="D186" s="228" t="s">
        <v>2863</v>
      </c>
      <c r="E186" s="62" t="s">
        <v>2864</v>
      </c>
      <c r="F186" s="62" t="s">
        <v>2865</v>
      </c>
      <c r="G186" s="30">
        <v>1</v>
      </c>
      <c r="H186" s="23">
        <v>145000</v>
      </c>
      <c r="I186" s="23">
        <f t="shared" si="9"/>
        <v>145000</v>
      </c>
      <c r="J186" s="29"/>
      <c r="K186" s="320">
        <f t="shared" si="10"/>
        <v>145000</v>
      </c>
      <c r="L186" s="119"/>
      <c r="M186" s="29"/>
      <c r="N186" s="92">
        <f t="shared" si="11"/>
        <v>145000</v>
      </c>
      <c r="O186" s="10" t="s">
        <v>313</v>
      </c>
      <c r="P186" s="29"/>
      <c r="Q186" s="10" t="s">
        <v>40</v>
      </c>
      <c r="R186" s="29"/>
      <c r="S186" s="92"/>
      <c r="T186" s="92"/>
      <c r="U186" s="92"/>
      <c r="V186" s="92"/>
      <c r="W186" s="92"/>
    </row>
    <row r="187" spans="1:23" s="20" customFormat="1" ht="15.6" hidden="1">
      <c r="A187" s="9">
        <v>44265</v>
      </c>
      <c r="B187" s="10" t="s">
        <v>313</v>
      </c>
      <c r="C187" s="11" t="s">
        <v>2840</v>
      </c>
      <c r="D187" s="228" t="s">
        <v>2866</v>
      </c>
      <c r="E187" s="62" t="s">
        <v>2867</v>
      </c>
      <c r="F187" s="62" t="s">
        <v>2868</v>
      </c>
      <c r="G187" s="30">
        <v>1</v>
      </c>
      <c r="H187" s="23">
        <v>166000</v>
      </c>
      <c r="I187" s="23">
        <f t="shared" si="9"/>
        <v>166000</v>
      </c>
      <c r="J187" s="29"/>
      <c r="K187" s="320">
        <f t="shared" si="10"/>
        <v>166000</v>
      </c>
      <c r="L187" s="119"/>
      <c r="M187" s="29"/>
      <c r="N187" s="92">
        <f t="shared" si="11"/>
        <v>166000</v>
      </c>
      <c r="O187" s="10" t="s">
        <v>313</v>
      </c>
      <c r="P187" s="29"/>
      <c r="Q187" s="10" t="s">
        <v>40</v>
      </c>
      <c r="R187" s="29"/>
      <c r="S187" s="167"/>
      <c r="T187" s="92"/>
      <c r="U187" s="92"/>
      <c r="V187" s="92"/>
      <c r="W187" s="92"/>
    </row>
    <row r="188" spans="1:23" s="20" customFormat="1" ht="15.6" hidden="1">
      <c r="A188" s="9">
        <v>44265</v>
      </c>
      <c r="B188" s="10" t="s">
        <v>313</v>
      </c>
      <c r="C188" s="11" t="s">
        <v>2840</v>
      </c>
      <c r="D188" s="228" t="s">
        <v>2869</v>
      </c>
      <c r="E188" s="263" t="s">
        <v>2870</v>
      </c>
      <c r="F188" s="263" t="s">
        <v>2871</v>
      </c>
      <c r="G188" s="30">
        <v>1</v>
      </c>
      <c r="H188" s="23">
        <v>84700</v>
      </c>
      <c r="I188" s="23">
        <f t="shared" si="9"/>
        <v>84700</v>
      </c>
      <c r="J188" s="29"/>
      <c r="K188" s="320">
        <f t="shared" si="10"/>
        <v>84700</v>
      </c>
      <c r="L188" s="119"/>
      <c r="M188" s="29"/>
      <c r="N188" s="92">
        <f t="shared" si="11"/>
        <v>84700</v>
      </c>
      <c r="O188" s="10" t="s">
        <v>313</v>
      </c>
      <c r="P188" s="29"/>
      <c r="Q188" s="10" t="s">
        <v>40</v>
      </c>
      <c r="R188" s="29"/>
      <c r="S188" s="92"/>
      <c r="T188" s="92"/>
      <c r="U188" s="92"/>
      <c r="V188" s="92"/>
      <c r="W188" s="92"/>
    </row>
    <row r="189" spans="1:23" s="20" customFormat="1" ht="15.6" hidden="1">
      <c r="A189" s="9">
        <v>44265</v>
      </c>
      <c r="B189" s="10" t="s">
        <v>313</v>
      </c>
      <c r="C189" s="11" t="s">
        <v>2840</v>
      </c>
      <c r="D189" s="228" t="s">
        <v>2872</v>
      </c>
      <c r="E189" s="263" t="s">
        <v>2873</v>
      </c>
      <c r="F189" s="263" t="s">
        <v>2874</v>
      </c>
      <c r="G189" s="30">
        <v>1</v>
      </c>
      <c r="H189" s="23">
        <v>117000</v>
      </c>
      <c r="I189" s="23">
        <f t="shared" si="9"/>
        <v>117000</v>
      </c>
      <c r="J189" s="29"/>
      <c r="K189" s="320">
        <f t="shared" si="10"/>
        <v>117000</v>
      </c>
      <c r="L189" s="119"/>
      <c r="M189" s="29"/>
      <c r="N189" s="92">
        <f t="shared" si="11"/>
        <v>117000</v>
      </c>
      <c r="O189" s="10" t="s">
        <v>313</v>
      </c>
      <c r="P189" s="29"/>
      <c r="Q189" s="10" t="s">
        <v>40</v>
      </c>
      <c r="R189" s="29"/>
      <c r="S189" s="92"/>
      <c r="T189" s="92"/>
      <c r="U189" s="92"/>
      <c r="V189" s="92"/>
      <c r="W189" s="92"/>
    </row>
    <row r="190" spans="1:23" s="20" customFormat="1" ht="15.6" hidden="1">
      <c r="A190" s="9">
        <v>44265</v>
      </c>
      <c r="B190" s="10" t="s">
        <v>313</v>
      </c>
      <c r="C190" s="11" t="s">
        <v>2840</v>
      </c>
      <c r="D190" s="228" t="s">
        <v>2875</v>
      </c>
      <c r="E190" s="263" t="s">
        <v>2876</v>
      </c>
      <c r="F190" s="263" t="s">
        <v>128</v>
      </c>
      <c r="G190" s="30">
        <v>1</v>
      </c>
      <c r="H190" s="23">
        <v>70000</v>
      </c>
      <c r="I190" s="23">
        <f t="shared" si="9"/>
        <v>70000</v>
      </c>
      <c r="J190" s="29"/>
      <c r="K190" s="320">
        <f t="shared" si="10"/>
        <v>70000</v>
      </c>
      <c r="L190" s="119"/>
      <c r="M190" s="29"/>
      <c r="N190" s="92">
        <f t="shared" si="11"/>
        <v>70000</v>
      </c>
      <c r="O190" s="10" t="s">
        <v>313</v>
      </c>
      <c r="P190" s="29"/>
      <c r="Q190" s="10" t="s">
        <v>40</v>
      </c>
      <c r="R190" s="29"/>
      <c r="S190" s="92"/>
      <c r="T190" s="92"/>
      <c r="U190" s="92"/>
      <c r="V190" s="92"/>
      <c r="W190" s="92"/>
    </row>
    <row r="191" spans="1:23" s="20" customFormat="1" ht="15.6" hidden="1">
      <c r="A191" s="9">
        <v>44265</v>
      </c>
      <c r="B191" s="10" t="s">
        <v>313</v>
      </c>
      <c r="C191" s="11" t="s">
        <v>2840</v>
      </c>
      <c r="D191" s="228" t="s">
        <v>2877</v>
      </c>
      <c r="E191" s="458" t="s">
        <v>2878</v>
      </c>
      <c r="F191" s="263" t="s">
        <v>2879</v>
      </c>
      <c r="G191" s="30">
        <v>1</v>
      </c>
      <c r="H191" s="23">
        <v>152000</v>
      </c>
      <c r="I191" s="23">
        <f t="shared" si="9"/>
        <v>152000</v>
      </c>
      <c r="J191" s="29"/>
      <c r="K191" s="320">
        <f t="shared" si="10"/>
        <v>152000</v>
      </c>
      <c r="L191" s="499"/>
      <c r="M191" s="92"/>
      <c r="N191" s="92">
        <f t="shared" si="11"/>
        <v>152000</v>
      </c>
      <c r="O191" s="10" t="s">
        <v>313</v>
      </c>
      <c r="P191" s="105"/>
      <c r="Q191" s="10" t="s">
        <v>40</v>
      </c>
      <c r="R191" s="92"/>
      <c r="S191" s="23"/>
      <c r="T191" s="92"/>
      <c r="U191" s="92"/>
      <c r="V191" s="92"/>
      <c r="W191" s="92"/>
    </row>
    <row r="192" spans="1:23" s="20" customFormat="1" ht="15.6" hidden="1">
      <c r="A192" s="9">
        <v>44265</v>
      </c>
      <c r="B192" s="10" t="s">
        <v>313</v>
      </c>
      <c r="C192" s="11" t="s">
        <v>2840</v>
      </c>
      <c r="D192" s="228" t="s">
        <v>2880</v>
      </c>
      <c r="E192" s="263" t="s">
        <v>2881</v>
      </c>
      <c r="F192" s="263" t="s">
        <v>2882</v>
      </c>
      <c r="G192" s="30">
        <v>1</v>
      </c>
      <c r="H192" s="23">
        <v>115000</v>
      </c>
      <c r="I192" s="23">
        <f t="shared" si="9"/>
        <v>115000</v>
      </c>
      <c r="J192" s="29"/>
      <c r="K192" s="320">
        <f t="shared" si="10"/>
        <v>115000</v>
      </c>
      <c r="L192" s="459"/>
      <c r="M192" s="92"/>
      <c r="N192" s="92">
        <f t="shared" si="11"/>
        <v>115000</v>
      </c>
      <c r="O192" s="10" t="s">
        <v>313</v>
      </c>
      <c r="P192" s="92"/>
      <c r="Q192" s="10" t="s">
        <v>40</v>
      </c>
      <c r="R192" s="92"/>
      <c r="S192" s="92"/>
      <c r="T192" s="92"/>
      <c r="U192" s="92"/>
      <c r="V192" s="92"/>
      <c r="W192" s="92"/>
    </row>
    <row r="193" spans="1:23" s="20" customFormat="1" ht="15.6" hidden="1">
      <c r="A193" s="9">
        <v>44265</v>
      </c>
      <c r="B193" s="10" t="s">
        <v>313</v>
      </c>
      <c r="C193" s="11" t="s">
        <v>2840</v>
      </c>
      <c r="D193" s="228" t="s">
        <v>2883</v>
      </c>
      <c r="E193" s="263" t="s">
        <v>2884</v>
      </c>
      <c r="F193" s="263" t="s">
        <v>2885</v>
      </c>
      <c r="G193" s="30">
        <v>1</v>
      </c>
      <c r="H193" s="23">
        <v>53000</v>
      </c>
      <c r="I193" s="23">
        <f t="shared" si="9"/>
        <v>53000</v>
      </c>
      <c r="J193" s="228"/>
      <c r="K193" s="320">
        <f t="shared" si="10"/>
        <v>53000</v>
      </c>
      <c r="L193" s="500"/>
      <c r="M193" s="92"/>
      <c r="N193" s="92">
        <f t="shared" si="11"/>
        <v>53000</v>
      </c>
      <c r="O193" s="10" t="s">
        <v>313</v>
      </c>
      <c r="P193" s="95"/>
      <c r="Q193" s="10" t="s">
        <v>40</v>
      </c>
      <c r="R193" s="92"/>
      <c r="S193" s="12"/>
      <c r="T193" s="92"/>
      <c r="U193" s="92"/>
      <c r="V193" s="92"/>
      <c r="W193" s="92"/>
    </row>
    <row r="194" spans="1:23" s="20" customFormat="1" ht="15.6" hidden="1">
      <c r="A194" s="9">
        <v>44265</v>
      </c>
      <c r="B194" s="10" t="s">
        <v>313</v>
      </c>
      <c r="C194" s="11" t="s">
        <v>2840</v>
      </c>
      <c r="D194" s="228" t="s">
        <v>2886</v>
      </c>
      <c r="E194" s="263" t="s">
        <v>2887</v>
      </c>
      <c r="F194" s="263" t="s">
        <v>2888</v>
      </c>
      <c r="G194" s="30">
        <v>1</v>
      </c>
      <c r="H194" s="23">
        <v>57000</v>
      </c>
      <c r="I194" s="23">
        <f t="shared" si="9"/>
        <v>57000</v>
      </c>
      <c r="J194" s="228"/>
      <c r="K194" s="320">
        <f t="shared" si="10"/>
        <v>57000</v>
      </c>
      <c r="L194" s="460"/>
      <c r="M194" s="92"/>
      <c r="N194" s="92">
        <f t="shared" si="11"/>
        <v>57000</v>
      </c>
      <c r="O194" s="10" t="s">
        <v>313</v>
      </c>
      <c r="P194" s="95"/>
      <c r="Q194" s="10" t="s">
        <v>40</v>
      </c>
      <c r="R194" s="92"/>
      <c r="S194" s="228"/>
      <c r="T194" s="92"/>
      <c r="U194" s="92"/>
      <c r="V194" s="92"/>
      <c r="W194" s="92"/>
    </row>
    <row r="195" spans="1:23" s="20" customFormat="1" ht="15.6" hidden="1">
      <c r="A195" s="9">
        <v>44265</v>
      </c>
      <c r="B195" s="10" t="s">
        <v>313</v>
      </c>
      <c r="C195" s="11" t="s">
        <v>2840</v>
      </c>
      <c r="D195" s="228" t="s">
        <v>2889</v>
      </c>
      <c r="E195" s="457" t="s">
        <v>2890</v>
      </c>
      <c r="F195" s="457" t="s">
        <v>1179</v>
      </c>
      <c r="G195" s="30">
        <v>1</v>
      </c>
      <c r="H195" s="23">
        <v>219000</v>
      </c>
      <c r="I195" s="23">
        <f t="shared" si="9"/>
        <v>219000</v>
      </c>
      <c r="J195" s="228"/>
      <c r="K195" s="320">
        <f t="shared" ref="K195:K213" si="12">I195-J195</f>
        <v>219000</v>
      </c>
      <c r="L195" s="493"/>
      <c r="M195" s="92"/>
      <c r="N195" s="92">
        <f t="shared" ref="N195:N241" si="13">K195+L195+M195</f>
        <v>219000</v>
      </c>
      <c r="O195" s="10" t="s">
        <v>313</v>
      </c>
      <c r="P195" s="228"/>
      <c r="Q195" s="10" t="s">
        <v>40</v>
      </c>
      <c r="R195" s="92"/>
      <c r="S195" s="228"/>
      <c r="T195" s="92"/>
      <c r="U195" s="92"/>
      <c r="V195" s="92"/>
      <c r="W195" s="92"/>
    </row>
    <row r="196" spans="1:23" s="20" customFormat="1" ht="15.6" hidden="1">
      <c r="A196" s="9">
        <v>44265</v>
      </c>
      <c r="B196" s="10" t="s">
        <v>313</v>
      </c>
      <c r="C196" s="11" t="s">
        <v>2840</v>
      </c>
      <c r="D196" s="228" t="s">
        <v>2891</v>
      </c>
      <c r="E196" s="263" t="s">
        <v>2892</v>
      </c>
      <c r="F196" s="263" t="s">
        <v>2893</v>
      </c>
      <c r="G196" s="30">
        <v>1</v>
      </c>
      <c r="H196" s="23">
        <v>84500</v>
      </c>
      <c r="I196" s="23">
        <f t="shared" si="9"/>
        <v>84500</v>
      </c>
      <c r="J196" s="228"/>
      <c r="K196" s="320">
        <f t="shared" si="12"/>
        <v>84500</v>
      </c>
      <c r="L196" s="460"/>
      <c r="M196" s="92"/>
      <c r="N196" s="92">
        <f t="shared" si="13"/>
        <v>84500</v>
      </c>
      <c r="O196" s="10" t="s">
        <v>313</v>
      </c>
      <c r="P196" s="228"/>
      <c r="Q196" s="10" t="s">
        <v>40</v>
      </c>
      <c r="R196" s="92"/>
      <c r="S196" s="12"/>
      <c r="T196" s="92"/>
      <c r="U196" s="92"/>
      <c r="V196" s="92"/>
      <c r="W196" s="92"/>
    </row>
    <row r="197" spans="1:23" s="20" customFormat="1" ht="15.6" hidden="1">
      <c r="A197" s="9">
        <v>44265</v>
      </c>
      <c r="B197" s="10" t="s">
        <v>313</v>
      </c>
      <c r="C197" s="11" t="s">
        <v>2840</v>
      </c>
      <c r="D197" s="228" t="s">
        <v>2894</v>
      </c>
      <c r="E197" s="458" t="s">
        <v>2895</v>
      </c>
      <c r="F197" s="263" t="s">
        <v>2896</v>
      </c>
      <c r="G197" s="30">
        <v>1</v>
      </c>
      <c r="H197" s="23">
        <v>207000</v>
      </c>
      <c r="I197" s="23">
        <f t="shared" si="9"/>
        <v>207000</v>
      </c>
      <c r="J197" s="29"/>
      <c r="K197" s="320">
        <f t="shared" si="12"/>
        <v>207000</v>
      </c>
      <c r="L197" s="119"/>
      <c r="M197" s="29"/>
      <c r="N197" s="92">
        <f t="shared" si="13"/>
        <v>207000</v>
      </c>
      <c r="O197" s="10" t="s">
        <v>313</v>
      </c>
      <c r="P197" s="118"/>
      <c r="Q197" s="10" t="s">
        <v>40</v>
      </c>
      <c r="R197" s="92"/>
      <c r="S197" s="103"/>
      <c r="T197" s="92"/>
      <c r="U197" s="92"/>
      <c r="V197" s="92"/>
      <c r="W197" s="92"/>
    </row>
    <row r="198" spans="1:23" s="20" customFormat="1" ht="15.6" hidden="1">
      <c r="A198" s="9">
        <v>44265</v>
      </c>
      <c r="B198" s="10" t="s">
        <v>313</v>
      </c>
      <c r="C198" s="11" t="s">
        <v>2840</v>
      </c>
      <c r="D198" s="228" t="s">
        <v>2897</v>
      </c>
      <c r="E198" s="263" t="s">
        <v>2898</v>
      </c>
      <c r="F198" s="62" t="s">
        <v>2899</v>
      </c>
      <c r="G198" s="30">
        <v>1</v>
      </c>
      <c r="H198" s="23">
        <v>90000</v>
      </c>
      <c r="I198" s="23">
        <f t="shared" si="9"/>
        <v>90000</v>
      </c>
      <c r="J198" s="29"/>
      <c r="K198" s="320">
        <f t="shared" si="12"/>
        <v>90000</v>
      </c>
      <c r="L198" s="119"/>
      <c r="M198" s="29"/>
      <c r="N198" s="92">
        <f t="shared" si="13"/>
        <v>90000</v>
      </c>
      <c r="O198" s="10" t="s">
        <v>313</v>
      </c>
      <c r="P198" s="95"/>
      <c r="Q198" s="10" t="s">
        <v>40</v>
      </c>
      <c r="R198" s="92"/>
      <c r="S198" s="12"/>
      <c r="T198" s="92"/>
      <c r="U198" s="92"/>
      <c r="V198" s="92"/>
      <c r="W198" s="92"/>
    </row>
    <row r="199" spans="1:23" s="20" customFormat="1" ht="15.6" hidden="1">
      <c r="A199" s="9">
        <v>44265</v>
      </c>
      <c r="B199" s="10" t="s">
        <v>313</v>
      </c>
      <c r="C199" s="11" t="s">
        <v>2840</v>
      </c>
      <c r="D199" s="228" t="s">
        <v>2900</v>
      </c>
      <c r="E199" s="458" t="s">
        <v>2901</v>
      </c>
      <c r="F199" s="263" t="s">
        <v>2902</v>
      </c>
      <c r="G199" s="30">
        <v>1</v>
      </c>
      <c r="H199" s="23">
        <v>225000</v>
      </c>
      <c r="I199" s="23">
        <f t="shared" si="9"/>
        <v>225000</v>
      </c>
      <c r="J199" s="29"/>
      <c r="K199" s="320">
        <f t="shared" si="12"/>
        <v>225000</v>
      </c>
      <c r="L199" s="119"/>
      <c r="M199" s="29"/>
      <c r="N199" s="92">
        <f t="shared" si="13"/>
        <v>225000</v>
      </c>
      <c r="O199" s="10" t="s">
        <v>313</v>
      </c>
      <c r="P199" s="95"/>
      <c r="Q199" s="10" t="s">
        <v>40</v>
      </c>
      <c r="R199" s="92"/>
      <c r="S199" s="12"/>
      <c r="T199" s="92"/>
      <c r="U199" s="92"/>
      <c r="V199" s="92"/>
      <c r="W199" s="92"/>
    </row>
    <row r="200" spans="1:23" s="20" customFormat="1" ht="15.6" hidden="1">
      <c r="A200" s="9">
        <v>44265</v>
      </c>
      <c r="B200" s="10" t="s">
        <v>313</v>
      </c>
      <c r="C200" s="11" t="s">
        <v>2840</v>
      </c>
      <c r="D200" s="228" t="s">
        <v>2903</v>
      </c>
      <c r="E200" s="263" t="s">
        <v>2904</v>
      </c>
      <c r="F200" s="263" t="s">
        <v>2905</v>
      </c>
      <c r="G200" s="30">
        <v>1</v>
      </c>
      <c r="H200" s="23">
        <v>88000</v>
      </c>
      <c r="I200" s="23">
        <f t="shared" si="9"/>
        <v>88000</v>
      </c>
      <c r="J200" s="29"/>
      <c r="K200" s="320">
        <f t="shared" si="12"/>
        <v>88000</v>
      </c>
      <c r="L200" s="119"/>
      <c r="M200" s="29"/>
      <c r="N200" s="92">
        <f t="shared" si="13"/>
        <v>88000</v>
      </c>
      <c r="O200" s="10" t="s">
        <v>313</v>
      </c>
      <c r="P200" s="95"/>
      <c r="Q200" s="10" t="s">
        <v>40</v>
      </c>
      <c r="R200" s="92"/>
      <c r="S200" s="12"/>
      <c r="T200" s="92"/>
      <c r="U200" s="92"/>
      <c r="V200" s="92"/>
      <c r="W200" s="92"/>
    </row>
    <row r="201" spans="1:23" s="20" customFormat="1" ht="15.6" hidden="1">
      <c r="A201" s="9">
        <v>44265</v>
      </c>
      <c r="B201" s="10" t="s">
        <v>313</v>
      </c>
      <c r="C201" s="11" t="s">
        <v>2840</v>
      </c>
      <c r="D201" s="228" t="s">
        <v>2906</v>
      </c>
      <c r="E201" s="457" t="s">
        <v>1178</v>
      </c>
      <c r="F201" s="457" t="s">
        <v>1179</v>
      </c>
      <c r="G201" s="30">
        <v>1</v>
      </c>
      <c r="H201" s="23">
        <v>73500</v>
      </c>
      <c r="I201" s="23">
        <f t="shared" si="9"/>
        <v>73500</v>
      </c>
      <c r="J201" s="29"/>
      <c r="K201" s="320">
        <f t="shared" si="12"/>
        <v>73500</v>
      </c>
      <c r="L201" s="119"/>
      <c r="M201" s="29"/>
      <c r="N201" s="92">
        <f t="shared" si="13"/>
        <v>73500</v>
      </c>
      <c r="O201" s="10" t="s">
        <v>313</v>
      </c>
      <c r="P201" s="228"/>
      <c r="Q201" s="10" t="s">
        <v>40</v>
      </c>
      <c r="R201" s="92"/>
      <c r="S201" s="329"/>
      <c r="T201" s="92"/>
      <c r="U201" s="92"/>
      <c r="V201" s="92"/>
      <c r="W201" s="92"/>
    </row>
    <row r="202" spans="1:23" s="20" customFormat="1" ht="15.6" hidden="1">
      <c r="A202" s="9">
        <v>44265</v>
      </c>
      <c r="B202" s="10" t="s">
        <v>313</v>
      </c>
      <c r="C202" s="11" t="s">
        <v>2840</v>
      </c>
      <c r="D202" s="228" t="s">
        <v>2907</v>
      </c>
      <c r="E202" s="263" t="s">
        <v>1188</v>
      </c>
      <c r="F202" s="263" t="s">
        <v>1179</v>
      </c>
      <c r="G202" s="30">
        <v>1</v>
      </c>
      <c r="H202" s="23">
        <v>99000</v>
      </c>
      <c r="I202" s="23">
        <f t="shared" si="9"/>
        <v>99000</v>
      </c>
      <c r="J202" s="29"/>
      <c r="K202" s="320">
        <f t="shared" si="12"/>
        <v>99000</v>
      </c>
      <c r="L202" s="119"/>
      <c r="M202" s="29"/>
      <c r="N202" s="92">
        <f t="shared" si="13"/>
        <v>99000</v>
      </c>
      <c r="O202" s="10" t="s">
        <v>313</v>
      </c>
      <c r="P202" s="29"/>
      <c r="Q202" s="10" t="s">
        <v>40</v>
      </c>
      <c r="R202" s="92"/>
      <c r="S202" s="169"/>
      <c r="T202" s="92"/>
      <c r="U202" s="92"/>
      <c r="V202" s="92"/>
      <c r="W202" s="92"/>
    </row>
    <row r="203" spans="1:23" s="20" customFormat="1" ht="15.6">
      <c r="A203" s="9">
        <v>44265</v>
      </c>
      <c r="B203" s="10" t="s">
        <v>23</v>
      </c>
      <c r="C203" s="10" t="s">
        <v>2908</v>
      </c>
      <c r="D203" s="228" t="s">
        <v>2909</v>
      </c>
      <c r="E203" s="15" t="s">
        <v>2910</v>
      </c>
      <c r="F203" s="33" t="s">
        <v>2911</v>
      </c>
      <c r="G203" s="242">
        <v>1</v>
      </c>
      <c r="H203" s="23">
        <v>111000</v>
      </c>
      <c r="I203" s="23">
        <f t="shared" si="9"/>
        <v>111000</v>
      </c>
      <c r="J203" s="29">
        <f>I203*20%</f>
        <v>22200</v>
      </c>
      <c r="K203" s="320">
        <f t="shared" si="12"/>
        <v>88800</v>
      </c>
      <c r="L203" s="119">
        <v>37000</v>
      </c>
      <c r="M203" s="29"/>
      <c r="N203" s="92">
        <f t="shared" si="13"/>
        <v>125800</v>
      </c>
      <c r="O203" s="10" t="s">
        <v>23</v>
      </c>
      <c r="P203" s="29"/>
      <c r="Q203" s="10" t="s">
        <v>54</v>
      </c>
      <c r="R203" s="92"/>
      <c r="S203" s="92"/>
      <c r="T203" s="92"/>
      <c r="U203" s="92"/>
      <c r="V203" s="92"/>
      <c r="W203" s="92"/>
    </row>
    <row r="204" spans="1:23" s="20" customFormat="1" ht="15.6">
      <c r="A204" s="9">
        <v>44265</v>
      </c>
      <c r="B204" s="10" t="s">
        <v>23</v>
      </c>
      <c r="C204" s="10" t="s">
        <v>2912</v>
      </c>
      <c r="D204" s="228" t="s">
        <v>2913</v>
      </c>
      <c r="E204" s="15" t="s">
        <v>2914</v>
      </c>
      <c r="F204" s="15" t="s">
        <v>2915</v>
      </c>
      <c r="G204" s="242">
        <v>1</v>
      </c>
      <c r="H204" s="23">
        <v>124000</v>
      </c>
      <c r="I204" s="23">
        <f t="shared" si="9"/>
        <v>124000</v>
      </c>
      <c r="J204" s="29"/>
      <c r="K204" s="320">
        <f t="shared" si="12"/>
        <v>124000</v>
      </c>
      <c r="L204" s="119">
        <v>45000</v>
      </c>
      <c r="M204" s="29"/>
      <c r="N204" s="92">
        <f t="shared" si="13"/>
        <v>169000</v>
      </c>
      <c r="O204" s="10" t="s">
        <v>23</v>
      </c>
      <c r="P204" s="333"/>
      <c r="Q204" s="10" t="s">
        <v>40</v>
      </c>
      <c r="R204" s="92"/>
      <c r="S204" s="12"/>
      <c r="T204" s="92"/>
      <c r="U204" s="92"/>
      <c r="V204" s="92"/>
      <c r="W204" s="92"/>
    </row>
    <row r="205" spans="1:23" s="20" customFormat="1" ht="15.6" hidden="1">
      <c r="A205" s="9">
        <v>44267</v>
      </c>
      <c r="B205" s="91" t="s">
        <v>43</v>
      </c>
      <c r="C205" s="91" t="s">
        <v>2916</v>
      </c>
      <c r="D205" s="228" t="s">
        <v>2917</v>
      </c>
      <c r="E205" s="461" t="s">
        <v>345</v>
      </c>
      <c r="F205" s="462" t="s">
        <v>2264</v>
      </c>
      <c r="G205" s="242">
        <v>1</v>
      </c>
      <c r="H205" s="23">
        <v>71500</v>
      </c>
      <c r="I205" s="23">
        <f t="shared" si="9"/>
        <v>71500</v>
      </c>
      <c r="J205" s="29"/>
      <c r="K205" s="159">
        <f t="shared" si="12"/>
        <v>71500</v>
      </c>
      <c r="L205" s="119">
        <v>17000</v>
      </c>
      <c r="M205" s="29">
        <v>-3096</v>
      </c>
      <c r="N205" s="92">
        <f t="shared" si="13"/>
        <v>85404</v>
      </c>
      <c r="O205" s="91" t="s">
        <v>43</v>
      </c>
      <c r="P205" s="228" t="s">
        <v>2918</v>
      </c>
      <c r="Q205" s="91" t="s">
        <v>138</v>
      </c>
      <c r="R205" s="92"/>
      <c r="S205" s="44" t="s">
        <v>2919</v>
      </c>
      <c r="T205" s="92"/>
      <c r="U205" s="92"/>
      <c r="V205" s="92"/>
      <c r="W205" s="92"/>
    </row>
    <row r="206" spans="1:23" s="20" customFormat="1" ht="15.6" hidden="1">
      <c r="A206" s="9">
        <v>44267</v>
      </c>
      <c r="B206" s="91" t="s">
        <v>43</v>
      </c>
      <c r="C206" s="123" t="s">
        <v>2920</v>
      </c>
      <c r="D206" s="228" t="s">
        <v>2921</v>
      </c>
      <c r="E206" s="22" t="s">
        <v>1371</v>
      </c>
      <c r="F206" s="94" t="s">
        <v>1372</v>
      </c>
      <c r="G206" s="242">
        <v>1</v>
      </c>
      <c r="H206" s="23">
        <v>98000</v>
      </c>
      <c r="I206" s="23">
        <f t="shared" si="9"/>
        <v>98000</v>
      </c>
      <c r="J206" s="29"/>
      <c r="K206" s="159">
        <f t="shared" si="12"/>
        <v>98000</v>
      </c>
      <c r="L206" s="119">
        <v>3000</v>
      </c>
      <c r="M206" s="29">
        <v>-4243</v>
      </c>
      <c r="N206" s="92">
        <f t="shared" si="13"/>
        <v>96757</v>
      </c>
      <c r="O206" s="91" t="s">
        <v>43</v>
      </c>
      <c r="P206" s="228" t="s">
        <v>2922</v>
      </c>
      <c r="Q206" s="91" t="s">
        <v>54</v>
      </c>
      <c r="R206" s="92"/>
      <c r="S206" s="228" t="s">
        <v>2923</v>
      </c>
      <c r="T206" s="92"/>
      <c r="U206" s="92"/>
      <c r="V206" s="92"/>
      <c r="W206" s="92"/>
    </row>
    <row r="207" spans="1:23" s="20" customFormat="1" ht="15.6" hidden="1">
      <c r="A207" s="9">
        <v>44267</v>
      </c>
      <c r="B207" s="91" t="s">
        <v>43</v>
      </c>
      <c r="C207" s="123" t="s">
        <v>2924</v>
      </c>
      <c r="D207" s="228" t="s">
        <v>2925</v>
      </c>
      <c r="E207" s="22" t="s">
        <v>2926</v>
      </c>
      <c r="F207" s="94" t="s">
        <v>2927</v>
      </c>
      <c r="G207" s="242">
        <v>1</v>
      </c>
      <c r="H207" s="23">
        <v>56000</v>
      </c>
      <c r="I207" s="23">
        <f t="shared" si="9"/>
        <v>56000</v>
      </c>
      <c r="J207" s="29"/>
      <c r="K207" s="159">
        <f t="shared" si="12"/>
        <v>56000</v>
      </c>
      <c r="L207" s="119">
        <v>23000</v>
      </c>
      <c r="M207" s="29">
        <v>-2425</v>
      </c>
      <c r="N207" s="92">
        <f t="shared" si="13"/>
        <v>76575</v>
      </c>
      <c r="O207" s="91" t="s">
        <v>43</v>
      </c>
      <c r="P207" s="100" t="s">
        <v>2928</v>
      </c>
      <c r="Q207" s="91" t="s">
        <v>54</v>
      </c>
      <c r="R207" s="92"/>
      <c r="S207" s="227" t="s">
        <v>2929</v>
      </c>
      <c r="T207" s="92"/>
      <c r="U207" s="92"/>
      <c r="V207" s="92"/>
      <c r="W207" s="92"/>
    </row>
    <row r="208" spans="1:23" s="20" customFormat="1" ht="15.6" hidden="1">
      <c r="A208" s="9">
        <v>44267</v>
      </c>
      <c r="B208" s="91" t="s">
        <v>43</v>
      </c>
      <c r="C208" s="91" t="s">
        <v>2930</v>
      </c>
      <c r="D208" s="228" t="s">
        <v>2931</v>
      </c>
      <c r="E208" s="22" t="s">
        <v>306</v>
      </c>
      <c r="F208" s="22" t="s">
        <v>307</v>
      </c>
      <c r="G208" s="242">
        <v>1</v>
      </c>
      <c r="H208" s="23">
        <v>90500</v>
      </c>
      <c r="I208" s="23">
        <f t="shared" si="9"/>
        <v>90500</v>
      </c>
      <c r="J208" s="29"/>
      <c r="K208" s="159">
        <f t="shared" si="12"/>
        <v>90500</v>
      </c>
      <c r="L208" s="119"/>
      <c r="M208" s="29">
        <v>-3919</v>
      </c>
      <c r="N208" s="92">
        <f t="shared" si="13"/>
        <v>86581</v>
      </c>
      <c r="O208" s="91" t="s">
        <v>43</v>
      </c>
      <c r="P208" s="228" t="s">
        <v>2932</v>
      </c>
      <c r="Q208" s="91" t="s">
        <v>54</v>
      </c>
      <c r="R208" s="92"/>
      <c r="S208" s="329" t="s">
        <v>2933</v>
      </c>
      <c r="T208" s="92"/>
      <c r="U208" s="92"/>
      <c r="V208" s="92"/>
      <c r="W208" s="92"/>
    </row>
    <row r="209" spans="1:23" s="20" customFormat="1" ht="15.6" hidden="1">
      <c r="A209" s="9">
        <v>44267</v>
      </c>
      <c r="B209" s="91" t="s">
        <v>43</v>
      </c>
      <c r="C209" s="123" t="s">
        <v>2934</v>
      </c>
      <c r="D209" s="228" t="s">
        <v>2935</v>
      </c>
      <c r="E209" s="22" t="s">
        <v>1371</v>
      </c>
      <c r="F209" s="94" t="s">
        <v>1372</v>
      </c>
      <c r="G209" s="242">
        <v>1</v>
      </c>
      <c r="H209" s="23">
        <v>98000</v>
      </c>
      <c r="I209" s="23">
        <f t="shared" si="9"/>
        <v>98000</v>
      </c>
      <c r="J209" s="29"/>
      <c r="K209" s="159">
        <f t="shared" si="12"/>
        <v>98000</v>
      </c>
      <c r="L209" s="119">
        <v>17000</v>
      </c>
      <c r="M209" s="29">
        <v>-4243</v>
      </c>
      <c r="N209" s="92">
        <f t="shared" si="13"/>
        <v>110757</v>
      </c>
      <c r="O209" s="91" t="s">
        <v>43</v>
      </c>
      <c r="P209" s="228" t="s">
        <v>2936</v>
      </c>
      <c r="Q209" s="91" t="s">
        <v>138</v>
      </c>
      <c r="R209" s="92"/>
      <c r="S209" s="228" t="s">
        <v>2937</v>
      </c>
      <c r="T209" s="92"/>
      <c r="U209" s="92"/>
      <c r="V209" s="92"/>
      <c r="W209" s="92"/>
    </row>
    <row r="210" spans="1:23" s="20" customFormat="1" ht="15.6" hidden="1">
      <c r="A210" s="9">
        <v>44267</v>
      </c>
      <c r="B210" s="91" t="s">
        <v>43</v>
      </c>
      <c r="C210" s="91" t="s">
        <v>2938</v>
      </c>
      <c r="D210" s="228" t="s">
        <v>2939</v>
      </c>
      <c r="E210" s="22" t="s">
        <v>1371</v>
      </c>
      <c r="F210" s="94" t="s">
        <v>1372</v>
      </c>
      <c r="G210" s="242">
        <v>1</v>
      </c>
      <c r="H210" s="23">
        <v>98000</v>
      </c>
      <c r="I210" s="23">
        <f t="shared" si="9"/>
        <v>98000</v>
      </c>
      <c r="J210" s="29"/>
      <c r="K210" s="159">
        <f t="shared" si="12"/>
        <v>98000</v>
      </c>
      <c r="L210" s="119">
        <v>3000</v>
      </c>
      <c r="M210" s="29">
        <v>-4243</v>
      </c>
      <c r="N210" s="92">
        <f t="shared" si="13"/>
        <v>96757</v>
      </c>
      <c r="O210" s="91" t="s">
        <v>43</v>
      </c>
      <c r="P210" s="228" t="s">
        <v>2940</v>
      </c>
      <c r="Q210" s="91" t="s">
        <v>54</v>
      </c>
      <c r="R210" s="92"/>
      <c r="S210" s="228" t="s">
        <v>2941</v>
      </c>
      <c r="T210" s="92"/>
      <c r="U210" s="92"/>
      <c r="V210" s="92"/>
      <c r="W210" s="92"/>
    </row>
    <row r="211" spans="1:23" s="20" customFormat="1" ht="15.6" hidden="1">
      <c r="A211" s="9">
        <v>44267</v>
      </c>
      <c r="B211" s="91" t="s">
        <v>170</v>
      </c>
      <c r="C211" s="123" t="s">
        <v>2942</v>
      </c>
      <c r="D211" s="228" t="s">
        <v>2943</v>
      </c>
      <c r="E211" s="22" t="s">
        <v>693</v>
      </c>
      <c r="F211" s="22" t="s">
        <v>253</v>
      </c>
      <c r="G211" s="242">
        <v>1</v>
      </c>
      <c r="H211" s="23">
        <v>82000</v>
      </c>
      <c r="I211" s="23">
        <f t="shared" si="9"/>
        <v>82000</v>
      </c>
      <c r="J211" s="29"/>
      <c r="K211" s="159">
        <f t="shared" si="12"/>
        <v>82000</v>
      </c>
      <c r="L211" s="119">
        <f>18000-18000</f>
        <v>0</v>
      </c>
      <c r="M211" s="29"/>
      <c r="N211" s="92">
        <f t="shared" si="13"/>
        <v>82000</v>
      </c>
      <c r="O211" s="91" t="s">
        <v>170</v>
      </c>
      <c r="P211" s="227" t="s">
        <v>2944</v>
      </c>
      <c r="Q211" s="91" t="s">
        <v>176</v>
      </c>
      <c r="R211" s="92"/>
      <c r="S211" s="103" t="s">
        <v>2944</v>
      </c>
      <c r="T211" s="92"/>
      <c r="U211" s="92"/>
      <c r="V211" s="92"/>
      <c r="W211" s="92"/>
    </row>
    <row r="212" spans="1:23" s="20" customFormat="1" hidden="1">
      <c r="A212" s="9">
        <v>44267</v>
      </c>
      <c r="B212" s="91" t="s">
        <v>177</v>
      </c>
      <c r="C212" s="91" t="s">
        <v>2945</v>
      </c>
      <c r="D212" s="228" t="s">
        <v>2946</v>
      </c>
      <c r="E212" s="91" t="s">
        <v>221</v>
      </c>
      <c r="F212" s="91" t="s">
        <v>222</v>
      </c>
      <c r="G212" s="242">
        <v>1</v>
      </c>
      <c r="H212" s="23">
        <v>44000</v>
      </c>
      <c r="I212" s="23">
        <f t="shared" si="9"/>
        <v>44000</v>
      </c>
      <c r="J212" s="29"/>
      <c r="K212" s="320">
        <f t="shared" si="12"/>
        <v>44000</v>
      </c>
      <c r="L212" s="86">
        <v>9500</v>
      </c>
      <c r="M212" s="92"/>
      <c r="N212" s="92">
        <f t="shared" si="13"/>
        <v>53500</v>
      </c>
      <c r="O212" s="91" t="s">
        <v>177</v>
      </c>
      <c r="P212" s="333">
        <v>560161507100288</v>
      </c>
      <c r="Q212" s="91" t="s">
        <v>54</v>
      </c>
      <c r="R212" s="92"/>
      <c r="S212" s="12"/>
      <c r="T212" s="92"/>
      <c r="U212" s="92"/>
      <c r="V212" s="92"/>
      <c r="W212" s="92"/>
    </row>
    <row r="213" spans="1:23" s="20" customFormat="1" ht="15.6" hidden="1">
      <c r="A213" s="9">
        <v>44267</v>
      </c>
      <c r="B213" s="91" t="s">
        <v>313</v>
      </c>
      <c r="C213" s="91" t="s">
        <v>2947</v>
      </c>
      <c r="D213" s="228" t="s">
        <v>2948</v>
      </c>
      <c r="E213" s="22" t="s">
        <v>641</v>
      </c>
      <c r="F213" s="22" t="s">
        <v>642</v>
      </c>
      <c r="G213" s="242">
        <v>2</v>
      </c>
      <c r="H213" s="23">
        <v>117500</v>
      </c>
      <c r="I213" s="23">
        <f t="shared" si="9"/>
        <v>235000</v>
      </c>
      <c r="J213" s="29"/>
      <c r="K213" s="159">
        <f t="shared" si="12"/>
        <v>235000</v>
      </c>
      <c r="L213" s="86">
        <v>37087</v>
      </c>
      <c r="M213" s="92"/>
      <c r="N213" s="92">
        <f t="shared" si="13"/>
        <v>272087</v>
      </c>
      <c r="O213" s="91" t="s">
        <v>313</v>
      </c>
      <c r="P213" s="44"/>
      <c r="Q213" s="91" t="s">
        <v>28</v>
      </c>
      <c r="R213" s="92"/>
      <c r="S213" s="329"/>
      <c r="T213" s="92"/>
      <c r="U213" s="92"/>
      <c r="V213" s="92"/>
      <c r="W213" s="92"/>
    </row>
    <row r="214" spans="1:23" s="20" customFormat="1" ht="15.6">
      <c r="A214" s="9">
        <v>44267</v>
      </c>
      <c r="B214" s="91" t="s">
        <v>23</v>
      </c>
      <c r="C214" s="123" t="s">
        <v>2949</v>
      </c>
      <c r="D214" s="228" t="s">
        <v>2950</v>
      </c>
      <c r="E214" s="98" t="s">
        <v>435</v>
      </c>
      <c r="F214" s="99" t="s">
        <v>436</v>
      </c>
      <c r="G214" s="242">
        <v>1</v>
      </c>
      <c r="H214" s="84">
        <v>95000</v>
      </c>
      <c r="I214" s="23">
        <f t="shared" si="9"/>
        <v>95000</v>
      </c>
      <c r="J214" s="29">
        <f>I214-K214</f>
        <v>28500</v>
      </c>
      <c r="K214" s="84">
        <f>I214*70%</f>
        <v>66500</v>
      </c>
      <c r="L214" s="86">
        <v>32000</v>
      </c>
      <c r="M214" s="92"/>
      <c r="N214" s="92">
        <f t="shared" si="13"/>
        <v>98500</v>
      </c>
      <c r="O214" s="91" t="s">
        <v>23</v>
      </c>
      <c r="P214" s="44"/>
      <c r="Q214" s="91" t="s">
        <v>40</v>
      </c>
      <c r="R214" s="92"/>
      <c r="S214" s="329"/>
      <c r="T214" s="92"/>
      <c r="U214" s="92"/>
      <c r="V214" s="92"/>
      <c r="W214" s="92"/>
    </row>
    <row r="215" spans="1:23" s="29" customFormat="1" ht="15.75" customHeight="1">
      <c r="A215" s="9">
        <v>44267</v>
      </c>
      <c r="B215" s="91" t="s">
        <v>23</v>
      </c>
      <c r="C215" s="123" t="s">
        <v>2949</v>
      </c>
      <c r="D215" s="228" t="s">
        <v>2951</v>
      </c>
      <c r="E215" s="98" t="s">
        <v>2952</v>
      </c>
      <c r="F215" s="98" t="s">
        <v>2953</v>
      </c>
      <c r="G215" s="242">
        <v>1</v>
      </c>
      <c r="H215" s="84">
        <v>130000</v>
      </c>
      <c r="I215" s="23">
        <f t="shared" si="9"/>
        <v>130000</v>
      </c>
      <c r="J215" s="29">
        <f t="shared" ref="J215:J221" si="14">I215-K215</f>
        <v>32500</v>
      </c>
      <c r="K215" s="84">
        <f>I215*75%</f>
        <v>97500</v>
      </c>
      <c r="L215" s="86"/>
      <c r="N215" s="92">
        <f t="shared" si="13"/>
        <v>97500</v>
      </c>
      <c r="O215" s="91" t="s">
        <v>23</v>
      </c>
      <c r="P215" s="44"/>
      <c r="Q215" s="91" t="s">
        <v>40</v>
      </c>
      <c r="S215" s="329"/>
    </row>
    <row r="216" spans="1:23" s="29" customFormat="1" ht="15.6">
      <c r="A216" s="9">
        <v>44267</v>
      </c>
      <c r="B216" s="91" t="s">
        <v>23</v>
      </c>
      <c r="C216" s="123" t="s">
        <v>2949</v>
      </c>
      <c r="D216" s="228" t="s">
        <v>2954</v>
      </c>
      <c r="E216" s="98" t="s">
        <v>2955</v>
      </c>
      <c r="F216" s="98" t="s">
        <v>2956</v>
      </c>
      <c r="G216" s="242">
        <v>1</v>
      </c>
      <c r="H216" s="84">
        <v>70000</v>
      </c>
      <c r="I216" s="23">
        <f t="shared" si="9"/>
        <v>70000</v>
      </c>
      <c r="J216" s="29">
        <f t="shared" si="14"/>
        <v>28000</v>
      </c>
      <c r="K216" s="84">
        <f>I216*60%</f>
        <v>42000</v>
      </c>
      <c r="L216" s="86"/>
      <c r="N216" s="92">
        <f t="shared" si="13"/>
        <v>42000</v>
      </c>
      <c r="O216" s="91" t="s">
        <v>23</v>
      </c>
      <c r="P216" s="335"/>
      <c r="Q216" s="91" t="s">
        <v>40</v>
      </c>
      <c r="R216" s="329"/>
      <c r="S216" s="335"/>
    </row>
    <row r="217" spans="1:23" s="29" customFormat="1" ht="15" customHeight="1">
      <c r="A217" s="9">
        <v>44267</v>
      </c>
      <c r="B217" s="91" t="s">
        <v>23</v>
      </c>
      <c r="C217" s="123" t="s">
        <v>2949</v>
      </c>
      <c r="D217" s="228" t="s">
        <v>2957</v>
      </c>
      <c r="E217" s="98" t="s">
        <v>2958</v>
      </c>
      <c r="F217" s="98" t="s">
        <v>2959</v>
      </c>
      <c r="G217" s="242">
        <v>1</v>
      </c>
      <c r="H217" s="84">
        <v>90500</v>
      </c>
      <c r="I217" s="23">
        <f t="shared" si="9"/>
        <v>90500</v>
      </c>
      <c r="J217" s="29">
        <f t="shared" si="14"/>
        <v>22625</v>
      </c>
      <c r="K217" s="84">
        <f>I217*75%</f>
        <v>67875</v>
      </c>
      <c r="L217" s="86"/>
      <c r="N217" s="92">
        <f t="shared" si="13"/>
        <v>67875</v>
      </c>
      <c r="O217" s="91" t="s">
        <v>23</v>
      </c>
      <c r="P217" s="95"/>
      <c r="Q217" s="91" t="s">
        <v>40</v>
      </c>
      <c r="R217" s="335"/>
      <c r="S217" s="228"/>
    </row>
    <row r="218" spans="1:23" s="29" customFormat="1" ht="15.6">
      <c r="A218" s="9">
        <v>44267</v>
      </c>
      <c r="B218" s="91" t="s">
        <v>23</v>
      </c>
      <c r="C218" s="123" t="s">
        <v>2949</v>
      </c>
      <c r="D218" s="228" t="s">
        <v>2960</v>
      </c>
      <c r="E218" s="98" t="s">
        <v>2961</v>
      </c>
      <c r="F218" s="98" t="s">
        <v>2962</v>
      </c>
      <c r="G218" s="242">
        <v>1</v>
      </c>
      <c r="H218" s="84">
        <v>57000</v>
      </c>
      <c r="I218" s="23">
        <f t="shared" si="9"/>
        <v>57000</v>
      </c>
      <c r="J218" s="29">
        <f t="shared" si="14"/>
        <v>14250</v>
      </c>
      <c r="K218" s="84">
        <f>I218*75%</f>
        <v>42750</v>
      </c>
      <c r="L218" s="86"/>
      <c r="N218" s="92">
        <f t="shared" si="13"/>
        <v>42750</v>
      </c>
      <c r="O218" s="91" t="s">
        <v>23</v>
      </c>
      <c r="P218" s="95"/>
      <c r="Q218" s="91" t="s">
        <v>40</v>
      </c>
      <c r="S218" s="12"/>
    </row>
    <row r="219" spans="1:23" s="29" customFormat="1">
      <c r="A219" s="9">
        <v>44267</v>
      </c>
      <c r="B219" s="91" t="s">
        <v>23</v>
      </c>
      <c r="C219" s="123" t="s">
        <v>2949</v>
      </c>
      <c r="D219" s="228" t="s">
        <v>2963</v>
      </c>
      <c r="E219" s="285" t="s">
        <v>2964</v>
      </c>
      <c r="F219" s="285" t="s">
        <v>2965</v>
      </c>
      <c r="G219" s="242">
        <v>1</v>
      </c>
      <c r="H219" s="84">
        <v>59000</v>
      </c>
      <c r="I219" s="23">
        <f t="shared" si="9"/>
        <v>59000</v>
      </c>
      <c r="J219" s="29">
        <f t="shared" si="14"/>
        <v>20650</v>
      </c>
      <c r="K219" s="84">
        <f>I219*65%</f>
        <v>38350</v>
      </c>
      <c r="L219" s="86"/>
      <c r="N219" s="92">
        <f t="shared" si="13"/>
        <v>38350</v>
      </c>
      <c r="O219" s="91" t="s">
        <v>23</v>
      </c>
      <c r="P219" s="95"/>
      <c r="Q219" s="91" t="s">
        <v>40</v>
      </c>
      <c r="S219" s="12"/>
    </row>
    <row r="220" spans="1:23" s="29" customFormat="1" ht="15.6">
      <c r="A220" s="9">
        <v>44267</v>
      </c>
      <c r="B220" s="91" t="s">
        <v>23</v>
      </c>
      <c r="C220" s="123" t="s">
        <v>2949</v>
      </c>
      <c r="D220" s="228" t="s">
        <v>2966</v>
      </c>
      <c r="E220" s="98" t="s">
        <v>2967</v>
      </c>
      <c r="F220" s="98" t="s">
        <v>2968</v>
      </c>
      <c r="G220" s="242">
        <v>1</v>
      </c>
      <c r="H220" s="84">
        <v>120000</v>
      </c>
      <c r="I220" s="23">
        <f t="shared" si="9"/>
        <v>120000</v>
      </c>
      <c r="J220" s="29">
        <f t="shared" si="14"/>
        <v>30000</v>
      </c>
      <c r="K220" s="84">
        <f>I220*75%</f>
        <v>90000</v>
      </c>
      <c r="L220" s="86"/>
      <c r="N220" s="92">
        <f t="shared" si="13"/>
        <v>90000</v>
      </c>
      <c r="O220" s="91" t="s">
        <v>23</v>
      </c>
      <c r="P220" s="95"/>
      <c r="Q220" s="91" t="s">
        <v>40</v>
      </c>
      <c r="S220" s="12"/>
    </row>
    <row r="221" spans="1:23" s="29" customFormat="1" ht="15.6">
      <c r="A221" s="9">
        <v>44267</v>
      </c>
      <c r="B221" s="91" t="s">
        <v>23</v>
      </c>
      <c r="C221" s="123" t="s">
        <v>2949</v>
      </c>
      <c r="D221" s="228" t="s">
        <v>2969</v>
      </c>
      <c r="E221" s="98" t="s">
        <v>2970</v>
      </c>
      <c r="F221" s="98" t="s">
        <v>2971</v>
      </c>
      <c r="G221" s="242">
        <v>1</v>
      </c>
      <c r="H221" s="84">
        <v>116000</v>
      </c>
      <c r="I221" s="23">
        <f t="shared" si="9"/>
        <v>116000</v>
      </c>
      <c r="J221" s="29">
        <f t="shared" si="14"/>
        <v>40600</v>
      </c>
      <c r="K221" s="84">
        <f>I221*65%</f>
        <v>75400</v>
      </c>
      <c r="L221" s="86"/>
      <c r="N221" s="92">
        <f t="shared" si="13"/>
        <v>75400</v>
      </c>
      <c r="O221" s="91" t="s">
        <v>23</v>
      </c>
      <c r="P221" s="95"/>
      <c r="Q221" s="91" t="s">
        <v>40</v>
      </c>
      <c r="S221" s="12"/>
    </row>
    <row r="222" spans="1:23" s="29" customFormat="1" ht="15.6" hidden="1">
      <c r="A222" s="9">
        <v>44267</v>
      </c>
      <c r="B222" s="91" t="s">
        <v>313</v>
      </c>
      <c r="C222" s="91" t="s">
        <v>2972</v>
      </c>
      <c r="D222" s="228" t="s">
        <v>2973</v>
      </c>
      <c r="E222" s="443" t="s">
        <v>201</v>
      </c>
      <c r="F222" s="24" t="s">
        <v>202</v>
      </c>
      <c r="G222" s="242">
        <v>1</v>
      </c>
      <c r="H222" s="119">
        <v>84500</v>
      </c>
      <c r="I222" s="23">
        <f t="shared" si="9"/>
        <v>84500</v>
      </c>
      <c r="K222" s="86">
        <f>I222-J222</f>
        <v>84500</v>
      </c>
      <c r="L222" s="86">
        <v>21031</v>
      </c>
      <c r="N222" s="92">
        <f t="shared" si="13"/>
        <v>105531</v>
      </c>
      <c r="O222" s="91" t="s">
        <v>313</v>
      </c>
      <c r="P222" s="228"/>
      <c r="Q222" s="91" t="s">
        <v>40</v>
      </c>
      <c r="S222" s="228"/>
    </row>
    <row r="223" spans="1:23" s="29" customFormat="1" ht="15.6" hidden="1">
      <c r="A223" s="9">
        <v>44267</v>
      </c>
      <c r="B223" s="91" t="s">
        <v>313</v>
      </c>
      <c r="C223" s="91" t="s">
        <v>2972</v>
      </c>
      <c r="D223" s="228" t="s">
        <v>2974</v>
      </c>
      <c r="E223" s="443" t="s">
        <v>1933</v>
      </c>
      <c r="F223" s="24" t="s">
        <v>202</v>
      </c>
      <c r="G223" s="242">
        <v>1</v>
      </c>
      <c r="H223" s="119">
        <v>141500</v>
      </c>
      <c r="I223" s="23">
        <f t="shared" si="9"/>
        <v>141500</v>
      </c>
      <c r="J223" s="29">
        <f>I223*20%</f>
        <v>28300</v>
      </c>
      <c r="K223" s="86">
        <f t="shared" ref="K223:K286" si="15">I223-J223</f>
        <v>113200</v>
      </c>
      <c r="L223" s="86"/>
      <c r="N223" s="92">
        <f t="shared" si="13"/>
        <v>113200</v>
      </c>
      <c r="O223" s="91" t="s">
        <v>313</v>
      </c>
      <c r="P223" s="95"/>
      <c r="Q223" s="91" t="s">
        <v>40</v>
      </c>
      <c r="S223" s="12"/>
    </row>
    <row r="224" spans="1:23" s="20" customFormat="1" ht="15.6" hidden="1">
      <c r="A224" s="9">
        <v>44267</v>
      </c>
      <c r="B224" s="91" t="s">
        <v>313</v>
      </c>
      <c r="C224" s="91" t="s">
        <v>2975</v>
      </c>
      <c r="D224" s="228" t="s">
        <v>2976</v>
      </c>
      <c r="E224" s="463" t="s">
        <v>2977</v>
      </c>
      <c r="F224" s="464" t="s">
        <v>2978</v>
      </c>
      <c r="G224" s="242">
        <v>1</v>
      </c>
      <c r="H224" s="119">
        <v>82000</v>
      </c>
      <c r="I224" s="23">
        <f t="shared" si="9"/>
        <v>82000</v>
      </c>
      <c r="J224" s="29">
        <f t="shared" ref="J224:J226" si="16">I224*20%</f>
        <v>16400</v>
      </c>
      <c r="K224" s="86">
        <f t="shared" si="15"/>
        <v>65600</v>
      </c>
      <c r="L224" s="119">
        <v>36064</v>
      </c>
      <c r="M224" s="29"/>
      <c r="N224" s="92">
        <f t="shared" si="13"/>
        <v>101664</v>
      </c>
      <c r="O224" s="91" t="s">
        <v>313</v>
      </c>
      <c r="P224" s="227"/>
      <c r="Q224" s="91" t="s">
        <v>40</v>
      </c>
      <c r="R224" s="29"/>
      <c r="S224" s="227"/>
      <c r="T224" s="29"/>
      <c r="U224" s="29"/>
      <c r="V224" s="29"/>
      <c r="W224" s="29"/>
    </row>
    <row r="225" spans="1:23" s="20" customFormat="1" ht="15.6" hidden="1">
      <c r="A225" s="9">
        <v>44267</v>
      </c>
      <c r="B225" s="91" t="s">
        <v>313</v>
      </c>
      <c r="C225" s="91" t="s">
        <v>2975</v>
      </c>
      <c r="D225" s="228" t="s">
        <v>2979</v>
      </c>
      <c r="E225" s="49" t="s">
        <v>781</v>
      </c>
      <c r="F225" s="465" t="s">
        <v>782</v>
      </c>
      <c r="G225" s="242">
        <v>1</v>
      </c>
      <c r="H225" s="119">
        <v>57500</v>
      </c>
      <c r="I225" s="23">
        <f t="shared" si="9"/>
        <v>57500</v>
      </c>
      <c r="J225" s="29">
        <f t="shared" si="16"/>
        <v>11500</v>
      </c>
      <c r="K225" s="86">
        <f t="shared" si="15"/>
        <v>46000</v>
      </c>
      <c r="L225" s="119"/>
      <c r="M225" s="29"/>
      <c r="N225" s="92">
        <f t="shared" si="13"/>
        <v>46000</v>
      </c>
      <c r="O225" s="91" t="s">
        <v>313</v>
      </c>
      <c r="P225" s="29"/>
      <c r="Q225" s="91" t="s">
        <v>40</v>
      </c>
      <c r="R225" s="29"/>
      <c r="S225" s="29"/>
      <c r="T225" s="29"/>
      <c r="U225" s="29"/>
      <c r="V225" s="29"/>
      <c r="W225" s="29"/>
    </row>
    <row r="226" spans="1:23" s="20" customFormat="1" ht="15.6" hidden="1">
      <c r="A226" s="9">
        <v>44267</v>
      </c>
      <c r="B226" s="91" t="s">
        <v>313</v>
      </c>
      <c r="C226" s="91" t="s">
        <v>2975</v>
      </c>
      <c r="D226" s="228" t="s">
        <v>2980</v>
      </c>
      <c r="E226" s="463" t="s">
        <v>2981</v>
      </c>
      <c r="F226" s="463" t="s">
        <v>2982</v>
      </c>
      <c r="G226" s="242">
        <v>1</v>
      </c>
      <c r="H226" s="119">
        <v>79000</v>
      </c>
      <c r="I226" s="23">
        <f t="shared" si="9"/>
        <v>79000</v>
      </c>
      <c r="J226" s="29">
        <f t="shared" si="16"/>
        <v>15800</v>
      </c>
      <c r="K226" s="86">
        <f t="shared" si="15"/>
        <v>63200</v>
      </c>
      <c r="L226" s="119"/>
      <c r="M226" s="29"/>
      <c r="N226" s="92">
        <f t="shared" si="13"/>
        <v>63200</v>
      </c>
      <c r="O226" s="91" t="s">
        <v>313</v>
      </c>
      <c r="P226" s="95"/>
      <c r="Q226" s="91" t="s">
        <v>40</v>
      </c>
      <c r="R226" s="29"/>
      <c r="S226" s="12"/>
      <c r="T226" s="29"/>
      <c r="U226" s="29"/>
      <c r="V226" s="29"/>
      <c r="W226" s="29"/>
    </row>
    <row r="227" spans="1:23" s="20" customFormat="1" ht="15.6" hidden="1">
      <c r="A227" s="9">
        <v>44267</v>
      </c>
      <c r="B227" s="91" t="s">
        <v>43</v>
      </c>
      <c r="C227" s="123" t="s">
        <v>2983</v>
      </c>
      <c r="D227" s="228" t="s">
        <v>2984</v>
      </c>
      <c r="E227" s="461" t="s">
        <v>2985</v>
      </c>
      <c r="F227" s="461" t="s">
        <v>2986</v>
      </c>
      <c r="G227" s="242">
        <v>1</v>
      </c>
      <c r="H227" s="466">
        <v>157000</v>
      </c>
      <c r="I227" s="23">
        <f t="shared" si="9"/>
        <v>157000</v>
      </c>
      <c r="J227" s="29"/>
      <c r="K227" s="86">
        <f t="shared" si="15"/>
        <v>157000</v>
      </c>
      <c r="L227" s="119"/>
      <c r="M227" s="29">
        <v>-6798</v>
      </c>
      <c r="N227" s="92">
        <f t="shared" si="13"/>
        <v>150202</v>
      </c>
      <c r="O227" s="91" t="s">
        <v>43</v>
      </c>
      <c r="P227" s="95" t="s">
        <v>2987</v>
      </c>
      <c r="Q227" s="91" t="s">
        <v>54</v>
      </c>
      <c r="R227" s="29"/>
      <c r="S227" s="12" t="s">
        <v>2988</v>
      </c>
      <c r="T227" s="29"/>
      <c r="U227" s="29"/>
      <c r="V227" s="29"/>
      <c r="W227" s="29"/>
    </row>
    <row r="228" spans="1:23" s="20" customFormat="1" ht="15.6" hidden="1">
      <c r="A228" s="9">
        <v>44267</v>
      </c>
      <c r="B228" s="91" t="s">
        <v>43</v>
      </c>
      <c r="C228" s="123" t="s">
        <v>2989</v>
      </c>
      <c r="D228" s="228" t="s">
        <v>2990</v>
      </c>
      <c r="E228" s="14" t="s">
        <v>2612</v>
      </c>
      <c r="F228" s="14" t="s">
        <v>2613</v>
      </c>
      <c r="G228" s="242">
        <v>1</v>
      </c>
      <c r="H228" s="119">
        <v>66500</v>
      </c>
      <c r="I228" s="23">
        <f t="shared" si="9"/>
        <v>66500</v>
      </c>
      <c r="J228" s="29"/>
      <c r="K228" s="86">
        <f t="shared" si="15"/>
        <v>66500</v>
      </c>
      <c r="L228" s="119"/>
      <c r="M228" s="29">
        <v>-2880</v>
      </c>
      <c r="N228" s="92">
        <f t="shared" si="13"/>
        <v>63620</v>
      </c>
      <c r="O228" s="91" t="s">
        <v>43</v>
      </c>
      <c r="P228" s="95" t="s">
        <v>2991</v>
      </c>
      <c r="Q228" s="91" t="s">
        <v>54</v>
      </c>
      <c r="R228" s="29"/>
      <c r="S228" s="12" t="s">
        <v>2992</v>
      </c>
      <c r="T228" s="29"/>
      <c r="U228" s="29"/>
      <c r="V228" s="29"/>
      <c r="W228" s="29"/>
    </row>
    <row r="229" spans="1:23" s="20" customFormat="1" ht="15.6" hidden="1">
      <c r="A229" s="9">
        <v>44267</v>
      </c>
      <c r="B229" s="91" t="s">
        <v>177</v>
      </c>
      <c r="C229" s="123" t="s">
        <v>2993</v>
      </c>
      <c r="D229" s="228" t="s">
        <v>2994</v>
      </c>
      <c r="E229" s="14" t="s">
        <v>2995</v>
      </c>
      <c r="F229" s="14" t="s">
        <v>2996</v>
      </c>
      <c r="G229" s="245">
        <v>1</v>
      </c>
      <c r="H229" s="119">
        <v>117000</v>
      </c>
      <c r="I229" s="23">
        <f t="shared" si="9"/>
        <v>117000</v>
      </c>
      <c r="J229" s="29"/>
      <c r="K229" s="86">
        <f t="shared" si="15"/>
        <v>117000</v>
      </c>
      <c r="L229" s="86">
        <v>9000</v>
      </c>
      <c r="M229" s="29"/>
      <c r="N229" s="92">
        <f t="shared" si="13"/>
        <v>126000</v>
      </c>
      <c r="O229" s="91" t="s">
        <v>177</v>
      </c>
      <c r="P229" s="95">
        <v>560858752097134</v>
      </c>
      <c r="Q229" s="91" t="s">
        <v>54</v>
      </c>
      <c r="R229" s="29"/>
      <c r="S229" s="12"/>
      <c r="T229" s="29"/>
      <c r="U229" s="29"/>
      <c r="V229" s="29"/>
      <c r="W229" s="29"/>
    </row>
    <row r="230" spans="1:23" s="20" customFormat="1" ht="15.6">
      <c r="A230" s="9">
        <v>44267</v>
      </c>
      <c r="B230" s="91" t="s">
        <v>23</v>
      </c>
      <c r="C230" s="123" t="s">
        <v>2997</v>
      </c>
      <c r="D230" s="228" t="s">
        <v>2998</v>
      </c>
      <c r="E230" s="461" t="s">
        <v>2784</v>
      </c>
      <c r="F230" s="462" t="s">
        <v>2785</v>
      </c>
      <c r="G230" s="242">
        <v>1</v>
      </c>
      <c r="H230" s="119">
        <v>75500</v>
      </c>
      <c r="I230" s="23">
        <f t="shared" si="9"/>
        <v>75500</v>
      </c>
      <c r="J230" s="29"/>
      <c r="K230" s="86">
        <f t="shared" si="15"/>
        <v>75500</v>
      </c>
      <c r="L230" s="86">
        <v>16000</v>
      </c>
      <c r="M230" s="29"/>
      <c r="N230" s="92">
        <f t="shared" si="13"/>
        <v>91500</v>
      </c>
      <c r="O230" s="91" t="s">
        <v>23</v>
      </c>
      <c r="P230" s="95"/>
      <c r="Q230" s="91" t="s">
        <v>40</v>
      </c>
      <c r="R230" s="29"/>
      <c r="S230" s="12"/>
      <c r="T230" s="29"/>
      <c r="U230" s="29"/>
      <c r="V230" s="29"/>
      <c r="W230" s="29"/>
    </row>
    <row r="231" spans="1:23" s="20" customFormat="1" ht="15.6">
      <c r="A231" s="9">
        <v>44267</v>
      </c>
      <c r="B231" s="91" t="s">
        <v>23</v>
      </c>
      <c r="C231" s="123" t="s">
        <v>2949</v>
      </c>
      <c r="D231" s="228" t="s">
        <v>2966</v>
      </c>
      <c r="E231" s="361" t="s">
        <v>435</v>
      </c>
      <c r="F231" s="444" t="s">
        <v>436</v>
      </c>
      <c r="G231" s="242">
        <v>1</v>
      </c>
      <c r="H231" s="84">
        <v>95000</v>
      </c>
      <c r="I231" s="23">
        <f t="shared" si="9"/>
        <v>95000</v>
      </c>
      <c r="J231" s="119">
        <f>I231-K231</f>
        <v>28500</v>
      </c>
      <c r="K231" s="84">
        <f>I231*70%</f>
        <v>66500</v>
      </c>
      <c r="L231" s="86">
        <v>32000</v>
      </c>
      <c r="M231" s="29"/>
      <c r="N231" s="92">
        <f t="shared" si="13"/>
        <v>98500</v>
      </c>
      <c r="O231" s="91" t="s">
        <v>23</v>
      </c>
      <c r="P231" s="29"/>
      <c r="Q231" s="91" t="s">
        <v>40</v>
      </c>
      <c r="R231" s="29"/>
      <c r="S231" s="29"/>
      <c r="T231" s="29"/>
      <c r="U231" s="29"/>
      <c r="V231" s="29"/>
      <c r="W231" s="29"/>
    </row>
    <row r="232" spans="1:23" s="20" customFormat="1" ht="15.6">
      <c r="A232" s="9">
        <v>44267</v>
      </c>
      <c r="B232" s="91" t="s">
        <v>23</v>
      </c>
      <c r="C232" s="123" t="s">
        <v>2949</v>
      </c>
      <c r="D232" s="228" t="s">
        <v>2969</v>
      </c>
      <c r="E232" s="361" t="s">
        <v>2952</v>
      </c>
      <c r="F232" s="361" t="s">
        <v>2953</v>
      </c>
      <c r="G232" s="242">
        <v>1</v>
      </c>
      <c r="H232" s="84">
        <v>130000</v>
      </c>
      <c r="I232" s="23">
        <f t="shared" si="9"/>
        <v>130000</v>
      </c>
      <c r="J232" s="119">
        <f t="shared" ref="J232:J238" si="17">I232-K232</f>
        <v>32500</v>
      </c>
      <c r="K232" s="84">
        <f>I232*75%</f>
        <v>97500</v>
      </c>
      <c r="L232" s="119"/>
      <c r="M232" s="29"/>
      <c r="N232" s="92">
        <f t="shared" si="13"/>
        <v>97500</v>
      </c>
      <c r="O232" s="91" t="s">
        <v>23</v>
      </c>
      <c r="P232" s="29"/>
      <c r="Q232" s="91" t="s">
        <v>40</v>
      </c>
      <c r="R232" s="29"/>
      <c r="S232" s="110"/>
      <c r="T232" s="29"/>
      <c r="U232" s="29"/>
      <c r="V232" s="29"/>
      <c r="W232" s="29"/>
    </row>
    <row r="233" spans="1:23" s="20" customFormat="1" ht="15.6">
      <c r="A233" s="9">
        <v>44267</v>
      </c>
      <c r="B233" s="91" t="s">
        <v>23</v>
      </c>
      <c r="C233" s="123" t="s">
        <v>2949</v>
      </c>
      <c r="D233" s="228" t="s">
        <v>2999</v>
      </c>
      <c r="E233" s="361" t="s">
        <v>3000</v>
      </c>
      <c r="F233" s="361" t="s">
        <v>2656</v>
      </c>
      <c r="G233" s="242">
        <v>1</v>
      </c>
      <c r="H233" s="84">
        <v>77000</v>
      </c>
      <c r="I233" s="23">
        <f t="shared" si="9"/>
        <v>77000</v>
      </c>
      <c r="J233" s="119">
        <f t="shared" si="17"/>
        <v>30800</v>
      </c>
      <c r="K233" s="84">
        <f>I233*60%</f>
        <v>46200</v>
      </c>
      <c r="L233" s="119"/>
      <c r="M233" s="29"/>
      <c r="N233" s="92">
        <f t="shared" si="13"/>
        <v>46200</v>
      </c>
      <c r="O233" s="91" t="s">
        <v>23</v>
      </c>
      <c r="P233" s="95"/>
      <c r="Q233" s="91" t="s">
        <v>40</v>
      </c>
      <c r="R233" s="29"/>
      <c r="S233" s="12"/>
      <c r="T233" s="29"/>
      <c r="U233" s="29"/>
      <c r="V233" s="29"/>
      <c r="W233" s="29"/>
    </row>
    <row r="234" spans="1:23" s="20" customFormat="1" ht="15.6">
      <c r="A234" s="9">
        <v>44267</v>
      </c>
      <c r="B234" s="91" t="s">
        <v>23</v>
      </c>
      <c r="C234" s="123" t="s">
        <v>2949</v>
      </c>
      <c r="D234" s="228" t="s">
        <v>3001</v>
      </c>
      <c r="E234" s="361" t="s">
        <v>225</v>
      </c>
      <c r="F234" s="444" t="s">
        <v>226</v>
      </c>
      <c r="G234" s="242">
        <v>1</v>
      </c>
      <c r="H234" s="84">
        <v>108500</v>
      </c>
      <c r="I234" s="23">
        <f t="shared" si="9"/>
        <v>108500</v>
      </c>
      <c r="J234" s="119">
        <f t="shared" si="17"/>
        <v>27125</v>
      </c>
      <c r="K234" s="84">
        <f>I234*75%</f>
        <v>81375</v>
      </c>
      <c r="L234" s="119"/>
      <c r="M234" s="29"/>
      <c r="N234" s="92">
        <f t="shared" si="13"/>
        <v>81375</v>
      </c>
      <c r="O234" s="91" t="s">
        <v>23</v>
      </c>
      <c r="P234" s="29"/>
      <c r="Q234" s="91" t="s">
        <v>40</v>
      </c>
      <c r="R234" s="29"/>
      <c r="S234" s="12"/>
      <c r="T234" s="29"/>
      <c r="U234" s="29"/>
      <c r="V234" s="29"/>
      <c r="W234" s="29"/>
    </row>
    <row r="235" spans="1:23" s="20" customFormat="1" ht="15.6">
      <c r="A235" s="9">
        <v>44267</v>
      </c>
      <c r="B235" s="91" t="s">
        <v>23</v>
      </c>
      <c r="C235" s="123" t="s">
        <v>2949</v>
      </c>
      <c r="D235" s="228" t="s">
        <v>3002</v>
      </c>
      <c r="E235" s="360" t="s">
        <v>3003</v>
      </c>
      <c r="F235" s="467" t="s">
        <v>3004</v>
      </c>
      <c r="G235" s="242">
        <v>1</v>
      </c>
      <c r="H235" s="84">
        <v>131500</v>
      </c>
      <c r="I235" s="23">
        <f t="shared" si="9"/>
        <v>131500</v>
      </c>
      <c r="J235" s="119">
        <f t="shared" si="17"/>
        <v>32875</v>
      </c>
      <c r="K235" s="84">
        <f>I235*75%</f>
        <v>98625</v>
      </c>
      <c r="L235" s="119"/>
      <c r="M235" s="29"/>
      <c r="N235" s="92">
        <f t="shared" si="13"/>
        <v>98625</v>
      </c>
      <c r="O235" s="91" t="s">
        <v>23</v>
      </c>
      <c r="P235" s="29"/>
      <c r="Q235" s="91" t="s">
        <v>40</v>
      </c>
      <c r="R235" s="29"/>
      <c r="S235" s="29"/>
      <c r="T235" s="29"/>
      <c r="U235" s="29"/>
      <c r="V235" s="29"/>
      <c r="W235" s="29"/>
    </row>
    <row r="236" spans="1:23" s="20" customFormat="1">
      <c r="A236" s="9">
        <v>44267</v>
      </c>
      <c r="B236" s="91" t="s">
        <v>23</v>
      </c>
      <c r="C236" s="123" t="s">
        <v>2949</v>
      </c>
      <c r="D236" s="228" t="s">
        <v>3005</v>
      </c>
      <c r="E236" s="446" t="s">
        <v>2964</v>
      </c>
      <c r="F236" s="446" t="s">
        <v>2965</v>
      </c>
      <c r="G236" s="242">
        <v>1</v>
      </c>
      <c r="H236" s="84">
        <v>59000</v>
      </c>
      <c r="I236" s="23">
        <f t="shared" si="9"/>
        <v>59000</v>
      </c>
      <c r="J236" s="119">
        <f t="shared" si="17"/>
        <v>20650</v>
      </c>
      <c r="K236" s="84">
        <f>I236*65%</f>
        <v>38350</v>
      </c>
      <c r="L236" s="119"/>
      <c r="M236" s="29"/>
      <c r="N236" s="92">
        <f t="shared" si="13"/>
        <v>38350</v>
      </c>
      <c r="O236" s="91" t="s">
        <v>23</v>
      </c>
      <c r="P236" s="29"/>
      <c r="Q236" s="91" t="s">
        <v>40</v>
      </c>
      <c r="R236" s="29"/>
      <c r="S236" s="329"/>
      <c r="T236" s="29"/>
      <c r="U236" s="29"/>
      <c r="V236" s="29"/>
      <c r="W236" s="29"/>
    </row>
    <row r="237" spans="1:23" s="20" customFormat="1" ht="15.6">
      <c r="A237" s="9">
        <v>44267</v>
      </c>
      <c r="B237" s="91" t="s">
        <v>23</v>
      </c>
      <c r="C237" s="123" t="s">
        <v>2949</v>
      </c>
      <c r="D237" s="228" t="s">
        <v>3006</v>
      </c>
      <c r="E237" s="361" t="s">
        <v>2967</v>
      </c>
      <c r="F237" s="361" t="s">
        <v>2968</v>
      </c>
      <c r="G237" s="242">
        <v>1</v>
      </c>
      <c r="H237" s="84">
        <v>120000</v>
      </c>
      <c r="I237" s="23">
        <f t="shared" si="9"/>
        <v>120000</v>
      </c>
      <c r="J237" s="119">
        <f t="shared" si="17"/>
        <v>30000</v>
      </c>
      <c r="K237" s="84">
        <f>I237*75%</f>
        <v>90000</v>
      </c>
      <c r="L237" s="119"/>
      <c r="M237" s="29"/>
      <c r="N237" s="92">
        <f t="shared" si="13"/>
        <v>90000</v>
      </c>
      <c r="O237" s="91" t="s">
        <v>23</v>
      </c>
      <c r="P237" s="29"/>
      <c r="Q237" s="91" t="s">
        <v>40</v>
      </c>
      <c r="R237" s="29"/>
      <c r="S237" s="29"/>
      <c r="T237" s="29"/>
      <c r="U237" s="29"/>
      <c r="V237" s="29"/>
      <c r="W237" s="29"/>
    </row>
    <row r="238" spans="1:23" s="20" customFormat="1" ht="15.6">
      <c r="A238" s="9">
        <v>44267</v>
      </c>
      <c r="B238" s="91" t="s">
        <v>23</v>
      </c>
      <c r="C238" s="123" t="s">
        <v>2949</v>
      </c>
      <c r="D238" s="228" t="s">
        <v>3007</v>
      </c>
      <c r="E238" s="361" t="s">
        <v>3008</v>
      </c>
      <c r="F238" s="444" t="s">
        <v>3009</v>
      </c>
      <c r="G238" s="242">
        <v>1</v>
      </c>
      <c r="H238" s="84">
        <v>125000</v>
      </c>
      <c r="I238" s="23">
        <f t="shared" si="9"/>
        <v>125000</v>
      </c>
      <c r="J238" s="119">
        <f t="shared" si="17"/>
        <v>43750</v>
      </c>
      <c r="K238" s="84">
        <f>I238*65%</f>
        <v>81250</v>
      </c>
      <c r="L238" s="86"/>
      <c r="M238" s="29"/>
      <c r="N238" s="92">
        <f t="shared" si="13"/>
        <v>81250</v>
      </c>
      <c r="O238" s="91" t="s">
        <v>23</v>
      </c>
      <c r="P238" s="228"/>
      <c r="Q238" s="91" t="s">
        <v>40</v>
      </c>
      <c r="R238" s="29"/>
      <c r="S238" s="228"/>
      <c r="T238" s="29"/>
      <c r="U238" s="29"/>
      <c r="V238" s="29"/>
      <c r="W238" s="29"/>
    </row>
    <row r="239" spans="1:23" s="20" customFormat="1" ht="15.6">
      <c r="A239" s="9">
        <v>44267</v>
      </c>
      <c r="B239" s="91" t="s">
        <v>23</v>
      </c>
      <c r="C239" s="123" t="s">
        <v>3010</v>
      </c>
      <c r="D239" s="228" t="s">
        <v>3011</v>
      </c>
      <c r="E239" s="22" t="s">
        <v>3012</v>
      </c>
      <c r="F239" s="94" t="s">
        <v>3013</v>
      </c>
      <c r="G239" s="242">
        <v>1</v>
      </c>
      <c r="H239" s="119">
        <v>69000</v>
      </c>
      <c r="I239" s="23">
        <f t="shared" si="9"/>
        <v>69000</v>
      </c>
      <c r="J239" s="29"/>
      <c r="K239" s="86">
        <f t="shared" si="15"/>
        <v>69000</v>
      </c>
      <c r="L239" s="86">
        <v>10000</v>
      </c>
      <c r="M239" s="29"/>
      <c r="N239" s="92">
        <f t="shared" si="13"/>
        <v>79000</v>
      </c>
      <c r="O239" s="91" t="s">
        <v>23</v>
      </c>
      <c r="P239" s="95"/>
      <c r="Q239" s="91" t="s">
        <v>40</v>
      </c>
      <c r="R239" s="29"/>
      <c r="S239" s="228"/>
      <c r="T239" s="29"/>
      <c r="U239" s="29"/>
      <c r="V239" s="29"/>
      <c r="W239" s="29"/>
    </row>
    <row r="240" spans="1:23" s="20" customFormat="1" ht="15.6">
      <c r="A240" s="9">
        <v>44267</v>
      </c>
      <c r="B240" s="91" t="s">
        <v>23</v>
      </c>
      <c r="C240" s="123" t="s">
        <v>3014</v>
      </c>
      <c r="D240" s="228" t="s">
        <v>3015</v>
      </c>
      <c r="E240" s="22" t="s">
        <v>3016</v>
      </c>
      <c r="F240" s="94" t="s">
        <v>3017</v>
      </c>
      <c r="G240" s="242">
        <v>1</v>
      </c>
      <c r="H240" s="119">
        <v>103000</v>
      </c>
      <c r="I240" s="23">
        <f t="shared" si="9"/>
        <v>103000</v>
      </c>
      <c r="J240" s="29"/>
      <c r="K240" s="86">
        <f t="shared" si="15"/>
        <v>103000</v>
      </c>
      <c r="L240" s="86">
        <v>38000</v>
      </c>
      <c r="M240" s="29"/>
      <c r="N240" s="92">
        <f t="shared" si="13"/>
        <v>141000</v>
      </c>
      <c r="O240" s="91" t="s">
        <v>23</v>
      </c>
      <c r="P240" s="29"/>
      <c r="Q240" s="91" t="s">
        <v>54</v>
      </c>
      <c r="R240" s="29"/>
      <c r="S240" s="29"/>
      <c r="T240" s="29"/>
      <c r="U240" s="29"/>
      <c r="V240" s="29"/>
      <c r="W240" s="29"/>
    </row>
    <row r="241" spans="1:23" s="29" customFormat="1" ht="15.6" hidden="1">
      <c r="A241" s="9">
        <v>44267</v>
      </c>
      <c r="B241" s="91" t="s">
        <v>43</v>
      </c>
      <c r="C241" s="287" t="s">
        <v>3018</v>
      </c>
      <c r="D241" s="228" t="s">
        <v>3019</v>
      </c>
      <c r="E241" s="22" t="s">
        <v>1713</v>
      </c>
      <c r="F241" s="22" t="s">
        <v>1714</v>
      </c>
      <c r="G241" s="242">
        <v>1</v>
      </c>
      <c r="H241" s="119">
        <v>139000</v>
      </c>
      <c r="I241" s="23">
        <f t="shared" si="9"/>
        <v>139000</v>
      </c>
      <c r="K241" s="86">
        <f t="shared" si="15"/>
        <v>139000</v>
      </c>
      <c r="L241" s="86">
        <v>7000</v>
      </c>
      <c r="M241" s="29">
        <v>-6019</v>
      </c>
      <c r="N241" s="92">
        <f t="shared" si="13"/>
        <v>139981</v>
      </c>
      <c r="O241" s="91" t="s">
        <v>43</v>
      </c>
      <c r="P241" s="95" t="s">
        <v>3020</v>
      </c>
      <c r="Q241" s="91" t="s">
        <v>54</v>
      </c>
      <c r="S241" s="12" t="s">
        <v>3021</v>
      </c>
    </row>
    <row r="242" spans="1:23" s="20" customFormat="1" ht="15.6">
      <c r="A242" s="9">
        <v>44270</v>
      </c>
      <c r="B242" s="10" t="s">
        <v>23</v>
      </c>
      <c r="C242" s="10" t="s">
        <v>3022</v>
      </c>
      <c r="D242" s="468" t="s">
        <v>3023</v>
      </c>
      <c r="E242" s="74" t="s">
        <v>3024</v>
      </c>
      <c r="F242" s="74" t="s">
        <v>3025</v>
      </c>
      <c r="G242" s="56">
        <v>1</v>
      </c>
      <c r="H242" s="119">
        <v>85000</v>
      </c>
      <c r="I242" s="23">
        <f t="shared" ref="I242:I315" si="18">H242*G242</f>
        <v>85000</v>
      </c>
      <c r="J242" s="29"/>
      <c r="K242" s="86">
        <f t="shared" si="15"/>
        <v>85000</v>
      </c>
      <c r="L242" s="86">
        <v>42033</v>
      </c>
      <c r="M242" s="29"/>
      <c r="N242" s="92">
        <f>K242+L242+M242</f>
        <v>127033</v>
      </c>
      <c r="O242" s="10" t="s">
        <v>23</v>
      </c>
      <c r="P242" s="333"/>
      <c r="Q242" s="10" t="s">
        <v>40</v>
      </c>
      <c r="R242" s="29"/>
      <c r="S242" s="468"/>
      <c r="T242" s="29"/>
      <c r="U242" s="29"/>
      <c r="V242" s="29"/>
      <c r="W242" s="29"/>
    </row>
    <row r="243" spans="1:23" s="20" customFormat="1" ht="15.6" hidden="1">
      <c r="A243" s="9">
        <v>44270</v>
      </c>
      <c r="B243" s="10" t="s">
        <v>43</v>
      </c>
      <c r="C243" s="11" t="s">
        <v>3026</v>
      </c>
      <c r="D243" s="468" t="s">
        <v>3027</v>
      </c>
      <c r="E243" s="74" t="s">
        <v>955</v>
      </c>
      <c r="F243" s="315" t="s">
        <v>956</v>
      </c>
      <c r="G243" s="56">
        <v>1</v>
      </c>
      <c r="H243" s="119">
        <v>73000</v>
      </c>
      <c r="I243" s="23">
        <f t="shared" si="18"/>
        <v>73000</v>
      </c>
      <c r="J243" s="29"/>
      <c r="K243" s="86">
        <f t="shared" si="15"/>
        <v>73000</v>
      </c>
      <c r="L243" s="86"/>
      <c r="M243" s="29">
        <v>-3161</v>
      </c>
      <c r="N243" s="92">
        <f t="shared" ref="N243:N306" si="19">K243+L243+M243</f>
        <v>69839</v>
      </c>
      <c r="O243" s="10" t="s">
        <v>43</v>
      </c>
      <c r="P243" s="468" t="s">
        <v>3028</v>
      </c>
      <c r="Q243" s="10" t="s">
        <v>54</v>
      </c>
      <c r="R243" s="29"/>
      <c r="S243" s="12" t="s">
        <v>3029</v>
      </c>
      <c r="T243" s="29"/>
      <c r="U243" s="29"/>
      <c r="V243" s="29"/>
      <c r="W243" s="29"/>
    </row>
    <row r="244" spans="1:23" s="20" customFormat="1" ht="15.6" hidden="1">
      <c r="A244" s="9">
        <v>44270</v>
      </c>
      <c r="B244" s="10" t="s">
        <v>43</v>
      </c>
      <c r="C244" s="10" t="s">
        <v>369</v>
      </c>
      <c r="D244" s="468" t="s">
        <v>3030</v>
      </c>
      <c r="E244" s="74" t="s">
        <v>579</v>
      </c>
      <c r="F244" s="315" t="s">
        <v>72</v>
      </c>
      <c r="G244" s="56">
        <v>1</v>
      </c>
      <c r="H244" s="119">
        <v>108000</v>
      </c>
      <c r="I244" s="23">
        <f t="shared" si="18"/>
        <v>108000</v>
      </c>
      <c r="J244" s="29"/>
      <c r="K244" s="86">
        <f t="shared" si="15"/>
        <v>108000</v>
      </c>
      <c r="L244" s="86">
        <v>24000</v>
      </c>
      <c r="M244" s="29">
        <v>-4676</v>
      </c>
      <c r="N244" s="92">
        <f t="shared" si="19"/>
        <v>127324</v>
      </c>
      <c r="O244" s="10" t="s">
        <v>43</v>
      </c>
      <c r="P244" s="333" t="s">
        <v>3031</v>
      </c>
      <c r="Q244" s="10" t="s">
        <v>138</v>
      </c>
      <c r="R244" s="29"/>
      <c r="S244" s="468" t="s">
        <v>3032</v>
      </c>
      <c r="T244" s="29"/>
      <c r="U244" s="29"/>
      <c r="V244" s="29"/>
      <c r="W244" s="29"/>
    </row>
    <row r="245" spans="1:23" s="20" customFormat="1" ht="15.6" hidden="1">
      <c r="A245" s="9">
        <v>44270</v>
      </c>
      <c r="B245" s="10" t="s">
        <v>43</v>
      </c>
      <c r="C245" s="10" t="s">
        <v>3033</v>
      </c>
      <c r="D245" s="468" t="s">
        <v>3034</v>
      </c>
      <c r="E245" s="74" t="s">
        <v>3035</v>
      </c>
      <c r="F245" s="74" t="s">
        <v>3036</v>
      </c>
      <c r="G245" s="56">
        <v>2</v>
      </c>
      <c r="H245" s="119">
        <v>84000</v>
      </c>
      <c r="I245" s="23">
        <f t="shared" si="18"/>
        <v>168000</v>
      </c>
      <c r="J245" s="29"/>
      <c r="K245" s="86">
        <f t="shared" si="15"/>
        <v>168000</v>
      </c>
      <c r="L245" s="86"/>
      <c r="M245" s="29">
        <v>-7274</v>
      </c>
      <c r="N245" s="92">
        <f t="shared" si="19"/>
        <v>160726</v>
      </c>
      <c r="O245" s="10" t="s">
        <v>43</v>
      </c>
      <c r="P245" s="468" t="s">
        <v>3037</v>
      </c>
      <c r="Q245" s="10" t="s">
        <v>54</v>
      </c>
      <c r="R245" s="29"/>
      <c r="S245" s="37" t="s">
        <v>3038</v>
      </c>
      <c r="T245" s="29"/>
      <c r="U245" s="29"/>
      <c r="V245" s="29"/>
      <c r="W245" s="29"/>
    </row>
    <row r="246" spans="1:23" s="20" customFormat="1" ht="15.6" hidden="1">
      <c r="A246" s="9">
        <v>44270</v>
      </c>
      <c r="B246" s="10" t="s">
        <v>43</v>
      </c>
      <c r="C246" s="11" t="s">
        <v>3039</v>
      </c>
      <c r="D246" s="468" t="s">
        <v>3040</v>
      </c>
      <c r="E246" s="74" t="s">
        <v>3041</v>
      </c>
      <c r="F246" s="315" t="s">
        <v>3042</v>
      </c>
      <c r="G246" s="56">
        <v>1</v>
      </c>
      <c r="H246" s="119">
        <v>69000</v>
      </c>
      <c r="I246" s="23">
        <f t="shared" si="18"/>
        <v>69000</v>
      </c>
      <c r="J246" s="29"/>
      <c r="K246" s="86">
        <f t="shared" si="15"/>
        <v>69000</v>
      </c>
      <c r="L246" s="86">
        <v>11000</v>
      </c>
      <c r="M246" s="29">
        <v>-2988</v>
      </c>
      <c r="N246" s="92">
        <f t="shared" si="19"/>
        <v>77012</v>
      </c>
      <c r="O246" s="10" t="s">
        <v>43</v>
      </c>
      <c r="P246" s="468" t="s">
        <v>3043</v>
      </c>
      <c r="Q246" s="10" t="s">
        <v>54</v>
      </c>
      <c r="R246" s="29"/>
      <c r="S246" s="468" t="s">
        <v>3044</v>
      </c>
      <c r="T246" s="29"/>
      <c r="U246" s="29"/>
      <c r="V246" s="29"/>
      <c r="W246" s="29"/>
    </row>
    <row r="247" spans="1:23" s="20" customFormat="1" ht="15.6" hidden="1">
      <c r="A247" s="9">
        <v>44270</v>
      </c>
      <c r="B247" s="10" t="s">
        <v>43</v>
      </c>
      <c r="C247" s="10" t="s">
        <v>2527</v>
      </c>
      <c r="D247" s="468" t="s">
        <v>2567</v>
      </c>
      <c r="E247" s="469" t="s">
        <v>2529</v>
      </c>
      <c r="F247" s="339" t="s">
        <v>2530</v>
      </c>
      <c r="G247" s="56">
        <v>2</v>
      </c>
      <c r="H247" s="119">
        <v>54000</v>
      </c>
      <c r="I247" s="23">
        <f t="shared" si="18"/>
        <v>108000</v>
      </c>
      <c r="J247" s="29"/>
      <c r="K247" s="86">
        <f t="shared" si="15"/>
        <v>108000</v>
      </c>
      <c r="L247" s="86"/>
      <c r="M247" s="29">
        <v>-4676</v>
      </c>
      <c r="N247" s="92">
        <f t="shared" si="19"/>
        <v>103324</v>
      </c>
      <c r="O247" s="10" t="s">
        <v>43</v>
      </c>
      <c r="P247" s="468" t="s">
        <v>3045</v>
      </c>
      <c r="Q247" s="10" t="s">
        <v>54</v>
      </c>
      <c r="R247" s="29"/>
      <c r="S247" s="468" t="s">
        <v>3046</v>
      </c>
      <c r="T247" s="29"/>
      <c r="U247" s="29"/>
      <c r="V247" s="29"/>
      <c r="W247" s="29"/>
    </row>
    <row r="248" spans="1:23" s="20" customFormat="1" hidden="1">
      <c r="A248" s="9">
        <v>44270</v>
      </c>
      <c r="B248" s="10" t="s">
        <v>43</v>
      </c>
      <c r="C248" s="10" t="s">
        <v>3047</v>
      </c>
      <c r="D248" s="468" t="s">
        <v>3048</v>
      </c>
      <c r="E248" s="78" t="s">
        <v>3049</v>
      </c>
      <c r="F248" s="78" t="s">
        <v>384</v>
      </c>
      <c r="G248" s="56">
        <v>1</v>
      </c>
      <c r="H248" s="119">
        <v>110000</v>
      </c>
      <c r="I248" s="23">
        <f t="shared" si="18"/>
        <v>110000</v>
      </c>
      <c r="J248" s="29"/>
      <c r="K248" s="86">
        <f t="shared" si="15"/>
        <v>110000</v>
      </c>
      <c r="L248" s="86">
        <v>25000</v>
      </c>
      <c r="M248" s="29">
        <v>-4763</v>
      </c>
      <c r="N248" s="92">
        <f t="shared" si="19"/>
        <v>130237</v>
      </c>
      <c r="O248" s="10" t="s">
        <v>43</v>
      </c>
      <c r="P248" s="468" t="s">
        <v>3050</v>
      </c>
      <c r="Q248" s="10" t="s">
        <v>54</v>
      </c>
      <c r="R248" s="29"/>
      <c r="S248" s="468" t="s">
        <v>3051</v>
      </c>
      <c r="T248" s="29"/>
      <c r="U248" s="29"/>
      <c r="V248" s="29"/>
      <c r="W248" s="29"/>
    </row>
    <row r="249" spans="1:23" s="20" customFormat="1" ht="15.6" hidden="1">
      <c r="A249" s="9">
        <v>44270</v>
      </c>
      <c r="B249" s="10" t="s">
        <v>43</v>
      </c>
      <c r="C249" s="11" t="s">
        <v>3052</v>
      </c>
      <c r="D249" s="468" t="s">
        <v>3053</v>
      </c>
      <c r="E249" s="74" t="s">
        <v>1081</v>
      </c>
      <c r="F249" s="74" t="s">
        <v>1082</v>
      </c>
      <c r="G249" s="56">
        <v>1</v>
      </c>
      <c r="H249" s="119">
        <v>88000</v>
      </c>
      <c r="I249" s="23">
        <f t="shared" si="18"/>
        <v>88000</v>
      </c>
      <c r="J249" s="29"/>
      <c r="K249" s="86">
        <f t="shared" si="15"/>
        <v>88000</v>
      </c>
      <c r="L249" s="86">
        <v>30000</v>
      </c>
      <c r="M249" s="29">
        <v>-3810</v>
      </c>
      <c r="N249" s="92">
        <f t="shared" si="19"/>
        <v>114190</v>
      </c>
      <c r="O249" s="10" t="s">
        <v>43</v>
      </c>
      <c r="P249" s="468" t="s">
        <v>3054</v>
      </c>
      <c r="Q249" s="10" t="s">
        <v>54</v>
      </c>
      <c r="R249" s="29"/>
      <c r="S249" s="12" t="s">
        <v>3055</v>
      </c>
      <c r="T249" s="29"/>
      <c r="U249" s="29"/>
      <c r="V249" s="29"/>
      <c r="W249" s="29"/>
    </row>
    <row r="250" spans="1:23" s="20" customFormat="1" ht="15.6" hidden="1">
      <c r="A250" s="9">
        <v>44270</v>
      </c>
      <c r="B250" s="10" t="s">
        <v>206</v>
      </c>
      <c r="C250" s="11" t="s">
        <v>3056</v>
      </c>
      <c r="D250" s="468" t="s">
        <v>3057</v>
      </c>
      <c r="E250" s="428" t="s">
        <v>773</v>
      </c>
      <c r="F250" s="428" t="s">
        <v>774</v>
      </c>
      <c r="G250" s="56">
        <v>1</v>
      </c>
      <c r="H250" s="119">
        <v>96000</v>
      </c>
      <c r="I250" s="23">
        <f t="shared" si="18"/>
        <v>96000</v>
      </c>
      <c r="J250" s="29"/>
      <c r="K250" s="86">
        <f t="shared" si="15"/>
        <v>96000</v>
      </c>
      <c r="L250" s="86">
        <v>7500</v>
      </c>
      <c r="M250" s="29"/>
      <c r="N250" s="92">
        <f t="shared" si="19"/>
        <v>103500</v>
      </c>
      <c r="O250" s="10" t="s">
        <v>206</v>
      </c>
      <c r="P250" s="468" t="s">
        <v>3058</v>
      </c>
      <c r="Q250" s="10" t="s">
        <v>28</v>
      </c>
      <c r="R250" s="29"/>
      <c r="S250" s="468"/>
      <c r="T250" s="29"/>
      <c r="U250" s="29"/>
      <c r="V250" s="29"/>
      <c r="W250" s="29"/>
    </row>
    <row r="251" spans="1:23" s="20" customFormat="1" ht="15.6" hidden="1">
      <c r="A251" s="9">
        <v>44270</v>
      </c>
      <c r="B251" s="10" t="s">
        <v>177</v>
      </c>
      <c r="C251" s="11" t="s">
        <v>3059</v>
      </c>
      <c r="D251" s="468" t="s">
        <v>3060</v>
      </c>
      <c r="E251" s="74" t="s">
        <v>2399</v>
      </c>
      <c r="F251" s="74" t="s">
        <v>1993</v>
      </c>
      <c r="G251" s="56">
        <v>4</v>
      </c>
      <c r="H251" s="119">
        <v>100000</v>
      </c>
      <c r="I251" s="23">
        <f t="shared" si="18"/>
        <v>400000</v>
      </c>
      <c r="J251" s="29"/>
      <c r="K251" s="86">
        <f t="shared" si="15"/>
        <v>400000</v>
      </c>
      <c r="L251" s="86">
        <v>75000</v>
      </c>
      <c r="M251" s="29"/>
      <c r="N251" s="92">
        <f t="shared" si="19"/>
        <v>475000</v>
      </c>
      <c r="O251" s="10" t="s">
        <v>177</v>
      </c>
      <c r="P251" s="468">
        <v>556868059169667</v>
      </c>
      <c r="Q251" s="10" t="s">
        <v>54</v>
      </c>
      <c r="R251" s="29"/>
      <c r="S251" s="468"/>
      <c r="T251" s="29"/>
      <c r="U251" s="29"/>
      <c r="V251" s="29"/>
      <c r="W251" s="29"/>
    </row>
    <row r="252" spans="1:23" s="29" customFormat="1" ht="15.6" hidden="1">
      <c r="A252" s="9">
        <v>44270</v>
      </c>
      <c r="B252" s="10" t="s">
        <v>177</v>
      </c>
      <c r="C252" s="11" t="s">
        <v>3061</v>
      </c>
      <c r="D252" s="468" t="s">
        <v>3062</v>
      </c>
      <c r="E252" s="428" t="s">
        <v>3063</v>
      </c>
      <c r="F252" s="428" t="s">
        <v>3064</v>
      </c>
      <c r="G252" s="56">
        <v>1</v>
      </c>
      <c r="H252" s="119">
        <v>91500</v>
      </c>
      <c r="I252" s="23">
        <f t="shared" si="18"/>
        <v>91500</v>
      </c>
      <c r="K252" s="86">
        <f t="shared" si="15"/>
        <v>91500</v>
      </c>
      <c r="L252" s="86">
        <v>8000</v>
      </c>
      <c r="N252" s="92">
        <f t="shared" si="19"/>
        <v>99500</v>
      </c>
      <c r="O252" s="10" t="s">
        <v>177</v>
      </c>
      <c r="P252" s="468">
        <v>562137765980699</v>
      </c>
      <c r="Q252" s="10" t="s">
        <v>54</v>
      </c>
      <c r="S252" s="468"/>
    </row>
    <row r="253" spans="1:23" s="20" customFormat="1" ht="15.6" hidden="1">
      <c r="A253" s="9">
        <v>44270</v>
      </c>
      <c r="B253" s="10" t="s">
        <v>177</v>
      </c>
      <c r="C253" s="11" t="s">
        <v>3065</v>
      </c>
      <c r="D253" s="468" t="s">
        <v>3066</v>
      </c>
      <c r="E253" s="14" t="s">
        <v>3067</v>
      </c>
      <c r="F253" s="14" t="s">
        <v>3068</v>
      </c>
      <c r="G253" s="56">
        <v>1</v>
      </c>
      <c r="H253" s="119">
        <v>28000</v>
      </c>
      <c r="I253" s="23">
        <f t="shared" si="18"/>
        <v>28000</v>
      </c>
      <c r="J253" s="29"/>
      <c r="K253" s="86">
        <f t="shared" si="15"/>
        <v>28000</v>
      </c>
      <c r="L253" s="86">
        <v>7000</v>
      </c>
      <c r="M253" s="29"/>
      <c r="N253" s="92">
        <f t="shared" si="19"/>
        <v>35000</v>
      </c>
      <c r="O253" s="10" t="s">
        <v>177</v>
      </c>
      <c r="P253" s="468"/>
      <c r="Q253" s="10" t="s">
        <v>54</v>
      </c>
      <c r="R253" s="29"/>
      <c r="S253" s="12"/>
      <c r="T253" s="29"/>
      <c r="U253" s="29"/>
      <c r="V253" s="29"/>
      <c r="W253" s="29"/>
    </row>
    <row r="254" spans="1:23" s="20" customFormat="1" hidden="1">
      <c r="A254" s="9">
        <v>44270</v>
      </c>
      <c r="B254" s="10" t="s">
        <v>177</v>
      </c>
      <c r="C254" s="11" t="s">
        <v>3069</v>
      </c>
      <c r="D254" s="468" t="s">
        <v>3070</v>
      </c>
      <c r="E254" s="78" t="s">
        <v>471</v>
      </c>
      <c r="F254" s="78" t="s">
        <v>472</v>
      </c>
      <c r="G254" s="56">
        <v>1</v>
      </c>
      <c r="H254" s="119">
        <v>111000</v>
      </c>
      <c r="I254" s="23">
        <f t="shared" si="18"/>
        <v>111000</v>
      </c>
      <c r="J254" s="29"/>
      <c r="K254" s="86">
        <f t="shared" si="15"/>
        <v>111000</v>
      </c>
      <c r="L254" s="86">
        <v>9000</v>
      </c>
      <c r="M254" s="29"/>
      <c r="N254" s="92">
        <f t="shared" si="19"/>
        <v>120000</v>
      </c>
      <c r="O254" s="10" t="s">
        <v>177</v>
      </c>
      <c r="P254" s="468">
        <v>558470031963858</v>
      </c>
      <c r="Q254" s="10" t="s">
        <v>54</v>
      </c>
      <c r="R254" s="29"/>
      <c r="S254" s="12"/>
      <c r="T254" s="29"/>
      <c r="U254" s="29"/>
      <c r="V254" s="29"/>
      <c r="W254" s="29"/>
    </row>
    <row r="255" spans="1:23" s="20" customFormat="1" ht="15.6" hidden="1">
      <c r="A255" s="9">
        <v>44271</v>
      </c>
      <c r="B255" s="10" t="s">
        <v>43</v>
      </c>
      <c r="C255" s="10" t="s">
        <v>3071</v>
      </c>
      <c r="D255" s="468" t="s">
        <v>3072</v>
      </c>
      <c r="E255" s="14" t="s">
        <v>1371</v>
      </c>
      <c r="F255" s="14" t="s">
        <v>1372</v>
      </c>
      <c r="G255" s="30">
        <v>1</v>
      </c>
      <c r="H255" s="119">
        <v>98000</v>
      </c>
      <c r="I255" s="23">
        <f t="shared" si="18"/>
        <v>98000</v>
      </c>
      <c r="J255" s="29"/>
      <c r="K255" s="471">
        <f t="shared" si="15"/>
        <v>98000</v>
      </c>
      <c r="L255" s="86">
        <v>25000</v>
      </c>
      <c r="M255" s="29">
        <v>-4243</v>
      </c>
      <c r="N255" s="92">
        <f t="shared" si="19"/>
        <v>118757</v>
      </c>
      <c r="O255" s="10" t="s">
        <v>43</v>
      </c>
      <c r="P255" s="468" t="s">
        <v>3073</v>
      </c>
      <c r="Q255" s="10" t="s">
        <v>54</v>
      </c>
      <c r="R255" s="29"/>
      <c r="S255" s="468" t="s">
        <v>3074</v>
      </c>
      <c r="T255" s="29"/>
      <c r="U255" s="29"/>
      <c r="V255" s="29"/>
      <c r="W255" s="29"/>
    </row>
    <row r="256" spans="1:23" s="20" customFormat="1" ht="15.6" hidden="1">
      <c r="A256" s="9">
        <v>44271</v>
      </c>
      <c r="B256" s="10" t="s">
        <v>43</v>
      </c>
      <c r="C256" s="10" t="s">
        <v>3075</v>
      </c>
      <c r="D256" s="468" t="s">
        <v>3076</v>
      </c>
      <c r="E256" s="74" t="s">
        <v>1654</v>
      </c>
      <c r="F256" s="74" t="s">
        <v>1655</v>
      </c>
      <c r="G256" s="30">
        <v>1</v>
      </c>
      <c r="H256" s="119">
        <v>63000</v>
      </c>
      <c r="I256" s="23">
        <f t="shared" si="18"/>
        <v>63000</v>
      </c>
      <c r="J256" s="29"/>
      <c r="K256" s="86">
        <f t="shared" si="15"/>
        <v>63000</v>
      </c>
      <c r="L256" s="86">
        <v>113000</v>
      </c>
      <c r="M256" s="29">
        <v>-2728</v>
      </c>
      <c r="N256" s="92">
        <f t="shared" si="19"/>
        <v>173272</v>
      </c>
      <c r="O256" s="10" t="s">
        <v>43</v>
      </c>
      <c r="P256" s="468" t="s">
        <v>3077</v>
      </c>
      <c r="Q256" s="10" t="s">
        <v>54</v>
      </c>
      <c r="R256" s="29"/>
      <c r="S256" s="468" t="s">
        <v>3078</v>
      </c>
      <c r="T256" s="29"/>
      <c r="U256" s="29"/>
      <c r="V256" s="29"/>
      <c r="W256" s="29"/>
    </row>
    <row r="257" spans="1:23" s="20" customFormat="1" ht="15.6" hidden="1">
      <c r="A257" s="9">
        <v>44271</v>
      </c>
      <c r="B257" s="10" t="s">
        <v>43</v>
      </c>
      <c r="C257" s="11" t="s">
        <v>3079</v>
      </c>
      <c r="D257" s="468" t="s">
        <v>3080</v>
      </c>
      <c r="E257" s="74" t="s">
        <v>489</v>
      </c>
      <c r="F257" s="74" t="s">
        <v>490</v>
      </c>
      <c r="G257" s="30">
        <v>1</v>
      </c>
      <c r="H257" s="119">
        <v>72000</v>
      </c>
      <c r="I257" s="23">
        <f t="shared" si="18"/>
        <v>72000</v>
      </c>
      <c r="J257" s="29"/>
      <c r="K257" s="86">
        <f t="shared" si="15"/>
        <v>72000</v>
      </c>
      <c r="L257" s="86">
        <v>13000</v>
      </c>
      <c r="M257" s="29">
        <v>-3118</v>
      </c>
      <c r="N257" s="92">
        <f t="shared" si="19"/>
        <v>81882</v>
      </c>
      <c r="O257" s="10" t="s">
        <v>43</v>
      </c>
      <c r="P257" s="468" t="s">
        <v>3081</v>
      </c>
      <c r="Q257" s="10" t="s">
        <v>54</v>
      </c>
      <c r="R257" s="29"/>
      <c r="S257" s="468" t="s">
        <v>3082</v>
      </c>
      <c r="T257" s="29"/>
      <c r="U257" s="29"/>
      <c r="V257" s="29"/>
      <c r="W257" s="29"/>
    </row>
    <row r="258" spans="1:23" s="20" customFormat="1" ht="15.6" hidden="1">
      <c r="A258" s="9">
        <v>44271</v>
      </c>
      <c r="B258" s="10" t="s">
        <v>43</v>
      </c>
      <c r="C258" s="11" t="s">
        <v>3083</v>
      </c>
      <c r="D258" s="468" t="s">
        <v>3084</v>
      </c>
      <c r="E258" s="74" t="s">
        <v>3085</v>
      </c>
      <c r="F258" s="74" t="s">
        <v>3086</v>
      </c>
      <c r="G258" s="30">
        <v>1</v>
      </c>
      <c r="H258" s="119">
        <v>168000</v>
      </c>
      <c r="I258" s="23">
        <f t="shared" si="18"/>
        <v>168000</v>
      </c>
      <c r="J258" s="29"/>
      <c r="K258" s="86">
        <f t="shared" si="15"/>
        <v>168000</v>
      </c>
      <c r="L258" s="86">
        <v>16000</v>
      </c>
      <c r="M258" s="29">
        <v>-7274</v>
      </c>
      <c r="N258" s="92">
        <f t="shared" si="19"/>
        <v>176726</v>
      </c>
      <c r="O258" s="10" t="s">
        <v>43</v>
      </c>
      <c r="P258" s="468" t="s">
        <v>3087</v>
      </c>
      <c r="Q258" s="10" t="s">
        <v>138</v>
      </c>
      <c r="R258" s="29"/>
      <c r="S258" s="468" t="s">
        <v>3088</v>
      </c>
      <c r="T258" s="29"/>
      <c r="U258" s="29"/>
      <c r="V258" s="29"/>
      <c r="W258" s="29"/>
    </row>
    <row r="259" spans="1:23" s="20" customFormat="1">
      <c r="A259" s="9">
        <v>44271</v>
      </c>
      <c r="B259" s="10" t="s">
        <v>23</v>
      </c>
      <c r="C259" s="11" t="s">
        <v>3089</v>
      </c>
      <c r="D259" s="468" t="s">
        <v>3090</v>
      </c>
      <c r="E259" s="61" t="s">
        <v>1312</v>
      </c>
      <c r="F259" s="61" t="s">
        <v>1313</v>
      </c>
      <c r="G259" s="30">
        <v>1</v>
      </c>
      <c r="H259" s="119">
        <v>88000</v>
      </c>
      <c r="I259" s="23">
        <f t="shared" si="18"/>
        <v>88000</v>
      </c>
      <c r="J259" s="29"/>
      <c r="K259" s="86">
        <f t="shared" si="15"/>
        <v>88000</v>
      </c>
      <c r="L259" s="86">
        <v>17000</v>
      </c>
      <c r="M259" s="29"/>
      <c r="N259" s="92">
        <f t="shared" si="19"/>
        <v>105000</v>
      </c>
      <c r="O259" s="10" t="s">
        <v>23</v>
      </c>
      <c r="P259" s="468"/>
      <c r="Q259" s="10" t="s">
        <v>54</v>
      </c>
      <c r="R259" s="29"/>
      <c r="S259" s="470"/>
      <c r="T259" s="29"/>
      <c r="U259" s="29"/>
      <c r="V259" s="29"/>
      <c r="W259" s="29"/>
    </row>
    <row r="260" spans="1:23" s="20" customFormat="1">
      <c r="A260" s="9">
        <v>44271</v>
      </c>
      <c r="B260" s="10" t="s">
        <v>23</v>
      </c>
      <c r="C260" s="11" t="s">
        <v>3089</v>
      </c>
      <c r="D260" s="468" t="s">
        <v>3090</v>
      </c>
      <c r="E260" s="61" t="s">
        <v>1314</v>
      </c>
      <c r="F260" s="292" t="s">
        <v>1315</v>
      </c>
      <c r="G260" s="30">
        <v>1</v>
      </c>
      <c r="H260" s="119">
        <v>76000</v>
      </c>
      <c r="I260" s="23">
        <f t="shared" si="18"/>
        <v>76000</v>
      </c>
      <c r="J260" s="29"/>
      <c r="K260" s="86">
        <f t="shared" si="15"/>
        <v>76000</v>
      </c>
      <c r="L260" s="119"/>
      <c r="M260" s="29"/>
      <c r="N260" s="92">
        <f t="shared" si="19"/>
        <v>76000</v>
      </c>
      <c r="O260" s="10" t="s">
        <v>23</v>
      </c>
      <c r="P260" s="468"/>
      <c r="Q260" s="10" t="s">
        <v>54</v>
      </c>
      <c r="R260" s="29"/>
      <c r="S260" s="470"/>
      <c r="T260" s="29"/>
      <c r="U260" s="29"/>
      <c r="V260" s="29"/>
      <c r="W260" s="29"/>
    </row>
    <row r="261" spans="1:23" s="20" customFormat="1" ht="15.6" hidden="1">
      <c r="A261" s="9">
        <v>44271</v>
      </c>
      <c r="B261" s="10" t="s">
        <v>313</v>
      </c>
      <c r="C261" s="11" t="s">
        <v>3091</v>
      </c>
      <c r="D261" s="468" t="s">
        <v>3092</v>
      </c>
      <c r="E261" s="263" t="s">
        <v>508</v>
      </c>
      <c r="F261" s="263" t="s">
        <v>509</v>
      </c>
      <c r="G261" s="30">
        <v>1</v>
      </c>
      <c r="H261" s="119">
        <v>105000</v>
      </c>
      <c r="I261" s="23">
        <f t="shared" si="18"/>
        <v>105000</v>
      </c>
      <c r="J261" s="29"/>
      <c r="K261" s="86">
        <f t="shared" si="15"/>
        <v>105000</v>
      </c>
      <c r="L261" s="119">
        <v>45085</v>
      </c>
      <c r="M261" s="29"/>
      <c r="N261" s="92">
        <f t="shared" si="19"/>
        <v>150085</v>
      </c>
      <c r="O261" s="10" t="s">
        <v>313</v>
      </c>
      <c r="P261" s="470"/>
      <c r="Q261" s="10" t="s">
        <v>40</v>
      </c>
      <c r="R261" s="29"/>
      <c r="S261" s="470"/>
      <c r="T261" s="29"/>
      <c r="U261" s="29"/>
      <c r="V261" s="29"/>
      <c r="W261" s="29"/>
    </row>
    <row r="262" spans="1:23" s="20" customFormat="1" ht="15.6" hidden="1">
      <c r="A262" s="9">
        <v>44271</v>
      </c>
      <c r="B262" s="10" t="s">
        <v>313</v>
      </c>
      <c r="C262" s="11" t="s">
        <v>3091</v>
      </c>
      <c r="D262" s="468" t="s">
        <v>3093</v>
      </c>
      <c r="E262" s="263" t="s">
        <v>2630</v>
      </c>
      <c r="F262" s="263" t="s">
        <v>1254</v>
      </c>
      <c r="G262" s="30">
        <v>1</v>
      </c>
      <c r="H262" s="119">
        <v>70000</v>
      </c>
      <c r="I262" s="23">
        <f t="shared" si="18"/>
        <v>70000</v>
      </c>
      <c r="J262" s="29"/>
      <c r="K262" s="86">
        <f t="shared" si="15"/>
        <v>70000</v>
      </c>
      <c r="L262" s="119"/>
      <c r="M262" s="29"/>
      <c r="N262" s="92">
        <f t="shared" si="19"/>
        <v>70000</v>
      </c>
      <c r="O262" s="10" t="s">
        <v>313</v>
      </c>
      <c r="P262" s="29"/>
      <c r="Q262" s="10" t="s">
        <v>40</v>
      </c>
      <c r="R262" s="29"/>
      <c r="S262" s="468"/>
      <c r="T262" s="29"/>
      <c r="U262" s="29"/>
      <c r="V262" s="29"/>
      <c r="W262" s="29"/>
    </row>
    <row r="263" spans="1:23" s="20" customFormat="1" ht="15.6" hidden="1">
      <c r="A263" s="9">
        <v>44271</v>
      </c>
      <c r="B263" s="10" t="s">
        <v>313</v>
      </c>
      <c r="C263" s="11" t="s">
        <v>3091</v>
      </c>
      <c r="D263" s="468" t="s">
        <v>3094</v>
      </c>
      <c r="E263" s="457" t="s">
        <v>679</v>
      </c>
      <c r="F263" s="472" t="s">
        <v>680</v>
      </c>
      <c r="G263" s="30">
        <v>1</v>
      </c>
      <c r="H263" s="119">
        <v>58500</v>
      </c>
      <c r="I263" s="23">
        <f t="shared" si="18"/>
        <v>58500</v>
      </c>
      <c r="J263" s="29"/>
      <c r="K263" s="86">
        <f t="shared" si="15"/>
        <v>58500</v>
      </c>
      <c r="L263" s="119"/>
      <c r="M263" s="29"/>
      <c r="N263" s="92">
        <f t="shared" si="19"/>
        <v>58500</v>
      </c>
      <c r="O263" s="10" t="s">
        <v>313</v>
      </c>
      <c r="P263" s="29"/>
      <c r="Q263" s="10" t="s">
        <v>40</v>
      </c>
      <c r="R263" s="29"/>
      <c r="S263" s="468"/>
      <c r="T263" s="29"/>
      <c r="U263" s="29"/>
      <c r="V263" s="29"/>
      <c r="W263" s="29"/>
    </row>
    <row r="264" spans="1:23" s="20" customFormat="1" ht="15.6" hidden="1">
      <c r="A264" s="9">
        <v>44271</v>
      </c>
      <c r="B264" s="10" t="s">
        <v>313</v>
      </c>
      <c r="C264" s="11" t="s">
        <v>3091</v>
      </c>
      <c r="D264" s="468" t="s">
        <v>3095</v>
      </c>
      <c r="E264" s="457" t="s">
        <v>3096</v>
      </c>
      <c r="F264" s="472" t="s">
        <v>3097</v>
      </c>
      <c r="G264" s="30">
        <v>1</v>
      </c>
      <c r="H264" s="119">
        <v>65000</v>
      </c>
      <c r="I264" s="23">
        <f t="shared" si="18"/>
        <v>65000</v>
      </c>
      <c r="J264" s="29"/>
      <c r="K264" s="86">
        <f t="shared" si="15"/>
        <v>65000</v>
      </c>
      <c r="L264" s="119"/>
      <c r="M264" s="29"/>
      <c r="N264" s="92">
        <f t="shared" si="19"/>
        <v>65000</v>
      </c>
      <c r="O264" s="10" t="s">
        <v>313</v>
      </c>
      <c r="P264" s="29"/>
      <c r="Q264" s="10" t="s">
        <v>40</v>
      </c>
      <c r="R264" s="29"/>
      <c r="S264" s="29"/>
      <c r="T264" s="29"/>
      <c r="U264" s="29"/>
      <c r="V264" s="29"/>
      <c r="W264" s="29"/>
    </row>
    <row r="265" spans="1:23" s="20" customFormat="1" ht="15.6" hidden="1">
      <c r="A265" s="9">
        <v>44271</v>
      </c>
      <c r="B265" s="10" t="s">
        <v>313</v>
      </c>
      <c r="C265" s="11" t="s">
        <v>3091</v>
      </c>
      <c r="D265" s="468" t="s">
        <v>3098</v>
      </c>
      <c r="E265" s="457" t="s">
        <v>2142</v>
      </c>
      <c r="F265" s="472" t="s">
        <v>3099</v>
      </c>
      <c r="G265" s="30">
        <v>1</v>
      </c>
      <c r="H265" s="119">
        <v>75500</v>
      </c>
      <c r="I265" s="23">
        <f t="shared" si="18"/>
        <v>75500</v>
      </c>
      <c r="J265" s="29"/>
      <c r="K265" s="86">
        <f t="shared" si="15"/>
        <v>75500</v>
      </c>
      <c r="L265" s="119"/>
      <c r="M265" s="29"/>
      <c r="N265" s="92">
        <f t="shared" si="19"/>
        <v>75500</v>
      </c>
      <c r="O265" s="10" t="s">
        <v>313</v>
      </c>
      <c r="P265" s="29"/>
      <c r="Q265" s="10" t="s">
        <v>40</v>
      </c>
      <c r="R265" s="29"/>
      <c r="S265" s="29"/>
      <c r="T265" s="29"/>
      <c r="U265" s="29"/>
      <c r="V265" s="29"/>
      <c r="W265" s="29"/>
    </row>
    <row r="266" spans="1:23" s="20" customFormat="1" ht="15.6" hidden="1">
      <c r="A266" s="9">
        <v>44271</v>
      </c>
      <c r="B266" s="10" t="s">
        <v>313</v>
      </c>
      <c r="C266" s="11" t="s">
        <v>3091</v>
      </c>
      <c r="D266" s="468" t="s">
        <v>3100</v>
      </c>
      <c r="E266" s="261" t="s">
        <v>3101</v>
      </c>
      <c r="F266" s="263" t="s">
        <v>3102</v>
      </c>
      <c r="G266" s="30">
        <v>1</v>
      </c>
      <c r="H266" s="119">
        <v>77500</v>
      </c>
      <c r="I266" s="23">
        <f t="shared" si="18"/>
        <v>77500</v>
      </c>
      <c r="J266" s="29"/>
      <c r="K266" s="86">
        <f t="shared" si="15"/>
        <v>77500</v>
      </c>
      <c r="L266" s="119"/>
      <c r="M266" s="29"/>
      <c r="N266" s="92">
        <f t="shared" si="19"/>
        <v>77500</v>
      </c>
      <c r="O266" s="10" t="s">
        <v>313</v>
      </c>
      <c r="P266" s="29"/>
      <c r="Q266" s="10" t="s">
        <v>40</v>
      </c>
      <c r="R266" s="29"/>
      <c r="S266" s="29"/>
      <c r="T266" s="29"/>
      <c r="U266" s="29"/>
      <c r="V266" s="29"/>
      <c r="W266" s="29"/>
    </row>
    <row r="267" spans="1:23" s="20" customFormat="1" ht="15.6" hidden="1">
      <c r="A267" s="9">
        <v>44271</v>
      </c>
      <c r="B267" s="10" t="s">
        <v>313</v>
      </c>
      <c r="C267" s="10" t="s">
        <v>3103</v>
      </c>
      <c r="D267" s="468" t="s">
        <v>3104</v>
      </c>
      <c r="E267" s="74" t="s">
        <v>3105</v>
      </c>
      <c r="F267" s="74" t="s">
        <v>3106</v>
      </c>
      <c r="G267" s="30">
        <v>1</v>
      </c>
      <c r="H267" s="119">
        <v>56000</v>
      </c>
      <c r="I267" s="23">
        <f t="shared" si="18"/>
        <v>56000</v>
      </c>
      <c r="J267" s="29"/>
      <c r="K267" s="86">
        <f t="shared" si="15"/>
        <v>56000</v>
      </c>
      <c r="L267" s="119">
        <v>16037</v>
      </c>
      <c r="M267" s="29"/>
      <c r="N267" s="92">
        <f t="shared" si="19"/>
        <v>72037</v>
      </c>
      <c r="O267" s="10" t="s">
        <v>313</v>
      </c>
      <c r="P267" s="468"/>
      <c r="Q267" s="10" t="s">
        <v>40</v>
      </c>
      <c r="R267" s="29"/>
      <c r="S267" s="470"/>
      <c r="T267" s="29"/>
      <c r="U267" s="29"/>
      <c r="V267" s="29"/>
      <c r="W267" s="29"/>
    </row>
    <row r="268" spans="1:23" s="20" customFormat="1" ht="15.6">
      <c r="A268" s="9">
        <v>44271</v>
      </c>
      <c r="B268" s="10" t="s">
        <v>23</v>
      </c>
      <c r="C268" s="11" t="s">
        <v>3107</v>
      </c>
      <c r="D268" s="468" t="s">
        <v>3108</v>
      </c>
      <c r="E268" s="78" t="s">
        <v>3109</v>
      </c>
      <c r="F268" s="74" t="s">
        <v>3110</v>
      </c>
      <c r="G268" s="30">
        <v>1</v>
      </c>
      <c r="H268" s="119">
        <v>69500</v>
      </c>
      <c r="I268" s="23">
        <f t="shared" si="18"/>
        <v>69500</v>
      </c>
      <c r="J268" s="29"/>
      <c r="K268" s="86">
        <f t="shared" si="15"/>
        <v>69500</v>
      </c>
      <c r="L268" s="119">
        <v>17000</v>
      </c>
      <c r="M268" s="29"/>
      <c r="N268" s="92">
        <f t="shared" si="19"/>
        <v>86500</v>
      </c>
      <c r="O268" s="10" t="s">
        <v>313</v>
      </c>
      <c r="P268" s="29"/>
      <c r="Q268" s="10" t="s">
        <v>40</v>
      </c>
      <c r="R268" s="29"/>
      <c r="S268" s="29"/>
      <c r="T268" s="29"/>
      <c r="U268" s="29"/>
      <c r="V268" s="29"/>
      <c r="W268" s="29"/>
    </row>
    <row r="269" spans="1:23" s="20" customFormat="1" ht="15.6" hidden="1">
      <c r="A269" s="9">
        <v>44271</v>
      </c>
      <c r="B269" s="10" t="s">
        <v>313</v>
      </c>
      <c r="C269" s="11" t="s">
        <v>3111</v>
      </c>
      <c r="D269" s="468" t="s">
        <v>3112</v>
      </c>
      <c r="E269" s="473" t="s">
        <v>1351</v>
      </c>
      <c r="F269" s="474" t="s">
        <v>1352</v>
      </c>
      <c r="G269" s="30">
        <v>1</v>
      </c>
      <c r="H269" s="119">
        <v>52000</v>
      </c>
      <c r="I269" s="23">
        <f t="shared" si="18"/>
        <v>52000</v>
      </c>
      <c r="J269" s="29"/>
      <c r="K269" s="86">
        <f t="shared" si="15"/>
        <v>52000</v>
      </c>
      <c r="L269" s="119">
        <v>6031</v>
      </c>
      <c r="M269" s="29"/>
      <c r="N269" s="92">
        <f t="shared" si="19"/>
        <v>58031</v>
      </c>
      <c r="O269" s="10" t="s">
        <v>313</v>
      </c>
      <c r="P269" s="29"/>
      <c r="Q269" s="10" t="s">
        <v>28</v>
      </c>
      <c r="R269" s="29"/>
      <c r="S269" s="29"/>
      <c r="T269" s="29"/>
      <c r="U269" s="29"/>
      <c r="V269" s="29"/>
      <c r="W269" s="29"/>
    </row>
    <row r="270" spans="1:23" s="20" customFormat="1" ht="15.6" hidden="1">
      <c r="A270" s="9">
        <v>44271</v>
      </c>
      <c r="B270" s="10" t="s">
        <v>313</v>
      </c>
      <c r="C270" s="11" t="s">
        <v>3111</v>
      </c>
      <c r="D270" s="468" t="s">
        <v>3113</v>
      </c>
      <c r="E270" s="474" t="s">
        <v>2802</v>
      </c>
      <c r="F270" s="475" t="s">
        <v>2803</v>
      </c>
      <c r="G270" s="30">
        <v>1</v>
      </c>
      <c r="H270" s="119">
        <v>75000</v>
      </c>
      <c r="I270" s="23">
        <f t="shared" si="18"/>
        <v>75000</v>
      </c>
      <c r="J270" s="29"/>
      <c r="K270" s="86">
        <f t="shared" si="15"/>
        <v>75000</v>
      </c>
      <c r="L270" s="119"/>
      <c r="M270" s="29"/>
      <c r="N270" s="92">
        <f t="shared" si="19"/>
        <v>75000</v>
      </c>
      <c r="O270" s="10" t="s">
        <v>313</v>
      </c>
      <c r="P270" s="29"/>
      <c r="Q270" s="10" t="s">
        <v>28</v>
      </c>
      <c r="R270" s="29"/>
      <c r="S270" s="29"/>
      <c r="T270" s="29"/>
      <c r="U270" s="29"/>
      <c r="V270" s="29"/>
      <c r="W270" s="29"/>
    </row>
    <row r="271" spans="1:23" s="20" customFormat="1" ht="15.6" hidden="1">
      <c r="A271" s="9">
        <v>44271</v>
      </c>
      <c r="B271" s="10" t="s">
        <v>313</v>
      </c>
      <c r="C271" s="11" t="s">
        <v>3111</v>
      </c>
      <c r="D271" s="468" t="s">
        <v>3114</v>
      </c>
      <c r="E271" s="474" t="s">
        <v>1218</v>
      </c>
      <c r="F271" s="474" t="s">
        <v>1219</v>
      </c>
      <c r="G271" s="476">
        <v>1</v>
      </c>
      <c r="H271" s="119">
        <v>61425</v>
      </c>
      <c r="I271" s="23">
        <f t="shared" si="18"/>
        <v>61425</v>
      </c>
      <c r="J271" s="29"/>
      <c r="K271" s="86">
        <f t="shared" si="15"/>
        <v>61425</v>
      </c>
      <c r="L271" s="86"/>
      <c r="M271" s="29"/>
      <c r="N271" s="92">
        <f t="shared" si="19"/>
        <v>61425</v>
      </c>
      <c r="O271" s="10" t="s">
        <v>313</v>
      </c>
      <c r="P271" s="29"/>
      <c r="Q271" s="10" t="s">
        <v>28</v>
      </c>
      <c r="R271" s="29"/>
      <c r="S271" s="29"/>
      <c r="T271" s="29"/>
      <c r="U271" s="29"/>
      <c r="V271" s="29"/>
      <c r="W271" s="29"/>
    </row>
    <row r="272" spans="1:23" s="20" customFormat="1" ht="15.6" hidden="1">
      <c r="A272" s="9">
        <v>44271</v>
      </c>
      <c r="B272" s="10" t="s">
        <v>313</v>
      </c>
      <c r="C272" s="11" t="s">
        <v>3115</v>
      </c>
      <c r="D272" s="468" t="s">
        <v>3116</v>
      </c>
      <c r="E272" s="15" t="s">
        <v>1536</v>
      </c>
      <c r="F272" s="15" t="s">
        <v>1537</v>
      </c>
      <c r="G272" s="30">
        <v>1</v>
      </c>
      <c r="H272" s="119">
        <v>138000</v>
      </c>
      <c r="I272" s="23">
        <f t="shared" si="18"/>
        <v>138000</v>
      </c>
      <c r="J272" s="29"/>
      <c r="K272" s="86">
        <f t="shared" si="15"/>
        <v>138000</v>
      </c>
      <c r="L272" s="86">
        <v>8036</v>
      </c>
      <c r="M272" s="29"/>
      <c r="N272" s="92">
        <f t="shared" si="19"/>
        <v>146036</v>
      </c>
      <c r="O272" s="10" t="s">
        <v>313</v>
      </c>
      <c r="P272" s="29"/>
      <c r="Q272" s="10" t="s">
        <v>28</v>
      </c>
      <c r="R272" s="29"/>
      <c r="S272" s="29"/>
      <c r="T272" s="29"/>
      <c r="U272" s="29"/>
      <c r="V272" s="29"/>
      <c r="W272" s="29"/>
    </row>
    <row r="273" spans="1:23" s="29" customFormat="1" ht="15.6">
      <c r="A273" s="9">
        <v>44271</v>
      </c>
      <c r="B273" s="10" t="s">
        <v>23</v>
      </c>
      <c r="C273" s="10" t="s">
        <v>3117</v>
      </c>
      <c r="D273" s="468" t="s">
        <v>3118</v>
      </c>
      <c r="E273" s="74" t="s">
        <v>3119</v>
      </c>
      <c r="F273" s="315" t="s">
        <v>3120</v>
      </c>
      <c r="G273" s="30">
        <v>1</v>
      </c>
      <c r="H273" s="119">
        <v>65500</v>
      </c>
      <c r="I273" s="23">
        <f t="shared" si="18"/>
        <v>65500</v>
      </c>
      <c r="K273" s="86">
        <f t="shared" si="15"/>
        <v>65500</v>
      </c>
      <c r="L273" s="86">
        <v>7000</v>
      </c>
      <c r="N273" s="92">
        <f t="shared" si="19"/>
        <v>72500</v>
      </c>
      <c r="O273" s="10" t="s">
        <v>23</v>
      </c>
      <c r="Q273" s="10" t="s">
        <v>28</v>
      </c>
    </row>
    <row r="274" spans="1:23" s="29" customFormat="1" ht="15.6" hidden="1">
      <c r="A274" s="9">
        <v>44271</v>
      </c>
      <c r="B274" s="10" t="s">
        <v>313</v>
      </c>
      <c r="C274" s="11" t="s">
        <v>3121</v>
      </c>
      <c r="D274" s="468" t="s">
        <v>3122</v>
      </c>
      <c r="E274" s="74" t="s">
        <v>3123</v>
      </c>
      <c r="F274" s="315" t="s">
        <v>3124</v>
      </c>
      <c r="G274" s="30">
        <v>1</v>
      </c>
      <c r="H274" s="119">
        <v>105000</v>
      </c>
      <c r="I274" s="23">
        <f t="shared" si="18"/>
        <v>105000</v>
      </c>
      <c r="K274" s="86">
        <f t="shared" si="15"/>
        <v>105000</v>
      </c>
      <c r="L274" s="86">
        <v>52010</v>
      </c>
      <c r="N274" s="92">
        <f t="shared" si="19"/>
        <v>157010</v>
      </c>
      <c r="O274" s="10" t="s">
        <v>313</v>
      </c>
      <c r="Q274" s="10" t="s">
        <v>40</v>
      </c>
    </row>
    <row r="275" spans="1:23" s="29" customFormat="1" ht="15.6">
      <c r="A275" s="9">
        <v>44271</v>
      </c>
      <c r="B275" s="10" t="s">
        <v>23</v>
      </c>
      <c r="C275" s="11" t="s">
        <v>3125</v>
      </c>
      <c r="D275" s="468" t="s">
        <v>3126</v>
      </c>
      <c r="E275" s="78" t="s">
        <v>613</v>
      </c>
      <c r="F275" s="315" t="s">
        <v>614</v>
      </c>
      <c r="G275" s="30">
        <v>1</v>
      </c>
      <c r="H275" s="119">
        <v>61500</v>
      </c>
      <c r="I275" s="23">
        <f t="shared" si="18"/>
        <v>61500</v>
      </c>
      <c r="K275" s="86">
        <f t="shared" si="15"/>
        <v>61500</v>
      </c>
      <c r="L275" s="86">
        <v>16000</v>
      </c>
      <c r="N275" s="92">
        <f t="shared" si="19"/>
        <v>77500</v>
      </c>
      <c r="O275" s="10" t="s">
        <v>23</v>
      </c>
      <c r="Q275" s="10" t="s">
        <v>40</v>
      </c>
    </row>
    <row r="276" spans="1:23" s="29" customFormat="1" ht="16.5" customHeight="1">
      <c r="A276" s="9">
        <v>44271</v>
      </c>
      <c r="B276" s="10" t="s">
        <v>23</v>
      </c>
      <c r="C276" s="10" t="s">
        <v>3127</v>
      </c>
      <c r="D276" s="29" t="s">
        <v>3128</v>
      </c>
      <c r="E276" s="289" t="s">
        <v>97</v>
      </c>
      <c r="F276" s="366" t="s">
        <v>1423</v>
      </c>
      <c r="G276" s="30">
        <v>1</v>
      </c>
      <c r="H276" s="119">
        <v>88500</v>
      </c>
      <c r="I276" s="23">
        <f t="shared" si="18"/>
        <v>88500</v>
      </c>
      <c r="K276" s="86">
        <f t="shared" si="15"/>
        <v>88500</v>
      </c>
      <c r="L276" s="86">
        <v>19000</v>
      </c>
      <c r="N276" s="92">
        <f t="shared" si="19"/>
        <v>107500</v>
      </c>
      <c r="O276" s="10" t="s">
        <v>23</v>
      </c>
      <c r="Q276" s="10" t="s">
        <v>40</v>
      </c>
    </row>
    <row r="277" spans="1:23" s="29" customFormat="1" ht="15.6">
      <c r="A277" s="9">
        <v>44271</v>
      </c>
      <c r="B277" s="10" t="s">
        <v>23</v>
      </c>
      <c r="C277" s="10" t="s">
        <v>3129</v>
      </c>
      <c r="D277" s="29" t="s">
        <v>3130</v>
      </c>
      <c r="E277" s="74" t="s">
        <v>3131</v>
      </c>
      <c r="F277" s="315" t="s">
        <v>3132</v>
      </c>
      <c r="G277" s="30">
        <v>1</v>
      </c>
      <c r="H277" s="119">
        <v>92000</v>
      </c>
      <c r="I277" s="23">
        <f t="shared" si="18"/>
        <v>92000</v>
      </c>
      <c r="K277" s="86">
        <f t="shared" si="15"/>
        <v>92000</v>
      </c>
      <c r="L277" s="86">
        <v>7000</v>
      </c>
      <c r="N277" s="92">
        <f t="shared" si="19"/>
        <v>99000</v>
      </c>
      <c r="O277" s="10" t="s">
        <v>23</v>
      </c>
      <c r="Q277" s="10" t="s">
        <v>28</v>
      </c>
    </row>
    <row r="278" spans="1:23" s="20" customFormat="1" ht="15.6">
      <c r="A278" s="9">
        <v>44271</v>
      </c>
      <c r="B278" s="10" t="s">
        <v>23</v>
      </c>
      <c r="C278" s="10" t="s">
        <v>3133</v>
      </c>
      <c r="D278" s="29" t="s">
        <v>3134</v>
      </c>
      <c r="E278" s="74" t="s">
        <v>1236</v>
      </c>
      <c r="F278" s="315" t="s">
        <v>1237</v>
      </c>
      <c r="G278" s="30">
        <v>1</v>
      </c>
      <c r="H278" s="119">
        <v>100000</v>
      </c>
      <c r="I278" s="23">
        <f t="shared" si="18"/>
        <v>100000</v>
      </c>
      <c r="J278" s="29"/>
      <c r="K278" s="86">
        <f t="shared" si="15"/>
        <v>100000</v>
      </c>
      <c r="L278" s="86">
        <v>20000</v>
      </c>
      <c r="M278" s="29"/>
      <c r="N278" s="92">
        <f t="shared" si="19"/>
        <v>120000</v>
      </c>
      <c r="O278" s="10" t="s">
        <v>23</v>
      </c>
      <c r="P278" s="29"/>
      <c r="Q278" s="10" t="s">
        <v>54</v>
      </c>
      <c r="R278" s="29"/>
      <c r="S278" s="29"/>
      <c r="T278" s="29"/>
      <c r="U278" s="29"/>
      <c r="V278" s="29"/>
      <c r="W278" s="29"/>
    </row>
    <row r="279" spans="1:23" s="20" customFormat="1" ht="15.6" hidden="1">
      <c r="A279" s="9">
        <v>44271</v>
      </c>
      <c r="B279" s="10" t="s">
        <v>313</v>
      </c>
      <c r="C279" s="11" t="s">
        <v>3135</v>
      </c>
      <c r="D279" s="29" t="s">
        <v>3136</v>
      </c>
      <c r="E279" s="74" t="s">
        <v>3137</v>
      </c>
      <c r="F279" s="74" t="s">
        <v>3138</v>
      </c>
      <c r="G279" s="30">
        <v>1</v>
      </c>
      <c r="H279" s="119">
        <v>64500</v>
      </c>
      <c r="I279" s="23">
        <f t="shared" si="18"/>
        <v>64500</v>
      </c>
      <c r="J279" s="29"/>
      <c r="K279" s="86">
        <f t="shared" si="15"/>
        <v>64500</v>
      </c>
      <c r="L279" s="86">
        <v>14088</v>
      </c>
      <c r="M279" s="29"/>
      <c r="N279" s="92">
        <f t="shared" si="19"/>
        <v>78588</v>
      </c>
      <c r="O279" s="10" t="s">
        <v>313</v>
      </c>
      <c r="P279" s="29"/>
      <c r="Q279" s="10" t="s">
        <v>40</v>
      </c>
      <c r="R279" s="29"/>
      <c r="S279" s="29"/>
      <c r="T279" s="29"/>
      <c r="U279" s="29"/>
      <c r="V279" s="29"/>
      <c r="W279" s="29"/>
    </row>
    <row r="280" spans="1:23" s="20" customFormat="1" ht="15.6">
      <c r="A280" s="9">
        <v>44271</v>
      </c>
      <c r="B280" s="10" t="s">
        <v>23</v>
      </c>
      <c r="C280" s="11" t="s">
        <v>3139</v>
      </c>
      <c r="D280" s="29" t="s">
        <v>3140</v>
      </c>
      <c r="E280" s="15" t="s">
        <v>3141</v>
      </c>
      <c r="F280" s="33" t="s">
        <v>3142</v>
      </c>
      <c r="G280" s="30">
        <v>1</v>
      </c>
      <c r="H280" s="119">
        <v>60500</v>
      </c>
      <c r="I280" s="23">
        <f t="shared" si="18"/>
        <v>60500</v>
      </c>
      <c r="J280" s="29"/>
      <c r="K280" s="86">
        <f t="shared" si="15"/>
        <v>60500</v>
      </c>
      <c r="L280" s="86">
        <v>15000</v>
      </c>
      <c r="M280" s="29"/>
      <c r="N280" s="92">
        <f t="shared" si="19"/>
        <v>75500</v>
      </c>
      <c r="O280" s="10" t="s">
        <v>23</v>
      </c>
      <c r="P280" s="29"/>
      <c r="Q280" s="10" t="s">
        <v>40</v>
      </c>
      <c r="R280" s="29"/>
      <c r="S280" s="29"/>
      <c r="T280" s="29"/>
      <c r="U280" s="29"/>
      <c r="V280" s="29"/>
      <c r="W280" s="29"/>
    </row>
    <row r="281" spans="1:23" s="20" customFormat="1" ht="16.8" hidden="1">
      <c r="A281" s="9">
        <v>44271</v>
      </c>
      <c r="B281" s="10" t="s">
        <v>313</v>
      </c>
      <c r="C281" s="70" t="s">
        <v>3143</v>
      </c>
      <c r="D281" s="29" t="s">
        <v>3144</v>
      </c>
      <c r="E281" s="61" t="s">
        <v>1312</v>
      </c>
      <c r="F281" s="292" t="s">
        <v>1313</v>
      </c>
      <c r="G281" s="30">
        <v>1</v>
      </c>
      <c r="H281" s="119">
        <v>88000</v>
      </c>
      <c r="I281" s="23">
        <f t="shared" si="18"/>
        <v>88000</v>
      </c>
      <c r="J281" s="29"/>
      <c r="K281" s="86">
        <f t="shared" si="15"/>
        <v>88000</v>
      </c>
      <c r="L281" s="86">
        <v>17048</v>
      </c>
      <c r="M281" s="29"/>
      <c r="N281" s="92">
        <f t="shared" si="19"/>
        <v>105048</v>
      </c>
      <c r="O281" s="10" t="s">
        <v>313</v>
      </c>
      <c r="P281" s="468"/>
      <c r="Q281" s="10" t="s">
        <v>40</v>
      </c>
      <c r="R281" s="29"/>
      <c r="S281" s="468"/>
      <c r="T281" s="29"/>
      <c r="U281" s="29"/>
      <c r="V281" s="29"/>
      <c r="W281" s="29"/>
    </row>
    <row r="282" spans="1:23" s="20" customFormat="1" ht="16.8" hidden="1">
      <c r="A282" s="9">
        <v>44271</v>
      </c>
      <c r="B282" s="10" t="s">
        <v>313</v>
      </c>
      <c r="C282" s="70" t="s">
        <v>3143</v>
      </c>
      <c r="D282" s="29" t="s">
        <v>3145</v>
      </c>
      <c r="E282" s="61" t="s">
        <v>1314</v>
      </c>
      <c r="F282" s="292" t="s">
        <v>1315</v>
      </c>
      <c r="G282" s="30">
        <v>1</v>
      </c>
      <c r="H282" s="119">
        <v>76000</v>
      </c>
      <c r="I282" s="23">
        <f t="shared" si="18"/>
        <v>76000</v>
      </c>
      <c r="J282" s="29"/>
      <c r="K282" s="86">
        <f t="shared" si="15"/>
        <v>76000</v>
      </c>
      <c r="L282" s="86"/>
      <c r="M282" s="29"/>
      <c r="N282" s="92">
        <f t="shared" si="19"/>
        <v>76000</v>
      </c>
      <c r="O282" s="10" t="s">
        <v>313</v>
      </c>
      <c r="P282" s="95"/>
      <c r="Q282" s="10" t="s">
        <v>40</v>
      </c>
      <c r="R282" s="29"/>
      <c r="S282" s="468"/>
      <c r="T282" s="29"/>
      <c r="U282" s="29"/>
      <c r="V282" s="29"/>
      <c r="W282" s="29"/>
    </row>
    <row r="283" spans="1:23" s="20" customFormat="1" ht="15.6">
      <c r="A283" s="9">
        <v>44271</v>
      </c>
      <c r="B283" s="10" t="s">
        <v>23</v>
      </c>
      <c r="C283" s="10" t="s">
        <v>3146</v>
      </c>
      <c r="D283" s="29" t="s">
        <v>3147</v>
      </c>
      <c r="E283" s="477" t="s">
        <v>96</v>
      </c>
      <c r="F283" s="477" t="s">
        <v>118</v>
      </c>
      <c r="G283" s="30">
        <v>3</v>
      </c>
      <c r="H283" s="119">
        <v>71000</v>
      </c>
      <c r="I283" s="23">
        <f t="shared" si="18"/>
        <v>213000</v>
      </c>
      <c r="J283" s="29"/>
      <c r="K283" s="86">
        <f t="shared" si="15"/>
        <v>213000</v>
      </c>
      <c r="L283" s="86">
        <v>34000</v>
      </c>
      <c r="M283" s="29"/>
      <c r="N283" s="92">
        <f t="shared" si="19"/>
        <v>247000</v>
      </c>
      <c r="O283" s="10" t="s">
        <v>23</v>
      </c>
      <c r="P283" s="468"/>
      <c r="Q283" s="10" t="s">
        <v>54</v>
      </c>
      <c r="R283" s="29"/>
      <c r="S283" s="329"/>
      <c r="T283" s="29"/>
      <c r="U283" s="29"/>
      <c r="V283" s="29"/>
      <c r="W283" s="29"/>
    </row>
    <row r="284" spans="1:23" s="20" customFormat="1" ht="15.6">
      <c r="A284" s="9">
        <v>44271</v>
      </c>
      <c r="B284" s="10" t="s">
        <v>23</v>
      </c>
      <c r="C284" s="10" t="s">
        <v>3146</v>
      </c>
      <c r="D284" s="29" t="s">
        <v>3147</v>
      </c>
      <c r="E284" s="478" t="s">
        <v>1481</v>
      </c>
      <c r="F284" s="479" t="s">
        <v>1482</v>
      </c>
      <c r="G284" s="30">
        <v>4</v>
      </c>
      <c r="H284" s="119">
        <v>65000</v>
      </c>
      <c r="I284" s="23">
        <f t="shared" si="18"/>
        <v>260000</v>
      </c>
      <c r="J284" s="29"/>
      <c r="K284" s="86">
        <f t="shared" si="15"/>
        <v>260000</v>
      </c>
      <c r="L284" s="86"/>
      <c r="M284" s="29"/>
      <c r="N284" s="92">
        <f t="shared" si="19"/>
        <v>260000</v>
      </c>
      <c r="O284" s="10" t="s">
        <v>23</v>
      </c>
      <c r="P284" s="470"/>
      <c r="Q284" s="10" t="s">
        <v>54</v>
      </c>
      <c r="R284" s="29"/>
      <c r="S284" s="470"/>
      <c r="T284" s="29"/>
      <c r="U284" s="29"/>
      <c r="V284" s="29"/>
      <c r="W284" s="29"/>
    </row>
    <row r="285" spans="1:23" s="20" customFormat="1" ht="15.6">
      <c r="A285" s="9">
        <v>44271</v>
      </c>
      <c r="B285" s="10" t="s">
        <v>23</v>
      </c>
      <c r="C285" s="11" t="s">
        <v>3148</v>
      </c>
      <c r="D285" s="29" t="s">
        <v>3149</v>
      </c>
      <c r="E285" s="15" t="s">
        <v>3150</v>
      </c>
      <c r="F285" s="15" t="s">
        <v>3151</v>
      </c>
      <c r="G285" s="30">
        <v>1</v>
      </c>
      <c r="H285" s="119">
        <v>142000</v>
      </c>
      <c r="I285" s="23">
        <f t="shared" si="18"/>
        <v>142000</v>
      </c>
      <c r="J285" s="29"/>
      <c r="K285" s="86">
        <f t="shared" si="15"/>
        <v>142000</v>
      </c>
      <c r="L285" s="86">
        <v>17000</v>
      </c>
      <c r="M285" s="29"/>
      <c r="N285" s="92">
        <f t="shared" si="19"/>
        <v>159000</v>
      </c>
      <c r="O285" s="10" t="s">
        <v>23</v>
      </c>
      <c r="P285" s="470"/>
      <c r="Q285" s="10" t="s">
        <v>40</v>
      </c>
      <c r="R285" s="29"/>
      <c r="S285" s="470"/>
      <c r="T285" s="29"/>
      <c r="U285" s="29"/>
      <c r="V285" s="29"/>
      <c r="W285" s="29"/>
    </row>
    <row r="286" spans="1:23" s="20" customFormat="1" ht="15.6" hidden="1">
      <c r="A286" s="9">
        <v>44272</v>
      </c>
      <c r="B286" s="91" t="s">
        <v>3152</v>
      </c>
      <c r="C286" s="123" t="s">
        <v>3153</v>
      </c>
      <c r="D286" s="468" t="s">
        <v>3154</v>
      </c>
      <c r="E286" s="14" t="s">
        <v>908</v>
      </c>
      <c r="F286" s="14" t="s">
        <v>909</v>
      </c>
      <c r="G286" s="30">
        <v>1</v>
      </c>
      <c r="H286" s="119">
        <v>100000</v>
      </c>
      <c r="I286" s="23">
        <f t="shared" si="18"/>
        <v>100000</v>
      </c>
      <c r="J286" s="29"/>
      <c r="K286" s="86">
        <f t="shared" si="15"/>
        <v>100000</v>
      </c>
      <c r="L286" s="86">
        <f>17000-17000</f>
        <v>0</v>
      </c>
      <c r="M286" s="29"/>
      <c r="N286" s="92">
        <f t="shared" si="19"/>
        <v>100000</v>
      </c>
      <c r="O286" s="91" t="s">
        <v>3152</v>
      </c>
      <c r="P286" s="468" t="s">
        <v>3155</v>
      </c>
      <c r="Q286" s="91" t="s">
        <v>40</v>
      </c>
      <c r="R286" s="29"/>
      <c r="S286" s="169" t="s">
        <v>3155</v>
      </c>
      <c r="T286" s="29"/>
      <c r="U286" s="29"/>
      <c r="V286" s="29"/>
      <c r="W286" s="29"/>
    </row>
    <row r="287" spans="1:23" s="20" customFormat="1" ht="15.6" hidden="1">
      <c r="A287" s="9">
        <v>44272</v>
      </c>
      <c r="B287" s="91" t="s">
        <v>177</v>
      </c>
      <c r="C287" s="91" t="s">
        <v>3156</v>
      </c>
      <c r="D287" s="468" t="s">
        <v>3157</v>
      </c>
      <c r="E287" s="14" t="s">
        <v>493</v>
      </c>
      <c r="F287" s="14" t="s">
        <v>494</v>
      </c>
      <c r="G287" s="30">
        <v>1</v>
      </c>
      <c r="H287" s="119">
        <v>66500</v>
      </c>
      <c r="I287" s="23">
        <f t="shared" si="18"/>
        <v>66500</v>
      </c>
      <c r="J287" s="29"/>
      <c r="K287" s="86">
        <f t="shared" ref="K287:K334" si="20">I287-J287</f>
        <v>66500</v>
      </c>
      <c r="L287" s="86">
        <v>53000</v>
      </c>
      <c r="M287" s="29"/>
      <c r="N287" s="92">
        <f t="shared" si="19"/>
        <v>119500</v>
      </c>
      <c r="O287" s="91" t="s">
        <v>177</v>
      </c>
      <c r="P287" s="29">
        <v>563396975823525</v>
      </c>
      <c r="Q287" s="91" t="s">
        <v>54</v>
      </c>
      <c r="R287" s="29"/>
      <c r="S287" s="29"/>
      <c r="T287" s="29"/>
      <c r="U287" s="29"/>
      <c r="V287" s="29"/>
      <c r="W287" s="29"/>
    </row>
    <row r="288" spans="1:23" s="20" customFormat="1" ht="15.6">
      <c r="A288" s="9">
        <v>44272</v>
      </c>
      <c r="B288" s="91" t="s">
        <v>23</v>
      </c>
      <c r="C288" s="91" t="s">
        <v>3158</v>
      </c>
      <c r="D288" s="468" t="s">
        <v>3159</v>
      </c>
      <c r="E288" s="14" t="s">
        <v>3160</v>
      </c>
      <c r="F288" s="14" t="s">
        <v>3161</v>
      </c>
      <c r="G288" s="30">
        <v>1</v>
      </c>
      <c r="H288" s="119">
        <v>149000</v>
      </c>
      <c r="I288" s="23">
        <f t="shared" si="18"/>
        <v>149000</v>
      </c>
      <c r="J288" s="29"/>
      <c r="K288" s="86">
        <f t="shared" si="20"/>
        <v>149000</v>
      </c>
      <c r="L288" s="86">
        <v>69000</v>
      </c>
      <c r="M288" s="29"/>
      <c r="N288" s="92">
        <f t="shared" si="19"/>
        <v>218000</v>
      </c>
      <c r="O288" s="91" t="s">
        <v>23</v>
      </c>
      <c r="P288" s="29"/>
      <c r="Q288" s="91" t="s">
        <v>54</v>
      </c>
      <c r="R288" s="29"/>
      <c r="S288" s="29"/>
      <c r="T288" s="29"/>
      <c r="U288" s="29"/>
      <c r="V288" s="29"/>
      <c r="W288" s="29"/>
    </row>
    <row r="289" spans="1:23" s="20" customFormat="1" ht="15.6" hidden="1">
      <c r="A289" s="9">
        <v>44272</v>
      </c>
      <c r="B289" s="91" t="s">
        <v>43</v>
      </c>
      <c r="C289" s="123" t="s">
        <v>3162</v>
      </c>
      <c r="D289" s="468" t="s">
        <v>3163</v>
      </c>
      <c r="E289" s="14" t="s">
        <v>1371</v>
      </c>
      <c r="F289" s="14" t="s">
        <v>1372</v>
      </c>
      <c r="G289" s="30">
        <v>1</v>
      </c>
      <c r="H289" s="119">
        <v>98000</v>
      </c>
      <c r="I289" s="23">
        <f t="shared" si="18"/>
        <v>98000</v>
      </c>
      <c r="J289" s="29"/>
      <c r="K289" s="86">
        <f t="shared" si="20"/>
        <v>98000</v>
      </c>
      <c r="L289" s="86">
        <v>23000</v>
      </c>
      <c r="M289" s="29">
        <v>-4243</v>
      </c>
      <c r="N289" s="92">
        <f t="shared" si="19"/>
        <v>116757</v>
      </c>
      <c r="O289" s="91" t="s">
        <v>43</v>
      </c>
      <c r="P289" s="468" t="s">
        <v>3164</v>
      </c>
      <c r="Q289" s="91" t="s">
        <v>54</v>
      </c>
      <c r="R289" s="29"/>
      <c r="S289" s="468" t="s">
        <v>3165</v>
      </c>
      <c r="T289" s="29"/>
      <c r="U289" s="29"/>
      <c r="V289" s="29"/>
      <c r="W289" s="29"/>
    </row>
    <row r="290" spans="1:23" s="20" customFormat="1" ht="15.6" hidden="1">
      <c r="A290" s="9">
        <v>44272</v>
      </c>
      <c r="B290" s="91" t="s">
        <v>43</v>
      </c>
      <c r="C290" s="91" t="s">
        <v>3166</v>
      </c>
      <c r="D290" s="468" t="s">
        <v>3167</v>
      </c>
      <c r="E290" s="14" t="s">
        <v>1212</v>
      </c>
      <c r="F290" s="14" t="s">
        <v>1213</v>
      </c>
      <c r="G290" s="30">
        <v>1</v>
      </c>
      <c r="H290" s="119">
        <v>74000</v>
      </c>
      <c r="I290" s="23">
        <f t="shared" si="18"/>
        <v>74000</v>
      </c>
      <c r="J290" s="29"/>
      <c r="K290" s="86">
        <f t="shared" si="20"/>
        <v>74000</v>
      </c>
      <c r="L290" s="86">
        <v>16000</v>
      </c>
      <c r="M290" s="29">
        <v>-3204</v>
      </c>
      <c r="N290" s="92">
        <f t="shared" si="19"/>
        <v>86796</v>
      </c>
      <c r="O290" s="91" t="s">
        <v>43</v>
      </c>
      <c r="P290" s="468" t="s">
        <v>3168</v>
      </c>
      <c r="Q290" s="91" t="s">
        <v>54</v>
      </c>
      <c r="R290" s="29"/>
      <c r="S290" s="468" t="s">
        <v>3169</v>
      </c>
      <c r="T290" s="29"/>
      <c r="U290" s="29"/>
      <c r="V290" s="29"/>
      <c r="W290" s="29"/>
    </row>
    <row r="291" spans="1:23" s="20" customFormat="1" ht="15.6" hidden="1">
      <c r="A291" s="9">
        <v>44272</v>
      </c>
      <c r="B291" s="91" t="s">
        <v>206</v>
      </c>
      <c r="C291" s="123" t="s">
        <v>3170</v>
      </c>
      <c r="D291" s="468" t="s">
        <v>3171</v>
      </c>
      <c r="E291" s="361" t="s">
        <v>1758</v>
      </c>
      <c r="F291" s="361" t="s">
        <v>1759</v>
      </c>
      <c r="G291" s="30">
        <v>1</v>
      </c>
      <c r="H291" s="119">
        <v>50000</v>
      </c>
      <c r="I291" s="23">
        <f t="shared" si="18"/>
        <v>50000</v>
      </c>
      <c r="J291" s="29"/>
      <c r="K291" s="86">
        <f t="shared" si="20"/>
        <v>50000</v>
      </c>
      <c r="L291" s="86">
        <v>17500</v>
      </c>
      <c r="M291" s="29"/>
      <c r="N291" s="92">
        <f t="shared" si="19"/>
        <v>67500</v>
      </c>
      <c r="O291" s="91" t="s">
        <v>206</v>
      </c>
      <c r="P291" s="29"/>
      <c r="Q291" s="91" t="s">
        <v>328</v>
      </c>
      <c r="R291" s="29"/>
      <c r="S291" s="29"/>
      <c r="T291" s="29"/>
      <c r="U291" s="29"/>
      <c r="V291" s="29"/>
      <c r="W291" s="29"/>
    </row>
    <row r="292" spans="1:23" s="20" customFormat="1" ht="15.6" hidden="1">
      <c r="A292" s="9">
        <v>44272</v>
      </c>
      <c r="B292" s="91" t="s">
        <v>206</v>
      </c>
      <c r="C292" s="123" t="s">
        <v>3170</v>
      </c>
      <c r="D292" s="468" t="s">
        <v>3171</v>
      </c>
      <c r="E292" s="446" t="s">
        <v>1351</v>
      </c>
      <c r="F292" s="361" t="s">
        <v>1352</v>
      </c>
      <c r="G292" s="30">
        <v>1</v>
      </c>
      <c r="H292" s="119">
        <v>52000</v>
      </c>
      <c r="I292" s="23">
        <f t="shared" si="18"/>
        <v>52000</v>
      </c>
      <c r="J292" s="29"/>
      <c r="K292" s="86">
        <f t="shared" si="20"/>
        <v>52000</v>
      </c>
      <c r="L292" s="86"/>
      <c r="M292" s="29"/>
      <c r="N292" s="92">
        <f t="shared" si="19"/>
        <v>52000</v>
      </c>
      <c r="O292" s="91" t="s">
        <v>206</v>
      </c>
      <c r="P292" s="29"/>
      <c r="Q292" s="91" t="s">
        <v>328</v>
      </c>
      <c r="R292" s="29"/>
      <c r="S292" s="29"/>
      <c r="T292" s="29"/>
      <c r="U292" s="29"/>
      <c r="V292" s="29"/>
      <c r="W292" s="29"/>
    </row>
    <row r="293" spans="1:23" s="20" customFormat="1" ht="15.6" hidden="1">
      <c r="A293" s="9">
        <v>44272</v>
      </c>
      <c r="B293" s="91" t="s">
        <v>170</v>
      </c>
      <c r="C293" s="91" t="s">
        <v>3172</v>
      </c>
      <c r="D293" s="468" t="s">
        <v>3173</v>
      </c>
      <c r="E293" s="22" t="s">
        <v>3174</v>
      </c>
      <c r="F293" s="94" t="s">
        <v>3175</v>
      </c>
      <c r="G293" s="30">
        <v>1</v>
      </c>
      <c r="H293" s="119">
        <v>78000</v>
      </c>
      <c r="I293" s="23">
        <f t="shared" si="18"/>
        <v>78000</v>
      </c>
      <c r="J293" s="29"/>
      <c r="K293" s="86">
        <f t="shared" si="20"/>
        <v>78000</v>
      </c>
      <c r="L293" s="86">
        <f>33000-33000</f>
        <v>0</v>
      </c>
      <c r="M293" s="29"/>
      <c r="N293" s="92">
        <f t="shared" si="19"/>
        <v>78000</v>
      </c>
      <c r="O293" s="91" t="s">
        <v>170</v>
      </c>
      <c r="P293" s="29"/>
      <c r="Q293" s="91" t="s">
        <v>380</v>
      </c>
      <c r="R293" s="29"/>
      <c r="S293" s="29"/>
      <c r="T293" s="29"/>
      <c r="U293" s="29"/>
      <c r="V293" s="29"/>
      <c r="W293" s="29"/>
    </row>
    <row r="294" spans="1:23" s="20" customFormat="1" ht="15.6">
      <c r="A294" s="9">
        <v>44272</v>
      </c>
      <c r="B294" s="501" t="s">
        <v>23</v>
      </c>
      <c r="C294" s="76" t="s">
        <v>2107</v>
      </c>
      <c r="D294" s="468" t="s">
        <v>3176</v>
      </c>
      <c r="E294" s="480" t="s">
        <v>3177</v>
      </c>
      <c r="F294" s="481" t="s">
        <v>3178</v>
      </c>
      <c r="G294" s="16">
        <v>20</v>
      </c>
      <c r="H294" s="119">
        <v>74000</v>
      </c>
      <c r="I294" s="23">
        <f t="shared" si="18"/>
        <v>1480000</v>
      </c>
      <c r="J294" s="29">
        <f>I294*30%</f>
        <v>444000</v>
      </c>
      <c r="K294" s="86">
        <f t="shared" si="20"/>
        <v>1036000</v>
      </c>
      <c r="L294" s="86">
        <v>720000</v>
      </c>
      <c r="M294" s="29"/>
      <c r="N294" s="92">
        <f t="shared" si="19"/>
        <v>1756000</v>
      </c>
      <c r="O294" s="501" t="s">
        <v>23</v>
      </c>
      <c r="P294" s="29"/>
      <c r="Q294" s="501" t="s">
        <v>3179</v>
      </c>
      <c r="R294" s="29"/>
      <c r="S294" s="29"/>
      <c r="T294" s="29"/>
      <c r="U294" s="29"/>
      <c r="V294" s="29"/>
      <c r="W294" s="29"/>
    </row>
    <row r="295" spans="1:23" s="20" customFormat="1" ht="15.6">
      <c r="A295" s="9">
        <v>44272</v>
      </c>
      <c r="B295" s="501" t="s">
        <v>23</v>
      </c>
      <c r="C295" s="76" t="s">
        <v>2107</v>
      </c>
      <c r="D295" s="468" t="s">
        <v>3176</v>
      </c>
      <c r="E295" s="482" t="s">
        <v>2127</v>
      </c>
      <c r="F295" s="481" t="s">
        <v>2107</v>
      </c>
      <c r="G295" s="16">
        <v>30</v>
      </c>
      <c r="H295" s="119">
        <v>81000</v>
      </c>
      <c r="I295" s="23">
        <f t="shared" si="18"/>
        <v>2430000</v>
      </c>
      <c r="J295" s="29">
        <f>I295*30%</f>
        <v>729000</v>
      </c>
      <c r="K295" s="86">
        <f t="shared" si="20"/>
        <v>1701000</v>
      </c>
      <c r="L295" s="86"/>
      <c r="M295" s="29"/>
      <c r="N295" s="92">
        <f t="shared" si="19"/>
        <v>1701000</v>
      </c>
      <c r="O295" s="501" t="s">
        <v>23</v>
      </c>
      <c r="P295" s="29"/>
      <c r="Q295" s="501" t="s">
        <v>3179</v>
      </c>
      <c r="R295" s="29"/>
      <c r="S295" s="29"/>
      <c r="T295" s="29"/>
      <c r="U295" s="29"/>
      <c r="V295" s="29"/>
      <c r="W295" s="29"/>
    </row>
    <row r="296" spans="1:23" s="20" customFormat="1" ht="15.6" hidden="1">
      <c r="A296" s="483">
        <v>44273</v>
      </c>
      <c r="B296" s="91" t="s">
        <v>206</v>
      </c>
      <c r="C296" s="123" t="s">
        <v>2334</v>
      </c>
      <c r="D296" s="468" t="s">
        <v>2335</v>
      </c>
      <c r="E296" s="83" t="s">
        <v>3180</v>
      </c>
      <c r="F296" s="83" t="s">
        <v>3181</v>
      </c>
      <c r="G296" s="30">
        <v>1</v>
      </c>
      <c r="H296" s="119">
        <v>57000</v>
      </c>
      <c r="I296" s="23">
        <f t="shared" si="18"/>
        <v>57000</v>
      </c>
      <c r="J296" s="29"/>
      <c r="K296" s="86">
        <f t="shared" si="20"/>
        <v>57000</v>
      </c>
      <c r="L296" s="86">
        <v>13900</v>
      </c>
      <c r="M296" s="29"/>
      <c r="N296" s="92">
        <f t="shared" si="19"/>
        <v>70900</v>
      </c>
      <c r="O296" s="91" t="s">
        <v>206</v>
      </c>
      <c r="P296" s="29"/>
      <c r="Q296" s="91" t="s">
        <v>40</v>
      </c>
      <c r="R296" s="29"/>
      <c r="S296" s="29"/>
      <c r="T296" s="29"/>
      <c r="U296" s="29"/>
      <c r="V296" s="29"/>
      <c r="W296" s="29"/>
    </row>
    <row r="297" spans="1:23" s="20" customFormat="1" ht="15.6" hidden="1">
      <c r="A297" s="483">
        <v>44273</v>
      </c>
      <c r="B297" s="91" t="s">
        <v>206</v>
      </c>
      <c r="C297" s="123" t="s">
        <v>2334</v>
      </c>
      <c r="D297" s="468" t="s">
        <v>2335</v>
      </c>
      <c r="E297" s="83" t="s">
        <v>3182</v>
      </c>
      <c r="F297" s="83" t="s">
        <v>3183</v>
      </c>
      <c r="G297" s="30">
        <v>1</v>
      </c>
      <c r="H297" s="119">
        <v>89000</v>
      </c>
      <c r="I297" s="23">
        <f t="shared" si="18"/>
        <v>89000</v>
      </c>
      <c r="J297" s="29"/>
      <c r="K297" s="86">
        <f t="shared" si="20"/>
        <v>89000</v>
      </c>
      <c r="L297" s="86"/>
      <c r="M297" s="29"/>
      <c r="N297" s="92">
        <f t="shared" si="19"/>
        <v>89000</v>
      </c>
      <c r="O297" s="91" t="s">
        <v>206</v>
      </c>
      <c r="P297" s="29"/>
      <c r="Q297" s="91" t="s">
        <v>40</v>
      </c>
      <c r="R297" s="29"/>
      <c r="S297" s="29"/>
      <c r="T297" s="29"/>
      <c r="U297" s="29"/>
      <c r="V297" s="29"/>
      <c r="W297" s="29"/>
    </row>
    <row r="298" spans="1:23" s="20" customFormat="1" ht="15.6" hidden="1">
      <c r="A298" s="483">
        <v>44273</v>
      </c>
      <c r="B298" s="91" t="s">
        <v>206</v>
      </c>
      <c r="C298" s="123" t="s">
        <v>2334</v>
      </c>
      <c r="D298" s="468" t="s">
        <v>2335</v>
      </c>
      <c r="E298" s="126" t="s">
        <v>3184</v>
      </c>
      <c r="F298" s="126" t="s">
        <v>3185</v>
      </c>
      <c r="G298" s="30">
        <v>1</v>
      </c>
      <c r="H298" s="119">
        <v>59000</v>
      </c>
      <c r="I298" s="23">
        <f t="shared" si="18"/>
        <v>59000</v>
      </c>
      <c r="J298" s="29"/>
      <c r="K298" s="86">
        <f t="shared" si="20"/>
        <v>59000</v>
      </c>
      <c r="L298" s="86"/>
      <c r="M298" s="29"/>
      <c r="N298" s="92">
        <f t="shared" si="19"/>
        <v>59000</v>
      </c>
      <c r="O298" s="91" t="s">
        <v>206</v>
      </c>
      <c r="P298" s="29"/>
      <c r="Q298" s="91" t="s">
        <v>40</v>
      </c>
      <c r="R298" s="29"/>
      <c r="S298" s="29"/>
      <c r="T298" s="29"/>
      <c r="U298" s="29"/>
      <c r="V298" s="29"/>
      <c r="W298" s="29"/>
    </row>
    <row r="299" spans="1:23" s="20" customFormat="1" ht="15.6" hidden="1">
      <c r="A299" s="483">
        <v>44273</v>
      </c>
      <c r="B299" s="91" t="s">
        <v>170</v>
      </c>
      <c r="C299" s="123" t="s">
        <v>3186</v>
      </c>
      <c r="D299" s="468" t="s">
        <v>3187</v>
      </c>
      <c r="E299" s="14" t="s">
        <v>93</v>
      </c>
      <c r="F299" s="22" t="s">
        <v>115</v>
      </c>
      <c r="G299" s="30">
        <v>1</v>
      </c>
      <c r="H299" s="119">
        <v>93500</v>
      </c>
      <c r="I299" s="23">
        <f t="shared" si="18"/>
        <v>93500</v>
      </c>
      <c r="J299" s="29"/>
      <c r="K299" s="86">
        <f t="shared" si="20"/>
        <v>93500</v>
      </c>
      <c r="L299" s="86">
        <f>11000-11000</f>
        <v>0</v>
      </c>
      <c r="M299" s="29"/>
      <c r="N299" s="92">
        <f t="shared" si="19"/>
        <v>93500</v>
      </c>
      <c r="O299" s="91" t="s">
        <v>170</v>
      </c>
      <c r="P299" s="468"/>
      <c r="Q299" s="91" t="s">
        <v>54</v>
      </c>
      <c r="R299" s="29"/>
      <c r="S299" s="12"/>
      <c r="T299" s="29"/>
      <c r="U299" s="29"/>
      <c r="V299" s="29"/>
      <c r="W299" s="29"/>
    </row>
    <row r="300" spans="1:23" s="20" customFormat="1" ht="15.6">
      <c r="A300" s="483">
        <v>44273</v>
      </c>
      <c r="B300" s="91" t="s">
        <v>23</v>
      </c>
      <c r="C300" s="123" t="s">
        <v>3188</v>
      </c>
      <c r="D300" s="468" t="s">
        <v>3189</v>
      </c>
      <c r="E300" s="22" t="s">
        <v>3190</v>
      </c>
      <c r="F300" s="94" t="s">
        <v>3191</v>
      </c>
      <c r="G300" s="30">
        <v>1</v>
      </c>
      <c r="H300" s="119">
        <v>100000</v>
      </c>
      <c r="I300" s="23">
        <f t="shared" si="18"/>
        <v>100000</v>
      </c>
      <c r="J300" s="29"/>
      <c r="K300" s="86">
        <f t="shared" si="20"/>
        <v>100000</v>
      </c>
      <c r="L300" s="86">
        <v>25000</v>
      </c>
      <c r="M300" s="29"/>
      <c r="N300" s="92">
        <f t="shared" si="19"/>
        <v>125000</v>
      </c>
      <c r="O300" s="91" t="s">
        <v>23</v>
      </c>
      <c r="P300" s="105"/>
      <c r="Q300" s="91" t="s">
        <v>54</v>
      </c>
      <c r="R300" s="29"/>
      <c r="S300" s="468"/>
      <c r="T300" s="29"/>
      <c r="U300" s="29"/>
      <c r="V300" s="29"/>
      <c r="W300" s="29"/>
    </row>
    <row r="301" spans="1:23" s="20" customFormat="1" ht="15.6">
      <c r="A301" s="483">
        <v>44273</v>
      </c>
      <c r="B301" s="91" t="s">
        <v>23</v>
      </c>
      <c r="C301" s="91" t="s">
        <v>3192</v>
      </c>
      <c r="D301" s="468" t="s">
        <v>3193</v>
      </c>
      <c r="E301" s="343" t="s">
        <v>3194</v>
      </c>
      <c r="F301" s="343" t="s">
        <v>3195</v>
      </c>
      <c r="G301" s="30">
        <v>1</v>
      </c>
      <c r="H301" s="119">
        <v>82500</v>
      </c>
      <c r="I301" s="23">
        <f t="shared" si="18"/>
        <v>82500</v>
      </c>
      <c r="J301" s="29"/>
      <c r="K301" s="86">
        <f t="shared" si="20"/>
        <v>82500</v>
      </c>
      <c r="L301" s="86">
        <v>45000</v>
      </c>
      <c r="M301" s="29"/>
      <c r="N301" s="92">
        <f t="shared" si="19"/>
        <v>127500</v>
      </c>
      <c r="O301" s="91" t="s">
        <v>23</v>
      </c>
      <c r="P301" s="468"/>
      <c r="Q301" s="91" t="s">
        <v>40</v>
      </c>
      <c r="R301" s="29"/>
      <c r="S301" s="468"/>
      <c r="T301" s="29"/>
      <c r="U301" s="29"/>
      <c r="V301" s="29"/>
      <c r="W301" s="29"/>
    </row>
    <row r="302" spans="1:23" s="20" customFormat="1" ht="15.6">
      <c r="A302" s="483">
        <v>44273</v>
      </c>
      <c r="B302" s="91" t="s">
        <v>23</v>
      </c>
      <c r="C302" s="91" t="s">
        <v>3192</v>
      </c>
      <c r="D302" s="468" t="s">
        <v>3193</v>
      </c>
      <c r="E302" s="130" t="s">
        <v>3196</v>
      </c>
      <c r="F302" s="130" t="s">
        <v>3197</v>
      </c>
      <c r="G302" s="30">
        <v>2</v>
      </c>
      <c r="H302" s="119">
        <v>70000</v>
      </c>
      <c r="I302" s="23">
        <f t="shared" si="18"/>
        <v>140000</v>
      </c>
      <c r="J302" s="29"/>
      <c r="K302" s="86">
        <f t="shared" si="20"/>
        <v>140000</v>
      </c>
      <c r="L302" s="86"/>
      <c r="M302" s="29"/>
      <c r="N302" s="92">
        <f t="shared" si="19"/>
        <v>140000</v>
      </c>
      <c r="O302" s="91" t="s">
        <v>23</v>
      </c>
      <c r="P302" s="29"/>
      <c r="Q302" s="91" t="s">
        <v>40</v>
      </c>
      <c r="R302" s="29"/>
      <c r="S302" s="169"/>
      <c r="T302" s="29"/>
      <c r="U302" s="29"/>
      <c r="V302" s="29"/>
      <c r="W302" s="29"/>
    </row>
    <row r="303" spans="1:23" s="20" customFormat="1" ht="15.6">
      <c r="A303" s="483">
        <v>44273</v>
      </c>
      <c r="B303" s="91" t="s">
        <v>23</v>
      </c>
      <c r="C303" s="91" t="s">
        <v>3198</v>
      </c>
      <c r="D303" s="468" t="s">
        <v>3199</v>
      </c>
      <c r="E303" s="22" t="s">
        <v>1845</v>
      </c>
      <c r="F303" s="22" t="s">
        <v>1846</v>
      </c>
      <c r="G303" s="30">
        <v>2</v>
      </c>
      <c r="H303" s="119">
        <v>434000</v>
      </c>
      <c r="I303" s="23">
        <f t="shared" si="18"/>
        <v>868000</v>
      </c>
      <c r="J303" s="29">
        <f>I303*20%</f>
        <v>173600</v>
      </c>
      <c r="K303" s="86">
        <f t="shared" si="20"/>
        <v>694400</v>
      </c>
      <c r="L303" s="86">
        <v>38000</v>
      </c>
      <c r="M303" s="29"/>
      <c r="N303" s="92">
        <f t="shared" si="19"/>
        <v>732400</v>
      </c>
      <c r="O303" s="91" t="s">
        <v>23</v>
      </c>
      <c r="P303" s="29"/>
      <c r="Q303" s="91" t="s">
        <v>54</v>
      </c>
      <c r="R303" s="29"/>
      <c r="S303" s="169"/>
      <c r="T303" s="29"/>
      <c r="U303" s="29"/>
      <c r="V303" s="29"/>
      <c r="W303" s="29"/>
    </row>
    <row r="304" spans="1:23" s="20" customFormat="1" ht="16.8" hidden="1">
      <c r="A304" s="9">
        <v>44274</v>
      </c>
      <c r="B304" s="91" t="s">
        <v>43</v>
      </c>
      <c r="C304" s="123" t="s">
        <v>3200</v>
      </c>
      <c r="D304" s="468" t="s">
        <v>3201</v>
      </c>
      <c r="E304" s="22" t="s">
        <v>3202</v>
      </c>
      <c r="F304" s="94" t="s">
        <v>3203</v>
      </c>
      <c r="G304" s="174">
        <v>1</v>
      </c>
      <c r="H304" s="119">
        <v>66500</v>
      </c>
      <c r="I304" s="23">
        <f t="shared" si="18"/>
        <v>66500</v>
      </c>
      <c r="J304" s="29"/>
      <c r="K304" s="86">
        <f t="shared" si="20"/>
        <v>66500</v>
      </c>
      <c r="L304" s="86">
        <v>7000</v>
      </c>
      <c r="M304" s="29">
        <v>-2880</v>
      </c>
      <c r="N304" s="92">
        <f t="shared" si="19"/>
        <v>70620</v>
      </c>
      <c r="O304" s="91" t="s">
        <v>43</v>
      </c>
      <c r="P304" s="432" t="s">
        <v>3204</v>
      </c>
      <c r="Q304" s="91" t="s">
        <v>176</v>
      </c>
      <c r="R304" s="29"/>
      <c r="S304" s="502" t="s">
        <v>3205</v>
      </c>
      <c r="T304" s="29"/>
      <c r="U304" s="29"/>
      <c r="V304" s="29"/>
      <c r="W304" s="29"/>
    </row>
    <row r="305" spans="1:23" s="20" customFormat="1" ht="15.6" hidden="1">
      <c r="A305" s="9">
        <v>44274</v>
      </c>
      <c r="B305" s="91" t="s">
        <v>43</v>
      </c>
      <c r="C305" s="123" t="s">
        <v>3206</v>
      </c>
      <c r="D305" s="468" t="s">
        <v>3207</v>
      </c>
      <c r="E305" s="160" t="s">
        <v>3208</v>
      </c>
      <c r="F305" s="223" t="s">
        <v>3209</v>
      </c>
      <c r="G305" s="174">
        <v>1</v>
      </c>
      <c r="H305" s="119">
        <v>153000</v>
      </c>
      <c r="I305" s="23">
        <f t="shared" si="18"/>
        <v>153000</v>
      </c>
      <c r="J305" s="29"/>
      <c r="K305" s="86">
        <f t="shared" si="20"/>
        <v>153000</v>
      </c>
      <c r="L305" s="86"/>
      <c r="M305" s="29">
        <v>-6625</v>
      </c>
      <c r="N305" s="92">
        <f t="shared" si="19"/>
        <v>146375</v>
      </c>
      <c r="O305" s="91" t="s">
        <v>43</v>
      </c>
      <c r="P305" s="468" t="s">
        <v>3210</v>
      </c>
      <c r="Q305" s="91" t="s">
        <v>176</v>
      </c>
      <c r="R305" s="29"/>
      <c r="S305" s="470" t="s">
        <v>3211</v>
      </c>
      <c r="T305" s="29"/>
      <c r="U305" s="29"/>
      <c r="V305" s="29"/>
      <c r="W305" s="29"/>
    </row>
    <row r="306" spans="1:23" s="20" customFormat="1" ht="16.8" hidden="1">
      <c r="A306" s="9">
        <v>44274</v>
      </c>
      <c r="B306" s="91" t="s">
        <v>177</v>
      </c>
      <c r="C306" s="484" t="s">
        <v>3212</v>
      </c>
      <c r="D306" s="468" t="s">
        <v>3213</v>
      </c>
      <c r="E306" s="98" t="s">
        <v>3214</v>
      </c>
      <c r="F306" s="98" t="s">
        <v>2372</v>
      </c>
      <c r="G306" s="174">
        <v>1</v>
      </c>
      <c r="H306" s="119">
        <v>76000</v>
      </c>
      <c r="I306" s="23">
        <f t="shared" si="18"/>
        <v>76000</v>
      </c>
      <c r="J306" s="29"/>
      <c r="K306" s="86">
        <f t="shared" si="20"/>
        <v>76000</v>
      </c>
      <c r="L306" s="86">
        <v>51000</v>
      </c>
      <c r="M306" s="29"/>
      <c r="N306" s="92">
        <f t="shared" si="19"/>
        <v>127000</v>
      </c>
      <c r="O306" s="91" t="s">
        <v>177</v>
      </c>
      <c r="P306" s="104">
        <v>560671265161016</v>
      </c>
      <c r="Q306" s="91" t="s">
        <v>54</v>
      </c>
      <c r="R306" s="29"/>
      <c r="S306" s="29"/>
      <c r="T306" s="29"/>
      <c r="U306" s="29"/>
      <c r="V306" s="29"/>
      <c r="W306" s="29"/>
    </row>
    <row r="307" spans="1:23" s="20" customFormat="1" ht="16.8" hidden="1">
      <c r="A307" s="9">
        <v>44274</v>
      </c>
      <c r="B307" s="91" t="s">
        <v>177</v>
      </c>
      <c r="C307" s="484" t="s">
        <v>3212</v>
      </c>
      <c r="D307" s="468" t="s">
        <v>3213</v>
      </c>
      <c r="E307" s="285" t="s">
        <v>3215</v>
      </c>
      <c r="F307" s="356" t="s">
        <v>2208</v>
      </c>
      <c r="G307" s="174">
        <v>1</v>
      </c>
      <c r="H307" s="119">
        <v>94000</v>
      </c>
      <c r="I307" s="23">
        <f t="shared" si="18"/>
        <v>94000</v>
      </c>
      <c r="J307" s="29"/>
      <c r="K307" s="86">
        <f t="shared" si="20"/>
        <v>94000</v>
      </c>
      <c r="L307" s="86"/>
      <c r="M307" s="29"/>
      <c r="N307" s="92">
        <f t="shared" ref="N307:N334" si="21">K307+L307+M307</f>
        <v>94000</v>
      </c>
      <c r="O307" s="91" t="s">
        <v>177</v>
      </c>
      <c r="P307" s="104">
        <v>560671265161016</v>
      </c>
      <c r="Q307" s="91" t="s">
        <v>54</v>
      </c>
      <c r="R307" s="29"/>
      <c r="S307" s="29"/>
      <c r="T307" s="29"/>
      <c r="U307" s="29"/>
      <c r="V307" s="29"/>
      <c r="W307" s="29"/>
    </row>
    <row r="308" spans="1:23" s="20" customFormat="1" ht="16.8" hidden="1">
      <c r="A308" s="9">
        <v>44274</v>
      </c>
      <c r="B308" s="91" t="s">
        <v>177</v>
      </c>
      <c r="C308" s="484" t="s">
        <v>3212</v>
      </c>
      <c r="D308" s="468" t="s">
        <v>3213</v>
      </c>
      <c r="E308" s="98" t="s">
        <v>1826</v>
      </c>
      <c r="F308" s="98" t="s">
        <v>1827</v>
      </c>
      <c r="G308" s="174">
        <v>1</v>
      </c>
      <c r="H308" s="119">
        <v>71000</v>
      </c>
      <c r="I308" s="23">
        <f t="shared" si="18"/>
        <v>71000</v>
      </c>
      <c r="J308" s="29"/>
      <c r="K308" s="86">
        <f t="shared" si="20"/>
        <v>71000</v>
      </c>
      <c r="L308" s="86"/>
      <c r="M308" s="29"/>
      <c r="N308" s="92">
        <f t="shared" si="21"/>
        <v>71000</v>
      </c>
      <c r="O308" s="91" t="s">
        <v>177</v>
      </c>
      <c r="P308" s="104">
        <v>560671265161016</v>
      </c>
      <c r="Q308" s="91" t="s">
        <v>54</v>
      </c>
      <c r="R308" s="29"/>
      <c r="S308" s="29"/>
      <c r="T308" s="29"/>
      <c r="U308" s="29"/>
      <c r="V308" s="29"/>
      <c r="W308" s="29"/>
    </row>
    <row r="309" spans="1:23" s="20" customFormat="1" ht="16.8" hidden="1">
      <c r="A309" s="9">
        <v>44274</v>
      </c>
      <c r="B309" s="91" t="s">
        <v>177</v>
      </c>
      <c r="C309" s="484" t="s">
        <v>3212</v>
      </c>
      <c r="D309" s="468" t="s">
        <v>3213</v>
      </c>
      <c r="E309" s="285" t="s">
        <v>3216</v>
      </c>
      <c r="F309" s="99" t="s">
        <v>3217</v>
      </c>
      <c r="G309" s="174">
        <v>1</v>
      </c>
      <c r="H309" s="119">
        <v>100500</v>
      </c>
      <c r="I309" s="23">
        <f t="shared" si="18"/>
        <v>100500</v>
      </c>
      <c r="J309" s="29"/>
      <c r="K309" s="86">
        <f t="shared" si="20"/>
        <v>100500</v>
      </c>
      <c r="L309" s="86"/>
      <c r="M309" s="29"/>
      <c r="N309" s="92">
        <f t="shared" si="21"/>
        <v>100500</v>
      </c>
      <c r="O309" s="91" t="s">
        <v>177</v>
      </c>
      <c r="P309" s="104">
        <v>560671265161016</v>
      </c>
      <c r="Q309" s="91" t="s">
        <v>54</v>
      </c>
      <c r="R309" s="29"/>
      <c r="S309" s="29"/>
      <c r="T309" s="29"/>
      <c r="U309" s="29"/>
      <c r="V309" s="29"/>
      <c r="W309" s="29"/>
    </row>
    <row r="310" spans="1:23" s="20" customFormat="1" ht="15.6" hidden="1">
      <c r="A310" s="9">
        <v>44274</v>
      </c>
      <c r="B310" s="91" t="s">
        <v>313</v>
      </c>
      <c r="C310" s="91" t="s">
        <v>3218</v>
      </c>
      <c r="D310" s="468" t="s">
        <v>3219</v>
      </c>
      <c r="E310" s="22" t="s">
        <v>3220</v>
      </c>
      <c r="F310" s="22" t="s">
        <v>3221</v>
      </c>
      <c r="G310" s="174">
        <v>2</v>
      </c>
      <c r="H310" s="119">
        <v>98000</v>
      </c>
      <c r="I310" s="23">
        <f t="shared" si="18"/>
        <v>196000</v>
      </c>
      <c r="J310" s="29">
        <f>I310*20%</f>
        <v>39200</v>
      </c>
      <c r="K310" s="86">
        <f t="shared" si="20"/>
        <v>156800</v>
      </c>
      <c r="L310" s="86">
        <v>37041</v>
      </c>
      <c r="M310" s="29"/>
      <c r="N310" s="92">
        <f t="shared" si="21"/>
        <v>193841</v>
      </c>
      <c r="O310" s="91" t="s">
        <v>313</v>
      </c>
      <c r="P310" s="29"/>
      <c r="Q310" s="91" t="s">
        <v>54</v>
      </c>
      <c r="R310" s="29"/>
      <c r="S310" s="29"/>
      <c r="T310" s="29"/>
      <c r="U310" s="29"/>
      <c r="V310" s="29"/>
      <c r="W310" s="29"/>
    </row>
    <row r="311" spans="1:23" s="20" customFormat="1" ht="15.6" hidden="1">
      <c r="A311" s="9">
        <v>44274</v>
      </c>
      <c r="B311" s="91" t="s">
        <v>313</v>
      </c>
      <c r="C311" s="91" t="s">
        <v>3222</v>
      </c>
      <c r="D311" s="468" t="s">
        <v>3223</v>
      </c>
      <c r="E311" s="346" t="s">
        <v>3224</v>
      </c>
      <c r="F311" s="22" t="s">
        <v>3225</v>
      </c>
      <c r="G311" s="174">
        <v>1</v>
      </c>
      <c r="H311" s="119">
        <v>117000</v>
      </c>
      <c r="I311" s="23">
        <f t="shared" si="18"/>
        <v>117000</v>
      </c>
      <c r="J311" s="29"/>
      <c r="K311" s="86">
        <f t="shared" si="20"/>
        <v>117000</v>
      </c>
      <c r="L311" s="86">
        <v>13027</v>
      </c>
      <c r="M311" s="29"/>
      <c r="N311" s="92">
        <f t="shared" si="21"/>
        <v>130027</v>
      </c>
      <c r="O311" s="91" t="s">
        <v>313</v>
      </c>
      <c r="P311" s="29"/>
      <c r="Q311" s="91" t="s">
        <v>40</v>
      </c>
      <c r="R311" s="29"/>
      <c r="S311" s="29"/>
      <c r="T311" s="29"/>
      <c r="U311" s="29"/>
      <c r="V311" s="29"/>
      <c r="W311" s="29"/>
    </row>
    <row r="312" spans="1:23" s="20" customFormat="1" ht="15.6" hidden="1">
      <c r="A312" s="9">
        <v>44274</v>
      </c>
      <c r="B312" s="91" t="s">
        <v>43</v>
      </c>
      <c r="C312" s="123" t="s">
        <v>3226</v>
      </c>
      <c r="D312" s="468" t="s">
        <v>3227</v>
      </c>
      <c r="E312" s="160" t="s">
        <v>3228</v>
      </c>
      <c r="F312" s="161" t="s">
        <v>3229</v>
      </c>
      <c r="G312" s="485">
        <v>1</v>
      </c>
      <c r="H312" s="119">
        <v>93000</v>
      </c>
      <c r="I312" s="23">
        <f t="shared" si="18"/>
        <v>93000</v>
      </c>
      <c r="J312" s="29"/>
      <c r="K312" s="86">
        <f t="shared" si="20"/>
        <v>93000</v>
      </c>
      <c r="L312" s="86"/>
      <c r="M312" s="29">
        <v>-4027</v>
      </c>
      <c r="N312" s="92">
        <f t="shared" si="21"/>
        <v>88973</v>
      </c>
      <c r="O312" s="91" t="s">
        <v>43</v>
      </c>
      <c r="P312" s="29"/>
      <c r="Q312" s="91" t="s">
        <v>176</v>
      </c>
      <c r="R312" s="29"/>
      <c r="S312" s="29"/>
      <c r="T312" s="29"/>
      <c r="U312" s="29"/>
      <c r="V312" s="29"/>
      <c r="W312" s="29"/>
    </row>
    <row r="313" spans="1:23" s="20" customFormat="1" ht="15.6">
      <c r="A313" s="9">
        <v>44274</v>
      </c>
      <c r="B313" s="91" t="s">
        <v>23</v>
      </c>
      <c r="C313" s="91" t="s">
        <v>3230</v>
      </c>
      <c r="D313" s="468" t="s">
        <v>3231</v>
      </c>
      <c r="E313" s="160" t="s">
        <v>625</v>
      </c>
      <c r="F313" s="161" t="s">
        <v>626</v>
      </c>
      <c r="G313" s="174">
        <v>10</v>
      </c>
      <c r="H313" s="119">
        <v>58500</v>
      </c>
      <c r="I313" s="23">
        <f t="shared" si="18"/>
        <v>585000</v>
      </c>
      <c r="J313" s="29">
        <f>I313*40%</f>
        <v>234000</v>
      </c>
      <c r="K313" s="86">
        <f t="shared" si="20"/>
        <v>351000</v>
      </c>
      <c r="L313" s="29">
        <v>21000</v>
      </c>
      <c r="M313" s="29"/>
      <c r="N313" s="92">
        <f t="shared" si="21"/>
        <v>372000</v>
      </c>
      <c r="O313" s="91" t="s">
        <v>23</v>
      </c>
      <c r="P313" s="29"/>
      <c r="Q313" s="91" t="s">
        <v>28</v>
      </c>
      <c r="R313" s="29"/>
      <c r="S313" s="468"/>
      <c r="T313" s="29"/>
      <c r="U313" s="29"/>
      <c r="V313" s="29"/>
      <c r="W313" s="29"/>
    </row>
    <row r="314" spans="1:23" s="20" customFormat="1" ht="15.6">
      <c r="A314" s="9">
        <v>44274</v>
      </c>
      <c r="B314" s="91" t="s">
        <v>23</v>
      </c>
      <c r="C314" s="91" t="s">
        <v>3232</v>
      </c>
      <c r="D314" s="468" t="s">
        <v>3233</v>
      </c>
      <c r="E314" s="14" t="s">
        <v>1403</v>
      </c>
      <c r="F314" s="14" t="s">
        <v>1404</v>
      </c>
      <c r="G314" s="30">
        <v>1</v>
      </c>
      <c r="H314" s="119">
        <v>143000</v>
      </c>
      <c r="I314" s="23">
        <f t="shared" si="18"/>
        <v>143000</v>
      </c>
      <c r="J314" s="29"/>
      <c r="K314" s="86">
        <f t="shared" si="20"/>
        <v>143000</v>
      </c>
      <c r="L314" s="29">
        <v>45000</v>
      </c>
      <c r="M314" s="29"/>
      <c r="N314" s="92">
        <f t="shared" si="21"/>
        <v>188000</v>
      </c>
      <c r="O314" s="91" t="s">
        <v>23</v>
      </c>
      <c r="P314" s="29"/>
      <c r="Q314" s="91" t="s">
        <v>40</v>
      </c>
      <c r="R314" s="29"/>
      <c r="S314" s="29"/>
      <c r="T314" s="29"/>
      <c r="U314" s="29"/>
      <c r="V314" s="29"/>
      <c r="W314" s="29"/>
    </row>
    <row r="315" spans="1:23" s="20" customFormat="1" ht="15.6" hidden="1">
      <c r="A315" s="9">
        <v>44274</v>
      </c>
      <c r="B315" s="91" t="s">
        <v>313</v>
      </c>
      <c r="C315" s="123" t="s">
        <v>3234</v>
      </c>
      <c r="D315" s="468" t="s">
        <v>3235</v>
      </c>
      <c r="E315" s="22" t="s">
        <v>3236</v>
      </c>
      <c r="F315" s="22" t="s">
        <v>3237</v>
      </c>
      <c r="G315" s="30">
        <v>1</v>
      </c>
      <c r="H315" s="119">
        <v>168500</v>
      </c>
      <c r="I315" s="23">
        <f t="shared" si="18"/>
        <v>168500</v>
      </c>
      <c r="J315" s="29"/>
      <c r="K315" s="86">
        <f t="shared" si="20"/>
        <v>168500</v>
      </c>
      <c r="L315" s="29">
        <v>23026</v>
      </c>
      <c r="M315" s="29"/>
      <c r="N315" s="92">
        <f t="shared" si="21"/>
        <v>191526</v>
      </c>
      <c r="O315" s="91" t="s">
        <v>313</v>
      </c>
      <c r="P315" s="29"/>
      <c r="Q315" s="91" t="s">
        <v>40</v>
      </c>
      <c r="R315" s="29"/>
      <c r="S315" s="29"/>
      <c r="T315" s="29"/>
      <c r="U315" s="29"/>
      <c r="V315" s="29"/>
      <c r="W315" s="29"/>
    </row>
    <row r="316" spans="1:23" s="20" customFormat="1" ht="15.6" hidden="1">
      <c r="A316" s="9">
        <v>44277</v>
      </c>
      <c r="B316" s="91" t="s">
        <v>43</v>
      </c>
      <c r="C316" s="91" t="s">
        <v>1242</v>
      </c>
      <c r="D316" s="486" t="s">
        <v>3238</v>
      </c>
      <c r="E316" s="22" t="s">
        <v>2667</v>
      </c>
      <c r="F316" s="22" t="s">
        <v>2668</v>
      </c>
      <c r="G316" s="330">
        <v>1</v>
      </c>
      <c r="H316" s="119">
        <v>112000</v>
      </c>
      <c r="I316" s="23">
        <f t="shared" ref="I316:I334" si="22">H316*G316</f>
        <v>112000</v>
      </c>
      <c r="J316" s="29"/>
      <c r="K316" s="86">
        <f t="shared" si="20"/>
        <v>112000</v>
      </c>
      <c r="L316" s="29"/>
      <c r="M316" s="29">
        <v>-4850</v>
      </c>
      <c r="N316" s="92">
        <f t="shared" si="21"/>
        <v>107150</v>
      </c>
      <c r="O316" s="91" t="s">
        <v>43</v>
      </c>
      <c r="P316" s="486" t="s">
        <v>3239</v>
      </c>
      <c r="Q316" s="91" t="s">
        <v>54</v>
      </c>
      <c r="R316" s="29"/>
      <c r="S316" s="486" t="s">
        <v>3240</v>
      </c>
      <c r="T316" s="29"/>
      <c r="U316" s="29"/>
      <c r="V316" s="29"/>
      <c r="W316" s="29"/>
    </row>
    <row r="317" spans="1:23" s="20" customFormat="1" ht="15.6" hidden="1">
      <c r="A317" s="9">
        <v>44277</v>
      </c>
      <c r="B317" s="91" t="s">
        <v>43</v>
      </c>
      <c r="C317" s="123" t="s">
        <v>3241</v>
      </c>
      <c r="D317" s="486" t="s">
        <v>3242</v>
      </c>
      <c r="E317" s="161" t="s">
        <v>99</v>
      </c>
      <c r="F317" s="161" t="s">
        <v>120</v>
      </c>
      <c r="G317" s="330">
        <v>1</v>
      </c>
      <c r="H317" s="119">
        <v>133000</v>
      </c>
      <c r="I317" s="23">
        <f t="shared" si="22"/>
        <v>133000</v>
      </c>
      <c r="J317" s="29"/>
      <c r="K317" s="86">
        <f t="shared" si="20"/>
        <v>133000</v>
      </c>
      <c r="L317" s="29"/>
      <c r="M317" s="29">
        <v>-5759</v>
      </c>
      <c r="N317" s="92">
        <f t="shared" si="21"/>
        <v>127241</v>
      </c>
      <c r="O317" s="91" t="s">
        <v>43</v>
      </c>
      <c r="P317" s="29"/>
      <c r="Q317" s="91" t="s">
        <v>176</v>
      </c>
      <c r="R317" s="29"/>
      <c r="S317" s="29"/>
      <c r="T317" s="29"/>
      <c r="U317" s="29"/>
      <c r="V317" s="29"/>
      <c r="W317" s="29"/>
    </row>
    <row r="318" spans="1:23" s="20" customFormat="1" ht="15.6" hidden="1">
      <c r="A318" s="9">
        <v>44277</v>
      </c>
      <c r="B318" s="91" t="s">
        <v>43</v>
      </c>
      <c r="C318" s="91" t="s">
        <v>3243</v>
      </c>
      <c r="D318" s="486" t="s">
        <v>3244</v>
      </c>
      <c r="E318" s="98" t="s">
        <v>1012</v>
      </c>
      <c r="F318" s="99" t="s">
        <v>1013</v>
      </c>
      <c r="G318" s="330">
        <v>1</v>
      </c>
      <c r="H318" s="119">
        <v>84000</v>
      </c>
      <c r="I318" s="23">
        <f t="shared" si="22"/>
        <v>84000</v>
      </c>
      <c r="J318" s="29"/>
      <c r="K318" s="86">
        <f t="shared" si="20"/>
        <v>84000</v>
      </c>
      <c r="L318" s="29">
        <v>17000</v>
      </c>
      <c r="M318" s="29">
        <v>-11561</v>
      </c>
      <c r="N318" s="92">
        <f t="shared" si="21"/>
        <v>89439</v>
      </c>
      <c r="O318" s="91" t="s">
        <v>43</v>
      </c>
      <c r="P318" s="486" t="s">
        <v>3245</v>
      </c>
      <c r="Q318" s="91" t="s">
        <v>176</v>
      </c>
      <c r="R318" s="29"/>
      <c r="S318" s="29"/>
      <c r="T318" s="29"/>
      <c r="U318" s="29"/>
      <c r="V318" s="29"/>
      <c r="W318" s="29"/>
    </row>
    <row r="319" spans="1:23" s="20" customFormat="1" ht="15.6" hidden="1">
      <c r="A319" s="9">
        <v>44277</v>
      </c>
      <c r="B319" s="91" t="s">
        <v>43</v>
      </c>
      <c r="C319" s="91" t="s">
        <v>3243</v>
      </c>
      <c r="D319" s="486" t="s">
        <v>3246</v>
      </c>
      <c r="E319" s="98" t="s">
        <v>3247</v>
      </c>
      <c r="F319" s="98" t="s">
        <v>3248</v>
      </c>
      <c r="G319" s="330">
        <v>1</v>
      </c>
      <c r="H319" s="119">
        <v>120000</v>
      </c>
      <c r="I319" s="23">
        <f t="shared" si="22"/>
        <v>120000</v>
      </c>
      <c r="J319" s="29"/>
      <c r="K319" s="86">
        <f t="shared" si="20"/>
        <v>120000</v>
      </c>
      <c r="L319" s="29"/>
      <c r="M319" s="29"/>
      <c r="N319" s="92">
        <f t="shared" si="21"/>
        <v>120000</v>
      </c>
      <c r="O319" s="91" t="s">
        <v>43</v>
      </c>
      <c r="P319" s="486" t="s">
        <v>3245</v>
      </c>
      <c r="Q319" s="91" t="s">
        <v>176</v>
      </c>
      <c r="R319" s="29"/>
      <c r="S319" s="486"/>
      <c r="T319" s="29"/>
      <c r="U319" s="29"/>
      <c r="V319" s="29"/>
      <c r="W319" s="29"/>
    </row>
    <row r="320" spans="1:23" s="20" customFormat="1" ht="15.6" hidden="1">
      <c r="A320" s="9">
        <v>44277</v>
      </c>
      <c r="B320" s="91" t="s">
        <v>43</v>
      </c>
      <c r="C320" s="91" t="s">
        <v>3243</v>
      </c>
      <c r="D320" s="486" t="s">
        <v>3249</v>
      </c>
      <c r="E320" s="284" t="s">
        <v>1381</v>
      </c>
      <c r="F320" s="284" t="s">
        <v>1382</v>
      </c>
      <c r="G320" s="330">
        <v>1</v>
      </c>
      <c r="H320" s="119">
        <v>63000</v>
      </c>
      <c r="I320" s="23">
        <f t="shared" si="22"/>
        <v>63000</v>
      </c>
      <c r="J320" s="29"/>
      <c r="K320" s="86">
        <f t="shared" si="20"/>
        <v>63000</v>
      </c>
      <c r="L320" s="29"/>
      <c r="M320" s="29"/>
      <c r="N320" s="92">
        <f t="shared" si="21"/>
        <v>63000</v>
      </c>
      <c r="O320" s="91" t="s">
        <v>43</v>
      </c>
      <c r="P320" s="486" t="s">
        <v>3245</v>
      </c>
      <c r="Q320" s="91" t="s">
        <v>176</v>
      </c>
      <c r="R320" s="29"/>
      <c r="S320" s="486"/>
      <c r="T320" s="29"/>
      <c r="U320" s="29"/>
      <c r="V320" s="29"/>
      <c r="W320" s="29"/>
    </row>
    <row r="321" spans="1:24" s="20" customFormat="1" ht="15.6" hidden="1">
      <c r="A321" s="9">
        <v>44277</v>
      </c>
      <c r="B321" s="91" t="s">
        <v>43</v>
      </c>
      <c r="C321" s="91" t="s">
        <v>3250</v>
      </c>
      <c r="D321" s="486" t="s">
        <v>3251</v>
      </c>
      <c r="E321" s="160" t="s">
        <v>2985</v>
      </c>
      <c r="F321" s="161" t="s">
        <v>2986</v>
      </c>
      <c r="G321" s="330">
        <v>1</v>
      </c>
      <c r="H321" s="119">
        <v>157000</v>
      </c>
      <c r="I321" s="23">
        <f t="shared" si="22"/>
        <v>157000</v>
      </c>
      <c r="J321" s="29"/>
      <c r="K321" s="86">
        <f t="shared" si="20"/>
        <v>157000</v>
      </c>
      <c r="L321" s="86">
        <v>11000</v>
      </c>
      <c r="M321" s="29">
        <v>-6798</v>
      </c>
      <c r="N321" s="92">
        <f t="shared" si="21"/>
        <v>161202</v>
      </c>
      <c r="O321" s="91" t="s">
        <v>43</v>
      </c>
      <c r="P321" s="95" t="s">
        <v>3252</v>
      </c>
      <c r="Q321" s="91" t="s">
        <v>54</v>
      </c>
      <c r="R321" s="29"/>
      <c r="S321" s="486" t="s">
        <v>3253</v>
      </c>
      <c r="T321" s="29"/>
      <c r="U321" s="29"/>
      <c r="V321" s="29"/>
      <c r="W321" s="29"/>
    </row>
    <row r="322" spans="1:24" s="20" customFormat="1" ht="15.6" hidden="1">
      <c r="A322" s="9">
        <v>44277</v>
      </c>
      <c r="B322" s="91" t="s">
        <v>43</v>
      </c>
      <c r="C322" s="123" t="s">
        <v>3254</v>
      </c>
      <c r="D322" s="486" t="s">
        <v>3255</v>
      </c>
      <c r="E322" s="160" t="s">
        <v>1302</v>
      </c>
      <c r="F322" s="161" t="s">
        <v>1303</v>
      </c>
      <c r="G322" s="330">
        <v>1</v>
      </c>
      <c r="H322" s="119">
        <v>219500</v>
      </c>
      <c r="I322" s="23">
        <f t="shared" si="22"/>
        <v>219500</v>
      </c>
      <c r="J322" s="29"/>
      <c r="K322" s="86">
        <f t="shared" si="20"/>
        <v>219500</v>
      </c>
      <c r="L322" s="86"/>
      <c r="M322" s="29">
        <v>-9505</v>
      </c>
      <c r="N322" s="92">
        <f t="shared" si="21"/>
        <v>209995</v>
      </c>
      <c r="O322" s="91" t="s">
        <v>43</v>
      </c>
      <c r="P322" s="486" t="s">
        <v>3256</v>
      </c>
      <c r="Q322" s="91" t="s">
        <v>54</v>
      </c>
      <c r="R322" s="29"/>
      <c r="S322" s="486" t="s">
        <v>3257</v>
      </c>
      <c r="T322" s="29"/>
      <c r="U322" s="29"/>
      <c r="V322" s="29"/>
      <c r="W322" s="29"/>
    </row>
    <row r="323" spans="1:24" s="20" customFormat="1" ht="15.6" hidden="1">
      <c r="A323" s="9">
        <v>44277</v>
      </c>
      <c r="B323" s="91" t="s">
        <v>43</v>
      </c>
      <c r="C323" s="123" t="s">
        <v>3258</v>
      </c>
      <c r="D323" s="486" t="s">
        <v>3259</v>
      </c>
      <c r="E323" s="14" t="s">
        <v>579</v>
      </c>
      <c r="F323" s="94" t="s">
        <v>72</v>
      </c>
      <c r="G323" s="330">
        <v>1</v>
      </c>
      <c r="H323" s="119">
        <v>108000</v>
      </c>
      <c r="I323" s="23">
        <f t="shared" si="22"/>
        <v>108000</v>
      </c>
      <c r="J323" s="29"/>
      <c r="K323" s="86">
        <f t="shared" si="20"/>
        <v>108000</v>
      </c>
      <c r="L323" s="86">
        <v>57000</v>
      </c>
      <c r="M323" s="29">
        <v>-4676</v>
      </c>
      <c r="N323" s="92">
        <f t="shared" si="21"/>
        <v>160324</v>
      </c>
      <c r="O323" s="91" t="s">
        <v>43</v>
      </c>
      <c r="P323" s="486" t="s">
        <v>3260</v>
      </c>
      <c r="Q323" s="91" t="s">
        <v>54</v>
      </c>
      <c r="R323" s="29"/>
      <c r="S323" s="486" t="s">
        <v>3261</v>
      </c>
      <c r="T323" s="29"/>
      <c r="U323" s="29"/>
      <c r="V323" s="29"/>
      <c r="W323" s="29"/>
    </row>
    <row r="324" spans="1:24" s="20" customFormat="1" ht="15.6" hidden="1">
      <c r="A324" s="9">
        <v>44277</v>
      </c>
      <c r="B324" s="91" t="s">
        <v>43</v>
      </c>
      <c r="C324" s="123" t="s">
        <v>3262</v>
      </c>
      <c r="D324" s="486" t="s">
        <v>3263</v>
      </c>
      <c r="E324" s="22" t="s">
        <v>3264</v>
      </c>
      <c r="F324" s="94" t="s">
        <v>3265</v>
      </c>
      <c r="G324" s="330">
        <v>1</v>
      </c>
      <c r="H324" s="119">
        <v>95500</v>
      </c>
      <c r="I324" s="23">
        <f t="shared" si="22"/>
        <v>95500</v>
      </c>
      <c r="J324" s="29"/>
      <c r="K324" s="86">
        <f t="shared" si="20"/>
        <v>95500</v>
      </c>
      <c r="L324" s="86">
        <v>16000</v>
      </c>
      <c r="M324" s="29">
        <v>-4136</v>
      </c>
      <c r="N324" s="92">
        <f t="shared" si="21"/>
        <v>107364</v>
      </c>
      <c r="O324" s="91" t="s">
        <v>43</v>
      </c>
      <c r="P324" s="486" t="s">
        <v>3266</v>
      </c>
      <c r="Q324" s="91" t="s">
        <v>54</v>
      </c>
      <c r="R324" s="29"/>
      <c r="S324" s="486" t="s">
        <v>3267</v>
      </c>
      <c r="T324" s="29"/>
      <c r="U324" s="29"/>
      <c r="V324" s="29"/>
      <c r="W324" s="29"/>
    </row>
    <row r="325" spans="1:24" s="20" customFormat="1" ht="15.6" hidden="1">
      <c r="A325" s="9">
        <v>44277</v>
      </c>
      <c r="B325" s="91" t="s">
        <v>206</v>
      </c>
      <c r="C325" s="91" t="s">
        <v>3268</v>
      </c>
      <c r="D325" s="486" t="s">
        <v>3269</v>
      </c>
      <c r="E325" s="160" t="s">
        <v>3270</v>
      </c>
      <c r="F325" s="161" t="s">
        <v>3271</v>
      </c>
      <c r="G325" s="330">
        <v>1</v>
      </c>
      <c r="H325" s="119">
        <v>112500</v>
      </c>
      <c r="I325" s="23">
        <f t="shared" si="22"/>
        <v>112500</v>
      </c>
      <c r="J325" s="29"/>
      <c r="K325" s="86">
        <f t="shared" si="20"/>
        <v>112500</v>
      </c>
      <c r="L325" s="86">
        <v>7500</v>
      </c>
      <c r="M325" s="29"/>
      <c r="N325" s="92">
        <f t="shared" si="21"/>
        <v>120000</v>
      </c>
      <c r="O325" s="91" t="s">
        <v>206</v>
      </c>
      <c r="P325" s="486" t="s">
        <v>3272</v>
      </c>
      <c r="Q325" s="91" t="s">
        <v>28</v>
      </c>
      <c r="R325" s="29"/>
      <c r="S325" s="29"/>
      <c r="T325" s="29"/>
      <c r="U325" s="29"/>
      <c r="V325" s="29"/>
      <c r="W325" s="29"/>
    </row>
    <row r="326" spans="1:24" s="20" customFormat="1" ht="15.6" hidden="1">
      <c r="A326" s="9">
        <v>44277</v>
      </c>
      <c r="B326" s="91" t="s">
        <v>177</v>
      </c>
      <c r="C326" s="91" t="s">
        <v>3273</v>
      </c>
      <c r="D326" s="486" t="s">
        <v>3274</v>
      </c>
      <c r="E326" s="160" t="s">
        <v>1390</v>
      </c>
      <c r="F326" s="161" t="s">
        <v>1391</v>
      </c>
      <c r="G326" s="330">
        <v>1</v>
      </c>
      <c r="H326" s="503">
        <v>59500</v>
      </c>
      <c r="I326" s="23">
        <f t="shared" si="22"/>
        <v>59500</v>
      </c>
      <c r="J326" s="29"/>
      <c r="K326" s="86">
        <f t="shared" si="20"/>
        <v>59500</v>
      </c>
      <c r="L326" s="86">
        <v>9000</v>
      </c>
      <c r="M326" s="29"/>
      <c r="N326" s="92">
        <f t="shared" si="21"/>
        <v>68500</v>
      </c>
      <c r="O326" s="91" t="s">
        <v>177</v>
      </c>
      <c r="P326" s="487">
        <v>561248843727663</v>
      </c>
      <c r="Q326" s="91" t="s">
        <v>54</v>
      </c>
      <c r="R326" s="29"/>
      <c r="S326" s="487"/>
      <c r="T326" s="29"/>
      <c r="U326" s="29"/>
      <c r="V326" s="29"/>
      <c r="W326" s="29"/>
    </row>
    <row r="327" spans="1:24" s="20" customFormat="1" ht="15.6">
      <c r="A327" s="9">
        <v>44277</v>
      </c>
      <c r="B327" s="91" t="s">
        <v>23</v>
      </c>
      <c r="C327" s="123" t="s">
        <v>3275</v>
      </c>
      <c r="D327" s="486" t="s">
        <v>3276</v>
      </c>
      <c r="E327" s="425" t="s">
        <v>3277</v>
      </c>
      <c r="F327" s="425" t="s">
        <v>3278</v>
      </c>
      <c r="G327" s="330">
        <v>1</v>
      </c>
      <c r="H327" s="503">
        <v>95000</v>
      </c>
      <c r="I327" s="23">
        <f t="shared" si="22"/>
        <v>95000</v>
      </c>
      <c r="J327" s="29"/>
      <c r="K327" s="86">
        <f t="shared" si="20"/>
        <v>95000</v>
      </c>
      <c r="L327" s="86">
        <v>40000</v>
      </c>
      <c r="M327" s="29"/>
      <c r="N327" s="92">
        <f t="shared" si="21"/>
        <v>135000</v>
      </c>
      <c r="O327" s="91" t="s">
        <v>23</v>
      </c>
      <c r="P327" s="487"/>
      <c r="Q327" s="91" t="s">
        <v>28</v>
      </c>
      <c r="R327" s="29"/>
      <c r="S327" s="487"/>
      <c r="T327" s="29"/>
      <c r="U327" s="29"/>
      <c r="V327" s="29"/>
      <c r="W327" s="29"/>
    </row>
    <row r="328" spans="1:24" s="20" customFormat="1" ht="15.6">
      <c r="A328" s="9">
        <v>44277</v>
      </c>
      <c r="B328" s="91" t="s">
        <v>23</v>
      </c>
      <c r="C328" s="123" t="s">
        <v>3275</v>
      </c>
      <c r="D328" s="486" t="s">
        <v>3276</v>
      </c>
      <c r="E328" s="218" t="s">
        <v>981</v>
      </c>
      <c r="F328" s="218" t="s">
        <v>3279</v>
      </c>
      <c r="G328" s="330">
        <v>1</v>
      </c>
      <c r="H328" s="503">
        <v>132000</v>
      </c>
      <c r="I328" s="23">
        <f t="shared" si="22"/>
        <v>132000</v>
      </c>
      <c r="J328" s="29"/>
      <c r="K328" s="86">
        <f t="shared" si="20"/>
        <v>132000</v>
      </c>
      <c r="L328" s="86"/>
      <c r="M328" s="29"/>
      <c r="N328" s="92">
        <f t="shared" si="21"/>
        <v>132000</v>
      </c>
      <c r="O328" s="91" t="s">
        <v>23</v>
      </c>
      <c r="P328" s="29"/>
      <c r="Q328" s="91" t="s">
        <v>28</v>
      </c>
      <c r="R328" s="29"/>
      <c r="S328" s="29"/>
      <c r="T328" s="29"/>
      <c r="U328" s="29"/>
      <c r="V328" s="29"/>
      <c r="W328" s="29"/>
    </row>
    <row r="329" spans="1:24" s="20" customFormat="1" ht="15.6">
      <c r="A329" s="9">
        <v>44277</v>
      </c>
      <c r="B329" s="91" t="s">
        <v>23</v>
      </c>
      <c r="C329" s="123" t="s">
        <v>3275</v>
      </c>
      <c r="D329" s="486" t="s">
        <v>3276</v>
      </c>
      <c r="E329" s="218" t="s">
        <v>3280</v>
      </c>
      <c r="F329" s="219" t="s">
        <v>3281</v>
      </c>
      <c r="G329" s="330">
        <v>1</v>
      </c>
      <c r="H329" s="503">
        <v>86500</v>
      </c>
      <c r="I329" s="23">
        <f t="shared" si="22"/>
        <v>86500</v>
      </c>
      <c r="J329" s="29"/>
      <c r="K329" s="86">
        <f t="shared" si="20"/>
        <v>86500</v>
      </c>
      <c r="L329" s="29"/>
      <c r="M329" s="29"/>
      <c r="N329" s="92">
        <f t="shared" si="21"/>
        <v>86500</v>
      </c>
      <c r="O329" s="91" t="s">
        <v>23</v>
      </c>
      <c r="P329" s="486"/>
      <c r="Q329" s="91" t="s">
        <v>28</v>
      </c>
      <c r="R329" s="29"/>
      <c r="S329" s="486"/>
      <c r="T329" s="29"/>
      <c r="U329" s="29"/>
      <c r="V329" s="29"/>
      <c r="W329" s="29"/>
    </row>
    <row r="330" spans="1:24" s="20" customFormat="1" ht="15.6">
      <c r="A330" s="9">
        <v>44277</v>
      </c>
      <c r="B330" s="91" t="s">
        <v>23</v>
      </c>
      <c r="C330" s="123" t="s">
        <v>3275</v>
      </c>
      <c r="D330" s="486" t="s">
        <v>3276</v>
      </c>
      <c r="E330" s="218" t="s">
        <v>3282</v>
      </c>
      <c r="F330" s="219" t="s">
        <v>3283</v>
      </c>
      <c r="G330" s="330">
        <v>1</v>
      </c>
      <c r="H330" s="503">
        <v>166500</v>
      </c>
      <c r="I330" s="23">
        <f t="shared" si="22"/>
        <v>166500</v>
      </c>
      <c r="J330" s="29"/>
      <c r="K330" s="86">
        <f t="shared" si="20"/>
        <v>166500</v>
      </c>
      <c r="L330" s="29"/>
      <c r="M330" s="29"/>
      <c r="N330" s="92">
        <f t="shared" si="21"/>
        <v>166500</v>
      </c>
      <c r="O330" s="91" t="s">
        <v>23</v>
      </c>
      <c r="P330" s="29"/>
      <c r="Q330" s="91" t="s">
        <v>28</v>
      </c>
      <c r="R330" s="29"/>
      <c r="S330" s="29"/>
      <c r="T330" s="29"/>
      <c r="U330" s="29"/>
      <c r="V330" s="29"/>
      <c r="W330" s="29"/>
    </row>
    <row r="331" spans="1:24" s="20" customFormat="1" ht="15.6" hidden="1">
      <c r="A331" s="9">
        <v>44277</v>
      </c>
      <c r="B331" s="91" t="s">
        <v>313</v>
      </c>
      <c r="C331" s="123" t="s">
        <v>3284</v>
      </c>
      <c r="D331" s="486" t="s">
        <v>3285</v>
      </c>
      <c r="E331" s="81" t="s">
        <v>2580</v>
      </c>
      <c r="F331" s="81" t="s">
        <v>2581</v>
      </c>
      <c r="G331" s="330">
        <v>2</v>
      </c>
      <c r="H331" s="503">
        <v>83000</v>
      </c>
      <c r="I331" s="23">
        <f t="shared" si="22"/>
        <v>166000</v>
      </c>
      <c r="J331" s="29"/>
      <c r="K331" s="86">
        <f t="shared" si="20"/>
        <v>166000</v>
      </c>
      <c r="L331" s="29">
        <v>41060</v>
      </c>
      <c r="M331" s="29"/>
      <c r="N331" s="92">
        <f t="shared" si="21"/>
        <v>207060</v>
      </c>
      <c r="O331" s="91" t="s">
        <v>313</v>
      </c>
      <c r="P331" s="29"/>
      <c r="Q331" s="91" t="s">
        <v>40</v>
      </c>
      <c r="R331" s="29"/>
      <c r="S331" s="29"/>
      <c r="T331" s="29"/>
      <c r="U331" s="29"/>
      <c r="V331" s="29"/>
      <c r="W331" s="29"/>
    </row>
    <row r="332" spans="1:24" s="20" customFormat="1" ht="15.6" hidden="1">
      <c r="A332" s="9">
        <v>44277</v>
      </c>
      <c r="B332" s="91" t="s">
        <v>313</v>
      </c>
      <c r="C332" s="123" t="s">
        <v>3284</v>
      </c>
      <c r="D332" s="486" t="s">
        <v>3286</v>
      </c>
      <c r="E332" s="81" t="s">
        <v>3287</v>
      </c>
      <c r="F332" s="81" t="s">
        <v>3288</v>
      </c>
      <c r="G332" s="330">
        <v>2</v>
      </c>
      <c r="H332" s="503">
        <v>89000</v>
      </c>
      <c r="I332" s="23">
        <f t="shared" si="22"/>
        <v>178000</v>
      </c>
      <c r="J332" s="29"/>
      <c r="K332" s="86">
        <f t="shared" si="20"/>
        <v>178000</v>
      </c>
      <c r="L332" s="29"/>
      <c r="M332" s="29"/>
      <c r="N332" s="92">
        <f t="shared" si="21"/>
        <v>178000</v>
      </c>
      <c r="O332" s="91" t="s">
        <v>313</v>
      </c>
      <c r="P332" s="29"/>
      <c r="Q332" s="91" t="s">
        <v>40</v>
      </c>
      <c r="R332" s="29"/>
      <c r="S332" s="29"/>
      <c r="T332" s="29"/>
      <c r="U332" s="29"/>
      <c r="V332" s="29"/>
      <c r="W332" s="29"/>
    </row>
    <row r="333" spans="1:24" s="20" customFormat="1" ht="15.6">
      <c r="A333" s="9">
        <v>44277</v>
      </c>
      <c r="B333" s="91" t="s">
        <v>23</v>
      </c>
      <c r="C333" s="123" t="s">
        <v>3289</v>
      </c>
      <c r="D333" s="486" t="s">
        <v>3290</v>
      </c>
      <c r="E333" s="14" t="s">
        <v>3291</v>
      </c>
      <c r="F333" s="14" t="s">
        <v>3292</v>
      </c>
      <c r="G333" s="56">
        <v>1</v>
      </c>
      <c r="H333" s="503">
        <v>126000</v>
      </c>
      <c r="I333" s="23">
        <v>126500</v>
      </c>
      <c r="J333" s="29">
        <f>I333*20%</f>
        <v>25300</v>
      </c>
      <c r="K333" s="86">
        <f t="shared" si="20"/>
        <v>101200</v>
      </c>
      <c r="L333" s="29">
        <v>51000</v>
      </c>
      <c r="M333" s="29"/>
      <c r="N333" s="92">
        <f t="shared" si="21"/>
        <v>152200</v>
      </c>
      <c r="O333" s="91" t="s">
        <v>23</v>
      </c>
      <c r="P333" s="29"/>
      <c r="Q333" s="91" t="s">
        <v>40</v>
      </c>
      <c r="R333" s="29"/>
      <c r="S333" s="29"/>
      <c r="T333" s="29"/>
      <c r="U333" s="29"/>
      <c r="V333" s="29"/>
      <c r="W333" s="29"/>
    </row>
    <row r="334" spans="1:24" s="20" customFormat="1" ht="15.6" hidden="1">
      <c r="A334" s="9">
        <v>44277</v>
      </c>
      <c r="B334" s="91" t="s">
        <v>313</v>
      </c>
      <c r="C334" s="123" t="s">
        <v>3293</v>
      </c>
      <c r="D334" s="486" t="s">
        <v>3294</v>
      </c>
      <c r="E334" s="14" t="s">
        <v>3295</v>
      </c>
      <c r="F334" s="339" t="s">
        <v>3296</v>
      </c>
      <c r="G334" s="56">
        <v>1</v>
      </c>
      <c r="H334" s="503">
        <v>95000</v>
      </c>
      <c r="I334" s="23">
        <f t="shared" si="22"/>
        <v>95000</v>
      </c>
      <c r="J334" s="29"/>
      <c r="K334" s="86">
        <f t="shared" si="20"/>
        <v>95000</v>
      </c>
      <c r="L334" s="29">
        <v>24084</v>
      </c>
      <c r="M334" s="29"/>
      <c r="N334" s="92">
        <f t="shared" si="21"/>
        <v>119084</v>
      </c>
      <c r="O334" s="91" t="s">
        <v>313</v>
      </c>
      <c r="P334" s="29"/>
      <c r="Q334" s="91" t="s">
        <v>40</v>
      </c>
      <c r="R334" s="29"/>
      <c r="S334" s="29"/>
      <c r="T334" s="29"/>
      <c r="U334" s="29"/>
      <c r="V334" s="29"/>
      <c r="W334" s="29"/>
    </row>
    <row r="335" spans="1:24" s="364" customFormat="1" ht="15.6" hidden="1">
      <c r="A335" s="9">
        <v>44278</v>
      </c>
      <c r="B335" s="91" t="s">
        <v>43</v>
      </c>
      <c r="C335" s="123" t="s">
        <v>3297</v>
      </c>
      <c r="D335" s="488" t="s">
        <v>3298</v>
      </c>
      <c r="E335" s="160" t="s">
        <v>949</v>
      </c>
      <c r="F335" s="161" t="s">
        <v>950</v>
      </c>
      <c r="G335" s="330">
        <v>1</v>
      </c>
      <c r="H335" s="503">
        <v>70000</v>
      </c>
      <c r="I335" s="336">
        <f>G335*H335</f>
        <v>70000</v>
      </c>
      <c r="J335" s="76"/>
      <c r="K335" s="489">
        <f>I335-J335</f>
        <v>70000</v>
      </c>
      <c r="L335" s="72"/>
      <c r="M335" s="490">
        <v>-3031</v>
      </c>
      <c r="N335" s="92">
        <f t="shared" ref="N335:N342" si="23">K335+L335+M335</f>
        <v>66969</v>
      </c>
      <c r="O335" s="91" t="s">
        <v>43</v>
      </c>
      <c r="P335" s="282" t="s">
        <v>3299</v>
      </c>
      <c r="Q335" s="91" t="s">
        <v>54</v>
      </c>
      <c r="R335" s="56"/>
      <c r="S335" s="504" t="s">
        <v>3300</v>
      </c>
      <c r="T335" s="336"/>
      <c r="U335" s="29"/>
      <c r="V335" s="119"/>
      <c r="W335" s="29"/>
      <c r="X335" s="20"/>
    </row>
    <row r="336" spans="1:24" s="364" customFormat="1" ht="15.6" hidden="1">
      <c r="A336" s="9">
        <v>44278</v>
      </c>
      <c r="B336" s="91" t="s">
        <v>206</v>
      </c>
      <c r="C336" s="123" t="s">
        <v>3301</v>
      </c>
      <c r="D336" s="488" t="s">
        <v>3302</v>
      </c>
      <c r="E336" s="14" t="s">
        <v>3303</v>
      </c>
      <c r="F336" s="14" t="s">
        <v>3304</v>
      </c>
      <c r="G336" s="330">
        <v>1</v>
      </c>
      <c r="H336" s="503">
        <v>75500</v>
      </c>
      <c r="I336" s="336">
        <f>G336*H336</f>
        <v>75500</v>
      </c>
      <c r="J336" s="76"/>
      <c r="K336" s="489">
        <f>I336-J336</f>
        <v>75500</v>
      </c>
      <c r="L336" s="72">
        <v>14400</v>
      </c>
      <c r="M336" s="490"/>
      <c r="N336" s="92">
        <f t="shared" si="23"/>
        <v>89900</v>
      </c>
      <c r="O336" s="91" t="s">
        <v>206</v>
      </c>
      <c r="P336" s="281" t="s">
        <v>3305</v>
      </c>
      <c r="Q336" s="91" t="s">
        <v>176</v>
      </c>
      <c r="R336" s="56"/>
      <c r="S336" s="503"/>
      <c r="T336" s="336"/>
      <c r="U336" s="29"/>
      <c r="V336" s="119"/>
      <c r="W336" s="29"/>
      <c r="X336" s="20"/>
    </row>
    <row r="337" spans="1:24" s="364" customFormat="1" ht="15.6" hidden="1">
      <c r="A337" s="9">
        <v>44278</v>
      </c>
      <c r="B337" s="91" t="s">
        <v>206</v>
      </c>
      <c r="C337" s="123" t="s">
        <v>3306</v>
      </c>
      <c r="D337" s="488" t="s">
        <v>3307</v>
      </c>
      <c r="E337" s="98" t="s">
        <v>213</v>
      </c>
      <c r="F337" s="98" t="s">
        <v>191</v>
      </c>
      <c r="G337" s="330">
        <v>1</v>
      </c>
      <c r="H337" s="503">
        <v>92500</v>
      </c>
      <c r="I337" s="336">
        <f t="shared" ref="I337:I345" si="24">G337*H337</f>
        <v>92500</v>
      </c>
      <c r="J337" s="76"/>
      <c r="K337" s="489">
        <f t="shared" ref="K337:K345" si="25">I337-J337</f>
        <v>92500</v>
      </c>
      <c r="L337" s="72">
        <v>54000</v>
      </c>
      <c r="M337" s="490"/>
      <c r="N337" s="92">
        <f t="shared" si="23"/>
        <v>146500</v>
      </c>
      <c r="O337" s="91" t="s">
        <v>206</v>
      </c>
      <c r="P337" s="281"/>
      <c r="Q337" s="91" t="s">
        <v>176</v>
      </c>
      <c r="R337" s="56"/>
      <c r="S337" s="503"/>
      <c r="T337" s="336"/>
      <c r="U337" s="29"/>
      <c r="V337" s="119"/>
      <c r="W337" s="29"/>
      <c r="X337" s="20"/>
    </row>
    <row r="338" spans="1:24" s="364" customFormat="1" ht="15.6" hidden="1">
      <c r="A338" s="9">
        <v>44278</v>
      </c>
      <c r="B338" s="91" t="s">
        <v>206</v>
      </c>
      <c r="C338" s="123" t="s">
        <v>3306</v>
      </c>
      <c r="D338" s="488" t="s">
        <v>3307</v>
      </c>
      <c r="E338" s="98" t="s">
        <v>190</v>
      </c>
      <c r="F338" s="98" t="s">
        <v>191</v>
      </c>
      <c r="G338" s="330">
        <v>1</v>
      </c>
      <c r="H338" s="503">
        <v>92000</v>
      </c>
      <c r="I338" s="336">
        <f t="shared" si="24"/>
        <v>92000</v>
      </c>
      <c r="J338" s="76"/>
      <c r="K338" s="489">
        <f t="shared" si="25"/>
        <v>92000</v>
      </c>
      <c r="L338" s="72"/>
      <c r="M338" s="490"/>
      <c r="N338" s="92">
        <f t="shared" si="23"/>
        <v>92000</v>
      </c>
      <c r="O338" s="91" t="s">
        <v>206</v>
      </c>
      <c r="P338" s="276"/>
      <c r="Q338" s="91" t="s">
        <v>176</v>
      </c>
      <c r="R338" s="56"/>
      <c r="S338" s="503"/>
      <c r="T338" s="336"/>
      <c r="U338" s="29"/>
      <c r="V338" s="119"/>
      <c r="W338" s="29"/>
      <c r="X338" s="20"/>
    </row>
    <row r="339" spans="1:24" s="364" customFormat="1" ht="15.6" hidden="1">
      <c r="A339" s="9">
        <v>44278</v>
      </c>
      <c r="B339" s="91" t="s">
        <v>177</v>
      </c>
      <c r="C339" s="91" t="s">
        <v>3308</v>
      </c>
      <c r="D339" s="488" t="s">
        <v>3309</v>
      </c>
      <c r="E339" s="91" t="s">
        <v>221</v>
      </c>
      <c r="F339" s="91" t="s">
        <v>222</v>
      </c>
      <c r="G339" s="330">
        <v>1</v>
      </c>
      <c r="H339" s="503">
        <v>44000</v>
      </c>
      <c r="I339" s="336">
        <f t="shared" si="24"/>
        <v>44000</v>
      </c>
      <c r="J339" s="76"/>
      <c r="K339" s="489">
        <f t="shared" si="25"/>
        <v>44000</v>
      </c>
      <c r="L339" s="72">
        <v>9000</v>
      </c>
      <c r="M339" s="490"/>
      <c r="N339" s="92">
        <f t="shared" si="23"/>
        <v>53000</v>
      </c>
      <c r="O339" s="91" t="s">
        <v>177</v>
      </c>
      <c r="P339" s="281">
        <v>566615511300991</v>
      </c>
      <c r="Q339" s="91" t="s">
        <v>54</v>
      </c>
      <c r="R339" s="56"/>
      <c r="S339" s="503"/>
      <c r="T339" s="336"/>
      <c r="U339" s="29"/>
      <c r="V339" s="119"/>
      <c r="W339" s="29"/>
      <c r="X339" s="20"/>
    </row>
    <row r="340" spans="1:24" s="364" customFormat="1" ht="15.6" hidden="1">
      <c r="A340" s="9">
        <v>44278</v>
      </c>
      <c r="B340" s="91" t="s">
        <v>177</v>
      </c>
      <c r="C340" s="123" t="s">
        <v>3310</v>
      </c>
      <c r="D340" s="488" t="s">
        <v>3311</v>
      </c>
      <c r="E340" s="91" t="s">
        <v>471</v>
      </c>
      <c r="F340" s="91" t="s">
        <v>472</v>
      </c>
      <c r="G340" s="330">
        <v>1</v>
      </c>
      <c r="H340" s="503">
        <v>111000</v>
      </c>
      <c r="I340" s="336">
        <f t="shared" si="24"/>
        <v>111000</v>
      </c>
      <c r="J340" s="76"/>
      <c r="K340" s="489">
        <f t="shared" si="25"/>
        <v>111000</v>
      </c>
      <c r="L340" s="72">
        <v>9000</v>
      </c>
      <c r="M340" s="486"/>
      <c r="N340" s="92">
        <f t="shared" si="23"/>
        <v>120000</v>
      </c>
      <c r="O340" s="91" t="s">
        <v>177</v>
      </c>
      <c r="P340" s="29">
        <v>562713297540705</v>
      </c>
      <c r="Q340" s="91" t="s">
        <v>54</v>
      </c>
      <c r="R340" s="29"/>
      <c r="S340" s="29"/>
      <c r="T340" s="29"/>
      <c r="U340" s="29"/>
      <c r="V340" s="29"/>
      <c r="W340" s="29"/>
      <c r="X340" s="20"/>
    </row>
    <row r="341" spans="1:24" s="364" customFormat="1" ht="15.6">
      <c r="A341" s="9">
        <v>44278</v>
      </c>
      <c r="B341" s="91" t="s">
        <v>23</v>
      </c>
      <c r="C341" s="91" t="s">
        <v>3312</v>
      </c>
      <c r="D341" s="488" t="s">
        <v>3313</v>
      </c>
      <c r="E341" s="91" t="s">
        <v>3314</v>
      </c>
      <c r="F341" s="94" t="s">
        <v>3315</v>
      </c>
      <c r="G341" s="330">
        <v>1</v>
      </c>
      <c r="H341" s="503">
        <v>121000</v>
      </c>
      <c r="I341" s="336">
        <f t="shared" si="24"/>
        <v>121000</v>
      </c>
      <c r="J341" s="76"/>
      <c r="K341" s="489">
        <f t="shared" si="25"/>
        <v>121000</v>
      </c>
      <c r="L341" s="72">
        <v>17000</v>
      </c>
      <c r="M341" s="486"/>
      <c r="N341" s="92">
        <f t="shared" si="23"/>
        <v>138000</v>
      </c>
      <c r="O341" s="91" t="s">
        <v>23</v>
      </c>
      <c r="P341" s="29"/>
      <c r="Q341" s="91" t="s">
        <v>40</v>
      </c>
      <c r="R341" s="29"/>
      <c r="S341" s="29"/>
      <c r="T341" s="29"/>
      <c r="U341" s="29"/>
      <c r="V341" s="29"/>
      <c r="W341" s="29"/>
      <c r="X341" s="20"/>
    </row>
    <row r="342" spans="1:24" s="364" customFormat="1" ht="15.6">
      <c r="A342" s="9">
        <v>44278</v>
      </c>
      <c r="B342" s="91" t="s">
        <v>23</v>
      </c>
      <c r="C342" s="123" t="s">
        <v>3316</v>
      </c>
      <c r="D342" s="488" t="s">
        <v>3317</v>
      </c>
      <c r="E342" s="14" t="s">
        <v>201</v>
      </c>
      <c r="F342" s="14" t="s">
        <v>202</v>
      </c>
      <c r="G342" s="330">
        <v>1</v>
      </c>
      <c r="H342" s="503">
        <v>131000</v>
      </c>
      <c r="I342" s="336">
        <f t="shared" si="24"/>
        <v>131000</v>
      </c>
      <c r="J342" s="76">
        <f>I342*35%</f>
        <v>45850</v>
      </c>
      <c r="K342" s="489">
        <f t="shared" si="25"/>
        <v>85150</v>
      </c>
      <c r="L342" s="72">
        <v>23000</v>
      </c>
      <c r="M342" s="486"/>
      <c r="N342" s="92">
        <f t="shared" si="23"/>
        <v>108150</v>
      </c>
      <c r="O342" s="91" t="s">
        <v>23</v>
      </c>
      <c r="P342" s="29"/>
      <c r="Q342" s="91" t="s">
        <v>54</v>
      </c>
      <c r="R342" s="29"/>
      <c r="S342" s="29"/>
      <c r="T342" s="29"/>
      <c r="U342" s="29"/>
      <c r="V342" s="29"/>
      <c r="W342" s="29"/>
      <c r="X342" s="20"/>
    </row>
    <row r="343" spans="1:24" s="20" customFormat="1" ht="15.6" hidden="1">
      <c r="A343" s="9">
        <v>44278</v>
      </c>
      <c r="B343" s="486" t="s">
        <v>43</v>
      </c>
      <c r="C343" s="123" t="s">
        <v>3318</v>
      </c>
      <c r="D343" s="486" t="s">
        <v>3319</v>
      </c>
      <c r="E343" s="130" t="s">
        <v>3320</v>
      </c>
      <c r="F343" s="491" t="s">
        <v>3321</v>
      </c>
      <c r="G343" s="56">
        <v>1</v>
      </c>
      <c r="H343" s="503">
        <v>93000</v>
      </c>
      <c r="I343" s="336">
        <f t="shared" si="24"/>
        <v>93000</v>
      </c>
      <c r="J343" s="29"/>
      <c r="K343" s="489">
        <f t="shared" si="25"/>
        <v>93000</v>
      </c>
      <c r="L343" s="86"/>
      <c r="M343" s="29">
        <v>-12470</v>
      </c>
      <c r="N343" s="92">
        <f t="shared" ref="N343:N345" si="26">K343+L343+M343</f>
        <v>80530</v>
      </c>
      <c r="O343" s="91" t="s">
        <v>43</v>
      </c>
      <c r="P343" s="29"/>
      <c r="Q343" s="91" t="s">
        <v>54</v>
      </c>
      <c r="R343" s="29"/>
      <c r="S343" s="29"/>
      <c r="T343" s="29"/>
      <c r="U343" s="29"/>
      <c r="V343" s="29"/>
      <c r="W343" s="29"/>
    </row>
    <row r="344" spans="1:24" s="20" customFormat="1" ht="15.6" hidden="1">
      <c r="A344" s="9">
        <v>44278</v>
      </c>
      <c r="B344" s="486" t="s">
        <v>43</v>
      </c>
      <c r="C344" s="123" t="s">
        <v>3318</v>
      </c>
      <c r="D344" s="486" t="s">
        <v>3319</v>
      </c>
      <c r="E344" s="130" t="s">
        <v>3322</v>
      </c>
      <c r="F344" s="491" t="s">
        <v>3323</v>
      </c>
      <c r="G344" s="56">
        <v>1</v>
      </c>
      <c r="H344" s="503">
        <v>195000</v>
      </c>
      <c r="I344" s="336">
        <f t="shared" si="24"/>
        <v>195000</v>
      </c>
      <c r="J344" s="29"/>
      <c r="K344" s="489">
        <f t="shared" si="25"/>
        <v>195000</v>
      </c>
      <c r="L344" s="86"/>
      <c r="M344" s="29"/>
      <c r="N344" s="92">
        <f t="shared" si="26"/>
        <v>195000</v>
      </c>
      <c r="O344" s="91" t="s">
        <v>43</v>
      </c>
      <c r="P344" s="95"/>
      <c r="Q344" s="91" t="s">
        <v>54</v>
      </c>
      <c r="R344" s="29"/>
      <c r="S344" s="12"/>
      <c r="T344" s="29"/>
      <c r="U344" s="29"/>
      <c r="V344" s="29"/>
      <c r="W344" s="29"/>
    </row>
    <row r="345" spans="1:24" s="20" customFormat="1" ht="15.6">
      <c r="A345" s="9">
        <v>44278</v>
      </c>
      <c r="B345" s="486" t="s">
        <v>23</v>
      </c>
      <c r="C345" s="123" t="s">
        <v>3324</v>
      </c>
      <c r="D345" s="492" t="s">
        <v>3325</v>
      </c>
      <c r="E345" s="14" t="s">
        <v>1906</v>
      </c>
      <c r="F345" s="94" t="s">
        <v>1907</v>
      </c>
      <c r="G345" s="56">
        <v>1</v>
      </c>
      <c r="H345" s="503">
        <v>126500</v>
      </c>
      <c r="I345" s="336">
        <f t="shared" si="24"/>
        <v>126500</v>
      </c>
      <c r="J345" s="29"/>
      <c r="K345" s="489">
        <f t="shared" si="25"/>
        <v>126500</v>
      </c>
      <c r="L345" s="493">
        <v>5000</v>
      </c>
      <c r="M345" s="29"/>
      <c r="N345" s="92">
        <f t="shared" si="26"/>
        <v>131500</v>
      </c>
      <c r="O345" s="91" t="s">
        <v>23</v>
      </c>
      <c r="P345" s="95"/>
      <c r="Q345" s="91" t="s">
        <v>28</v>
      </c>
      <c r="R345" s="29"/>
      <c r="S345" s="12"/>
      <c r="T345" s="29"/>
      <c r="U345" s="29"/>
      <c r="V345" s="29"/>
      <c r="W345" s="29"/>
    </row>
    <row r="346" spans="1:24" hidden="1">
      <c r="A346" s="376"/>
      <c r="B346" s="376"/>
      <c r="C346" s="376"/>
      <c r="D346" s="376"/>
      <c r="E346" s="376"/>
      <c r="F346" s="376"/>
      <c r="G346" s="376">
        <f>SUM(G2:G345)</f>
        <v>476</v>
      </c>
      <c r="H346" s="376"/>
      <c r="I346" s="376"/>
      <c r="J346" s="376"/>
      <c r="K346" s="489">
        <f>SUM(K2:K345)</f>
        <v>41394720</v>
      </c>
      <c r="L346" s="376"/>
      <c r="M346" s="376"/>
      <c r="N346" s="376"/>
      <c r="O346" s="376"/>
      <c r="P346" s="376"/>
      <c r="Q346" s="376"/>
      <c r="R346" s="376"/>
      <c r="S346" s="376"/>
      <c r="T346" s="376"/>
      <c r="U346" s="376"/>
      <c r="V346" s="376"/>
      <c r="W346" s="376"/>
    </row>
  </sheetData>
  <autoFilter ref="A1:W346" xr:uid="{00000000-0009-0000-0000-000002000000}">
    <filterColumn colId="1">
      <filters>
        <filter val="wa"/>
      </filters>
    </filterColumn>
  </autoFilter>
  <hyperlinks>
    <hyperlink ref="E161" r:id="rId1" display="http://admin-dop:1097/itemprop?id=936"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X259"/>
  <sheetViews>
    <sheetView topLeftCell="A151" zoomScale="102" zoomScaleNormal="102" workbookViewId="0">
      <selection activeCell="D158" sqref="D158"/>
    </sheetView>
  </sheetViews>
  <sheetFormatPr defaultColWidth="9.109375" defaultRowHeight="14.4"/>
  <cols>
    <col min="1" max="1" width="13.21875" style="520" bestFit="1" customWidth="1"/>
    <col min="2" max="2" width="9.109375" style="520"/>
    <col min="3" max="3" width="31.33203125" style="520" customWidth="1"/>
    <col min="4" max="10" width="9.109375" style="520"/>
    <col min="11" max="11" width="14" style="520" bestFit="1" customWidth="1"/>
    <col min="12" max="16384" width="9.109375" style="520"/>
  </cols>
  <sheetData>
    <row r="1" spans="1:24" s="522" customFormat="1">
      <c r="A1" s="411" t="s">
        <v>0</v>
      </c>
      <c r="B1" s="412" t="s">
        <v>1</v>
      </c>
      <c r="C1" s="412" t="s">
        <v>2</v>
      </c>
      <c r="D1" s="413" t="s">
        <v>3</v>
      </c>
      <c r="E1" s="412" t="s">
        <v>4</v>
      </c>
      <c r="F1" s="412" t="s">
        <v>5</v>
      </c>
      <c r="G1" s="414" t="s">
        <v>4668</v>
      </c>
      <c r="H1" s="412" t="s">
        <v>7</v>
      </c>
      <c r="I1" s="415" t="s">
        <v>8</v>
      </c>
      <c r="J1" s="416" t="s">
        <v>9</v>
      </c>
      <c r="K1" s="417" t="s">
        <v>10</v>
      </c>
      <c r="L1" s="416" t="s">
        <v>11</v>
      </c>
      <c r="M1" s="416" t="s">
        <v>12</v>
      </c>
      <c r="N1" s="416" t="s">
        <v>13</v>
      </c>
      <c r="O1" s="418" t="s">
        <v>14</v>
      </c>
      <c r="P1" s="419" t="s">
        <v>15</v>
      </c>
      <c r="Q1" s="412" t="s">
        <v>16</v>
      </c>
      <c r="R1" s="412" t="s">
        <v>17</v>
      </c>
      <c r="S1" s="414" t="s">
        <v>18</v>
      </c>
      <c r="T1" s="416" t="s">
        <v>19</v>
      </c>
      <c r="U1" s="416" t="s">
        <v>20</v>
      </c>
      <c r="V1" s="416" t="s">
        <v>21</v>
      </c>
      <c r="W1" s="418" t="s">
        <v>22</v>
      </c>
    </row>
    <row r="2" spans="1:24" s="29" customFormat="1" ht="15.6">
      <c r="A2" s="530">
        <v>44279</v>
      </c>
      <c r="B2" s="533" t="s">
        <v>43</v>
      </c>
      <c r="C2" s="533" t="s">
        <v>3326</v>
      </c>
      <c r="D2" s="534" t="s">
        <v>3327</v>
      </c>
      <c r="E2" s="536" t="s">
        <v>3328</v>
      </c>
      <c r="F2" s="537" t="s">
        <v>3329</v>
      </c>
      <c r="G2" s="531">
        <v>1</v>
      </c>
      <c r="H2" s="524">
        <v>68500</v>
      </c>
      <c r="I2" s="524">
        <v>68500</v>
      </c>
      <c r="J2" s="524"/>
      <c r="K2" s="524">
        <v>68500</v>
      </c>
      <c r="L2" s="524"/>
      <c r="M2" s="524">
        <v>-2967</v>
      </c>
      <c r="N2" s="524">
        <v>65533</v>
      </c>
      <c r="O2" s="533" t="s">
        <v>43</v>
      </c>
      <c r="P2" s="548"/>
      <c r="Q2" s="533" t="s">
        <v>54</v>
      </c>
      <c r="R2" s="523"/>
      <c r="S2" s="534"/>
      <c r="T2" s="523"/>
      <c r="U2" s="524"/>
      <c r="V2" s="524"/>
      <c r="W2" s="524"/>
      <c r="X2" s="524"/>
    </row>
    <row r="3" spans="1:24" s="29" customFormat="1" ht="15.6">
      <c r="A3" s="530">
        <v>44279</v>
      </c>
      <c r="B3" s="533" t="s">
        <v>43</v>
      </c>
      <c r="C3" s="538" t="s">
        <v>3330</v>
      </c>
      <c r="D3" s="534" t="s">
        <v>3331</v>
      </c>
      <c r="E3" s="539" t="s">
        <v>830</v>
      </c>
      <c r="F3" s="540" t="s">
        <v>831</v>
      </c>
      <c r="G3" s="531">
        <v>1</v>
      </c>
      <c r="H3" s="524">
        <v>89000</v>
      </c>
      <c r="I3" s="524">
        <v>89000</v>
      </c>
      <c r="J3" s="524"/>
      <c r="K3" s="524">
        <v>89000</v>
      </c>
      <c r="L3" s="524"/>
      <c r="M3" s="524">
        <v>-3854</v>
      </c>
      <c r="N3" s="524">
        <v>85146</v>
      </c>
      <c r="O3" s="533" t="s">
        <v>43</v>
      </c>
      <c r="P3" s="512"/>
      <c r="Q3" s="533" t="s">
        <v>54</v>
      </c>
      <c r="R3" s="523"/>
      <c r="S3" s="534"/>
      <c r="T3" s="523"/>
      <c r="U3" s="524"/>
      <c r="V3" s="524"/>
      <c r="W3" s="524"/>
      <c r="X3" s="524"/>
    </row>
    <row r="4" spans="1:24" s="29" customFormat="1" ht="15.6">
      <c r="A4" s="530">
        <v>44279</v>
      </c>
      <c r="B4" s="533" t="s">
        <v>313</v>
      </c>
      <c r="C4" s="538" t="s">
        <v>3332</v>
      </c>
      <c r="D4" s="534" t="s">
        <v>3333</v>
      </c>
      <c r="E4" s="541" t="s">
        <v>3334</v>
      </c>
      <c r="F4" s="542" t="s">
        <v>3335</v>
      </c>
      <c r="G4" s="531">
        <v>2</v>
      </c>
      <c r="H4" s="523">
        <v>73000</v>
      </c>
      <c r="I4" s="524">
        <v>146000</v>
      </c>
      <c r="J4" s="524">
        <v>29200</v>
      </c>
      <c r="K4" s="524">
        <v>116800</v>
      </c>
      <c r="L4" s="524">
        <v>14040</v>
      </c>
      <c r="M4" s="524"/>
      <c r="N4" s="524">
        <v>130840</v>
      </c>
      <c r="O4" s="533" t="s">
        <v>313</v>
      </c>
      <c r="P4" s="543"/>
      <c r="Q4" s="533" t="s">
        <v>40</v>
      </c>
      <c r="R4" s="523"/>
      <c r="S4" s="543"/>
      <c r="T4" s="523"/>
      <c r="U4" s="524"/>
      <c r="V4" s="524"/>
      <c r="W4" s="524"/>
      <c r="X4" s="524"/>
    </row>
    <row r="5" spans="1:24" s="29" customFormat="1" ht="15.6">
      <c r="A5" s="530">
        <v>44279</v>
      </c>
      <c r="B5" s="533" t="s">
        <v>313</v>
      </c>
      <c r="C5" s="538" t="s">
        <v>3332</v>
      </c>
      <c r="D5" s="534" t="s">
        <v>3333</v>
      </c>
      <c r="E5" s="544" t="s">
        <v>3336</v>
      </c>
      <c r="F5" s="544" t="s">
        <v>3337</v>
      </c>
      <c r="G5" s="531">
        <v>1</v>
      </c>
      <c r="H5" s="524">
        <v>10500</v>
      </c>
      <c r="I5" s="524">
        <v>105000</v>
      </c>
      <c r="J5" s="524">
        <v>21000</v>
      </c>
      <c r="K5" s="524">
        <v>84000</v>
      </c>
      <c r="L5" s="524"/>
      <c r="M5" s="524"/>
      <c r="N5" s="524">
        <v>84000</v>
      </c>
      <c r="O5" s="533" t="s">
        <v>313</v>
      </c>
      <c r="P5" s="545"/>
      <c r="Q5" s="533" t="s">
        <v>40</v>
      </c>
      <c r="R5" s="523"/>
      <c r="S5" s="546"/>
      <c r="T5" s="523"/>
      <c r="U5" s="524"/>
      <c r="V5" s="524"/>
      <c r="W5" s="524"/>
      <c r="X5" s="524"/>
    </row>
    <row r="6" spans="1:24" s="29" customFormat="1" ht="16.8">
      <c r="A6" s="530">
        <v>44279</v>
      </c>
      <c r="B6" s="533" t="s">
        <v>313</v>
      </c>
      <c r="C6" s="538" t="s">
        <v>2745</v>
      </c>
      <c r="D6" s="547" t="s">
        <v>3338</v>
      </c>
      <c r="E6" s="539" t="s">
        <v>3339</v>
      </c>
      <c r="F6" s="539" t="s">
        <v>3340</v>
      </c>
      <c r="G6" s="531">
        <v>1</v>
      </c>
      <c r="H6" s="524">
        <v>136000</v>
      </c>
      <c r="I6" s="524">
        <v>136000</v>
      </c>
      <c r="J6" s="524"/>
      <c r="K6" s="524">
        <v>136000</v>
      </c>
      <c r="L6" s="524">
        <v>35076</v>
      </c>
      <c r="M6" s="524"/>
      <c r="N6" s="524">
        <v>171076</v>
      </c>
      <c r="O6" s="533" t="s">
        <v>313</v>
      </c>
      <c r="P6" s="611"/>
      <c r="Q6" s="533" t="s">
        <v>54</v>
      </c>
      <c r="R6" s="523"/>
      <c r="S6" s="534"/>
      <c r="T6" s="523"/>
      <c r="U6" s="524"/>
      <c r="V6" s="524"/>
      <c r="W6" s="524"/>
      <c r="X6" s="524"/>
    </row>
    <row r="7" spans="1:24" s="29" customFormat="1" ht="15.6">
      <c r="A7" s="530">
        <v>44279</v>
      </c>
      <c r="B7" s="533" t="s">
        <v>313</v>
      </c>
      <c r="C7" s="538" t="s">
        <v>3341</v>
      </c>
      <c r="D7" s="547" t="s">
        <v>3342</v>
      </c>
      <c r="E7" s="539" t="s">
        <v>306</v>
      </c>
      <c r="F7" s="539" t="s">
        <v>307</v>
      </c>
      <c r="G7" s="531">
        <v>1</v>
      </c>
      <c r="H7" s="524">
        <v>90500</v>
      </c>
      <c r="I7" s="524">
        <v>90500</v>
      </c>
      <c r="J7" s="524"/>
      <c r="K7" s="524">
        <v>90500</v>
      </c>
      <c r="L7" s="524">
        <v>16000</v>
      </c>
      <c r="M7" s="524"/>
      <c r="N7" s="524">
        <v>106500</v>
      </c>
      <c r="O7" s="533" t="s">
        <v>313</v>
      </c>
      <c r="P7" s="548"/>
      <c r="Q7" s="533" t="s">
        <v>40</v>
      </c>
      <c r="R7" s="523"/>
      <c r="S7" s="534"/>
      <c r="T7" s="523"/>
      <c r="U7" s="524"/>
      <c r="V7" s="524"/>
      <c r="W7" s="524"/>
      <c r="X7" s="524"/>
    </row>
    <row r="8" spans="1:24" s="29" customFormat="1" ht="15.6">
      <c r="A8" s="530">
        <v>44279</v>
      </c>
      <c r="B8" s="533" t="s">
        <v>43</v>
      </c>
      <c r="C8" s="533" t="s">
        <v>3343</v>
      </c>
      <c r="D8" s="547" t="s">
        <v>3344</v>
      </c>
      <c r="E8" s="539" t="s">
        <v>247</v>
      </c>
      <c r="F8" s="539" t="s">
        <v>248</v>
      </c>
      <c r="G8" s="552">
        <v>1</v>
      </c>
      <c r="H8" s="524">
        <v>68000</v>
      </c>
      <c r="I8" s="524">
        <v>68000</v>
      </c>
      <c r="J8" s="524"/>
      <c r="K8" s="524">
        <v>68000</v>
      </c>
      <c r="L8" s="524"/>
      <c r="M8" s="524">
        <v>-2944</v>
      </c>
      <c r="N8" s="524">
        <v>65056</v>
      </c>
      <c r="O8" s="533" t="s">
        <v>43</v>
      </c>
      <c r="P8" s="548"/>
      <c r="Q8" s="533" t="s">
        <v>176</v>
      </c>
      <c r="R8" s="523"/>
      <c r="S8" s="534"/>
      <c r="T8" s="523"/>
      <c r="U8" s="524"/>
      <c r="V8" s="524"/>
      <c r="W8" s="524"/>
      <c r="X8" s="524"/>
    </row>
    <row r="9" spans="1:24" s="29" customFormat="1" ht="15.6">
      <c r="A9" s="530">
        <v>44279</v>
      </c>
      <c r="B9" s="533" t="s">
        <v>313</v>
      </c>
      <c r="C9" s="538" t="s">
        <v>3345</v>
      </c>
      <c r="D9" s="547" t="s">
        <v>3346</v>
      </c>
      <c r="E9" s="539" t="s">
        <v>2345</v>
      </c>
      <c r="F9" s="539" t="s">
        <v>2346</v>
      </c>
      <c r="G9" s="552">
        <v>1</v>
      </c>
      <c r="H9" s="524">
        <v>65000</v>
      </c>
      <c r="I9" s="524">
        <v>65000</v>
      </c>
      <c r="J9" s="524"/>
      <c r="K9" s="524">
        <v>65000</v>
      </c>
      <c r="L9" s="524">
        <v>8092</v>
      </c>
      <c r="M9" s="524"/>
      <c r="N9" s="524">
        <v>73092</v>
      </c>
      <c r="O9" s="533" t="s">
        <v>313</v>
      </c>
      <c r="P9" s="548"/>
      <c r="Q9" s="533" t="s">
        <v>28</v>
      </c>
      <c r="R9" s="523"/>
      <c r="S9" s="534"/>
      <c r="T9" s="523"/>
      <c r="U9" s="524"/>
      <c r="V9" s="524"/>
      <c r="W9" s="524"/>
      <c r="X9" s="524"/>
    </row>
    <row r="10" spans="1:24" s="29" customFormat="1" ht="15.6">
      <c r="A10" s="530">
        <v>44280</v>
      </c>
      <c r="B10" s="549" t="s">
        <v>23</v>
      </c>
      <c r="C10" s="549" t="s">
        <v>3347</v>
      </c>
      <c r="D10" s="547" t="s">
        <v>31</v>
      </c>
      <c r="E10" s="550" t="s">
        <v>3348</v>
      </c>
      <c r="F10" s="550" t="s">
        <v>3349</v>
      </c>
      <c r="G10" s="531">
        <v>3</v>
      </c>
      <c r="H10" s="524">
        <v>88000</v>
      </c>
      <c r="I10" s="524">
        <f>H10*G10</f>
        <v>264000</v>
      </c>
      <c r="J10" s="524">
        <f>I10*25%+40000</f>
        <v>106000</v>
      </c>
      <c r="K10" s="524">
        <f>I10-J10</f>
        <v>158000</v>
      </c>
      <c r="L10" s="524"/>
      <c r="M10" s="524"/>
      <c r="N10" s="524">
        <v>158000</v>
      </c>
      <c r="O10" s="549" t="s">
        <v>23</v>
      </c>
      <c r="P10" s="524"/>
      <c r="Q10" s="549" t="s">
        <v>434</v>
      </c>
      <c r="R10" s="523"/>
      <c r="S10" s="524"/>
      <c r="T10" s="523"/>
      <c r="U10" s="524"/>
      <c r="V10" s="524"/>
      <c r="W10" s="524"/>
      <c r="X10" s="524"/>
    </row>
    <row r="11" spans="1:24" s="29" customFormat="1" ht="15.6">
      <c r="A11" s="530">
        <v>44280</v>
      </c>
      <c r="B11" s="549" t="s">
        <v>23</v>
      </c>
      <c r="C11" s="549" t="s">
        <v>3347</v>
      </c>
      <c r="D11" s="547" t="s">
        <v>31</v>
      </c>
      <c r="E11" s="550" t="s">
        <v>1224</v>
      </c>
      <c r="F11" s="550" t="s">
        <v>1225</v>
      </c>
      <c r="G11" s="531">
        <v>1</v>
      </c>
      <c r="H11" s="524">
        <v>100000</v>
      </c>
      <c r="I11" s="524">
        <v>100000</v>
      </c>
      <c r="J11" s="524">
        <v>25000</v>
      </c>
      <c r="K11" s="524">
        <v>75000</v>
      </c>
      <c r="L11" s="524"/>
      <c r="M11" s="524"/>
      <c r="N11" s="524">
        <v>75000</v>
      </c>
      <c r="O11" s="549" t="s">
        <v>23</v>
      </c>
      <c r="P11" s="551"/>
      <c r="Q11" s="549" t="s">
        <v>434</v>
      </c>
      <c r="R11" s="523"/>
      <c r="S11" s="534"/>
      <c r="T11" s="523"/>
      <c r="U11" s="524"/>
      <c r="V11" s="524"/>
      <c r="W11" s="524"/>
      <c r="X11" s="524"/>
    </row>
    <row r="12" spans="1:24" s="29" customFormat="1" ht="16.8">
      <c r="A12" s="530">
        <v>44280</v>
      </c>
      <c r="B12" s="549" t="s">
        <v>23</v>
      </c>
      <c r="C12" s="549" t="s">
        <v>3347</v>
      </c>
      <c r="D12" s="547" t="s">
        <v>31</v>
      </c>
      <c r="E12" s="550" t="s">
        <v>735</v>
      </c>
      <c r="F12" s="550" t="s">
        <v>2302</v>
      </c>
      <c r="G12" s="531">
        <v>1</v>
      </c>
      <c r="H12" s="524">
        <v>150000</v>
      </c>
      <c r="I12" s="524">
        <v>150000</v>
      </c>
      <c r="J12" s="524">
        <v>37500</v>
      </c>
      <c r="K12" s="524">
        <v>112500</v>
      </c>
      <c r="L12" s="524"/>
      <c r="M12" s="524"/>
      <c r="N12" s="524">
        <v>112500</v>
      </c>
      <c r="O12" s="549" t="s">
        <v>23</v>
      </c>
      <c r="P12" s="611"/>
      <c r="Q12" s="549" t="s">
        <v>434</v>
      </c>
      <c r="R12" s="523"/>
      <c r="S12" s="534"/>
      <c r="T12" s="523"/>
      <c r="U12" s="524"/>
      <c r="V12" s="524"/>
      <c r="W12" s="524"/>
      <c r="X12" s="524"/>
    </row>
    <row r="13" spans="1:24" s="20" customFormat="1">
      <c r="A13" s="530">
        <v>44280</v>
      </c>
      <c r="B13" s="549" t="s">
        <v>23</v>
      </c>
      <c r="C13" s="549" t="s">
        <v>3350</v>
      </c>
      <c r="D13" s="534" t="s">
        <v>31</v>
      </c>
      <c r="E13" s="533" t="s">
        <v>201</v>
      </c>
      <c r="F13" s="533" t="s">
        <v>202</v>
      </c>
      <c r="G13" s="552">
        <v>1</v>
      </c>
      <c r="H13" s="524">
        <v>131000</v>
      </c>
      <c r="I13" s="524">
        <v>131000</v>
      </c>
      <c r="J13" s="524">
        <v>46500</v>
      </c>
      <c r="K13" s="524">
        <v>84500</v>
      </c>
      <c r="L13" s="524"/>
      <c r="M13" s="524"/>
      <c r="N13" s="524">
        <v>84500</v>
      </c>
      <c r="O13" s="549" t="s">
        <v>23</v>
      </c>
      <c r="P13" s="628"/>
      <c r="Q13" s="549" t="s">
        <v>29</v>
      </c>
      <c r="R13" s="523"/>
      <c r="S13" s="553"/>
      <c r="T13" s="523"/>
      <c r="U13" s="524"/>
      <c r="V13" s="524"/>
      <c r="W13" s="524"/>
      <c r="X13" s="524"/>
    </row>
    <row r="14" spans="1:24" s="20" customFormat="1" ht="15.6">
      <c r="A14" s="530">
        <v>44280</v>
      </c>
      <c r="B14" s="554" t="s">
        <v>23</v>
      </c>
      <c r="C14" s="555" t="s">
        <v>3351</v>
      </c>
      <c r="D14" s="547" t="s">
        <v>2950</v>
      </c>
      <c r="E14" s="556" t="s">
        <v>3352</v>
      </c>
      <c r="F14" s="556" t="s">
        <v>3353</v>
      </c>
      <c r="G14" s="528">
        <v>1</v>
      </c>
      <c r="H14" s="505">
        <v>82000</v>
      </c>
      <c r="I14" s="524">
        <v>82000</v>
      </c>
      <c r="J14" s="524">
        <v>20500</v>
      </c>
      <c r="K14" s="524">
        <v>61500</v>
      </c>
      <c r="L14" s="524"/>
      <c r="M14" s="524"/>
      <c r="N14" s="524">
        <v>61500</v>
      </c>
      <c r="O14" s="554" t="s">
        <v>23</v>
      </c>
      <c r="P14" s="629"/>
      <c r="Q14" s="549" t="s">
        <v>3354</v>
      </c>
      <c r="R14" s="523"/>
      <c r="S14" s="629"/>
      <c r="T14" s="523"/>
      <c r="U14" s="524"/>
      <c r="V14" s="524"/>
      <c r="W14" s="524"/>
      <c r="X14" s="524"/>
    </row>
    <row r="15" spans="1:24" s="20" customFormat="1" ht="15.6">
      <c r="A15" s="530">
        <v>44280</v>
      </c>
      <c r="B15" s="554" t="s">
        <v>23</v>
      </c>
      <c r="C15" s="555" t="s">
        <v>3351</v>
      </c>
      <c r="D15" s="547" t="s">
        <v>2951</v>
      </c>
      <c r="E15" s="557" t="s">
        <v>3355</v>
      </c>
      <c r="F15" s="557" t="s">
        <v>3356</v>
      </c>
      <c r="G15" s="528">
        <v>2</v>
      </c>
      <c r="H15" s="505">
        <v>162000</v>
      </c>
      <c r="I15" s="524">
        <v>324000</v>
      </c>
      <c r="J15" s="524">
        <v>81000</v>
      </c>
      <c r="K15" s="524">
        <v>243000</v>
      </c>
      <c r="L15" s="524"/>
      <c r="M15" s="524"/>
      <c r="N15" s="524">
        <v>243000</v>
      </c>
      <c r="O15" s="554" t="s">
        <v>23</v>
      </c>
      <c r="P15" s="629"/>
      <c r="Q15" s="549" t="s">
        <v>3354</v>
      </c>
      <c r="R15" s="523"/>
      <c r="S15" s="629"/>
      <c r="T15" s="523"/>
      <c r="U15" s="524"/>
      <c r="V15" s="524"/>
      <c r="W15" s="524"/>
      <c r="X15" s="524"/>
    </row>
    <row r="16" spans="1:24" s="20" customFormat="1" ht="15.6">
      <c r="A16" s="530">
        <v>44280</v>
      </c>
      <c r="B16" s="554" t="s">
        <v>23</v>
      </c>
      <c r="C16" s="555" t="s">
        <v>3351</v>
      </c>
      <c r="D16" s="547" t="s">
        <v>2954</v>
      </c>
      <c r="E16" s="557" t="s">
        <v>3357</v>
      </c>
      <c r="F16" s="557" t="s">
        <v>3358</v>
      </c>
      <c r="G16" s="528">
        <v>1</v>
      </c>
      <c r="H16" s="505">
        <v>68000</v>
      </c>
      <c r="I16" s="524">
        <v>68000</v>
      </c>
      <c r="J16" s="524">
        <v>17000</v>
      </c>
      <c r="K16" s="524">
        <v>51000</v>
      </c>
      <c r="L16" s="524"/>
      <c r="M16" s="524"/>
      <c r="N16" s="524">
        <v>51000</v>
      </c>
      <c r="O16" s="554" t="s">
        <v>23</v>
      </c>
      <c r="P16" s="629"/>
      <c r="Q16" s="549" t="s">
        <v>3354</v>
      </c>
      <c r="R16" s="523"/>
      <c r="S16" s="629"/>
      <c r="T16" s="523"/>
      <c r="U16" s="524"/>
      <c r="V16" s="524"/>
      <c r="W16" s="524"/>
      <c r="X16" s="524"/>
    </row>
    <row r="17" spans="1:24" s="20" customFormat="1" ht="15.6">
      <c r="A17" s="530">
        <v>44280</v>
      </c>
      <c r="B17" s="554" t="s">
        <v>23</v>
      </c>
      <c r="C17" s="555" t="s">
        <v>3351</v>
      </c>
      <c r="D17" s="547" t="s">
        <v>2957</v>
      </c>
      <c r="E17" s="558" t="s">
        <v>3359</v>
      </c>
      <c r="F17" s="558" t="s">
        <v>3360</v>
      </c>
      <c r="G17" s="528">
        <v>1</v>
      </c>
      <c r="H17" s="505">
        <v>61000</v>
      </c>
      <c r="I17" s="524">
        <v>61000</v>
      </c>
      <c r="J17" s="524">
        <v>15250</v>
      </c>
      <c r="K17" s="524">
        <v>45750</v>
      </c>
      <c r="L17" s="524"/>
      <c r="M17" s="524"/>
      <c r="N17" s="524">
        <v>45750</v>
      </c>
      <c r="O17" s="554" t="s">
        <v>23</v>
      </c>
      <c r="P17" s="548"/>
      <c r="Q17" s="549" t="s">
        <v>3354</v>
      </c>
      <c r="R17" s="523"/>
      <c r="S17" s="534"/>
      <c r="T17" s="523"/>
      <c r="U17" s="524"/>
      <c r="V17" s="524"/>
      <c r="W17" s="524"/>
      <c r="X17" s="524"/>
    </row>
    <row r="18" spans="1:24" s="20" customFormat="1" ht="15.6">
      <c r="A18" s="530">
        <v>44280</v>
      </c>
      <c r="B18" s="554" t="s">
        <v>23</v>
      </c>
      <c r="C18" s="555" t="s">
        <v>3351</v>
      </c>
      <c r="D18" s="547" t="s">
        <v>2960</v>
      </c>
      <c r="E18" s="557" t="s">
        <v>3361</v>
      </c>
      <c r="F18" s="557" t="s">
        <v>3362</v>
      </c>
      <c r="G18" s="528">
        <v>1</v>
      </c>
      <c r="H18" s="505">
        <v>88000</v>
      </c>
      <c r="I18" s="524">
        <v>88000</v>
      </c>
      <c r="J18" s="524">
        <v>22000</v>
      </c>
      <c r="K18" s="524">
        <v>66000</v>
      </c>
      <c r="L18" s="524"/>
      <c r="M18" s="524"/>
      <c r="N18" s="524">
        <v>66000</v>
      </c>
      <c r="O18" s="554" t="s">
        <v>23</v>
      </c>
      <c r="P18" s="545"/>
      <c r="Q18" s="549" t="s">
        <v>3354</v>
      </c>
      <c r="R18" s="523"/>
      <c r="S18" s="553"/>
      <c r="T18" s="523"/>
      <c r="U18" s="524"/>
      <c r="V18" s="524"/>
      <c r="W18" s="524"/>
      <c r="X18" s="524"/>
    </row>
    <row r="19" spans="1:24" s="20" customFormat="1" ht="16.8">
      <c r="A19" s="530">
        <v>44280</v>
      </c>
      <c r="B19" s="554" t="s">
        <v>23</v>
      </c>
      <c r="C19" s="555" t="s">
        <v>3351</v>
      </c>
      <c r="D19" s="547" t="s">
        <v>2963</v>
      </c>
      <c r="E19" s="557" t="s">
        <v>3363</v>
      </c>
      <c r="F19" s="557" t="s">
        <v>3364</v>
      </c>
      <c r="G19" s="528">
        <v>1</v>
      </c>
      <c r="H19" s="505">
        <v>81000</v>
      </c>
      <c r="I19" s="524">
        <v>81000</v>
      </c>
      <c r="J19" s="524">
        <v>20250</v>
      </c>
      <c r="K19" s="524">
        <v>60750</v>
      </c>
      <c r="L19" s="524"/>
      <c r="M19" s="524"/>
      <c r="N19" s="524">
        <v>60750</v>
      </c>
      <c r="O19" s="554" t="s">
        <v>23</v>
      </c>
      <c r="P19" s="611"/>
      <c r="Q19" s="549" t="s">
        <v>3354</v>
      </c>
      <c r="R19" s="523"/>
      <c r="S19" s="559"/>
      <c r="T19" s="523"/>
      <c r="U19" s="524"/>
      <c r="V19" s="524"/>
      <c r="W19" s="524"/>
      <c r="X19" s="524"/>
    </row>
    <row r="20" spans="1:24" s="20" customFormat="1" ht="15.6">
      <c r="A20" s="530">
        <v>44280</v>
      </c>
      <c r="B20" s="554" t="s">
        <v>23</v>
      </c>
      <c r="C20" s="555" t="s">
        <v>3351</v>
      </c>
      <c r="D20" s="547" t="s">
        <v>2966</v>
      </c>
      <c r="E20" s="560" t="s">
        <v>3365</v>
      </c>
      <c r="F20" s="560" t="s">
        <v>3366</v>
      </c>
      <c r="G20" s="528">
        <v>2</v>
      </c>
      <c r="H20" s="505">
        <v>112000</v>
      </c>
      <c r="I20" s="524">
        <v>224000</v>
      </c>
      <c r="J20" s="524">
        <v>56000</v>
      </c>
      <c r="K20" s="524">
        <v>168000</v>
      </c>
      <c r="L20" s="524"/>
      <c r="M20" s="524"/>
      <c r="N20" s="524">
        <v>168000</v>
      </c>
      <c r="O20" s="554" t="s">
        <v>23</v>
      </c>
      <c r="P20" s="548"/>
      <c r="Q20" s="549" t="s">
        <v>3354</v>
      </c>
      <c r="R20" s="523"/>
      <c r="S20" s="534"/>
      <c r="T20" s="523"/>
      <c r="U20" s="524"/>
      <c r="V20" s="524"/>
      <c r="W20" s="524"/>
      <c r="X20" s="524"/>
    </row>
    <row r="21" spans="1:24" s="20" customFormat="1" ht="15.6">
      <c r="A21" s="530">
        <v>44280</v>
      </c>
      <c r="B21" s="554" t="s">
        <v>23</v>
      </c>
      <c r="C21" s="555" t="s">
        <v>3351</v>
      </c>
      <c r="D21" s="547" t="s">
        <v>2969</v>
      </c>
      <c r="E21" s="561" t="s">
        <v>3367</v>
      </c>
      <c r="F21" s="561" t="s">
        <v>3368</v>
      </c>
      <c r="G21" s="528">
        <v>2</v>
      </c>
      <c r="H21" s="505">
        <v>96000</v>
      </c>
      <c r="I21" s="524">
        <v>192000</v>
      </c>
      <c r="J21" s="524">
        <v>48000</v>
      </c>
      <c r="K21" s="524">
        <v>144000</v>
      </c>
      <c r="L21" s="524"/>
      <c r="M21" s="524"/>
      <c r="N21" s="524">
        <v>144000</v>
      </c>
      <c r="O21" s="554" t="s">
        <v>23</v>
      </c>
      <c r="P21" s="597"/>
      <c r="Q21" s="549" t="s">
        <v>3354</v>
      </c>
      <c r="R21" s="523"/>
      <c r="S21" s="543"/>
      <c r="T21" s="523"/>
      <c r="U21" s="524"/>
      <c r="V21" s="524"/>
      <c r="W21" s="524"/>
      <c r="X21" s="524"/>
    </row>
    <row r="22" spans="1:24" s="20" customFormat="1" ht="15.6">
      <c r="A22" s="530">
        <v>44280</v>
      </c>
      <c r="B22" s="554" t="s">
        <v>23</v>
      </c>
      <c r="C22" s="555" t="s">
        <v>3351</v>
      </c>
      <c r="D22" s="547" t="s">
        <v>2999</v>
      </c>
      <c r="E22" s="557" t="s">
        <v>3369</v>
      </c>
      <c r="F22" s="557" t="s">
        <v>3370</v>
      </c>
      <c r="G22" s="528">
        <v>2</v>
      </c>
      <c r="H22" s="505">
        <v>133000</v>
      </c>
      <c r="I22" s="524">
        <v>266000</v>
      </c>
      <c r="J22" s="524">
        <v>66500</v>
      </c>
      <c r="K22" s="524">
        <v>199500</v>
      </c>
      <c r="L22" s="524"/>
      <c r="M22" s="524"/>
      <c r="N22" s="524">
        <v>199500</v>
      </c>
      <c r="O22" s="554" t="s">
        <v>23</v>
      </c>
      <c r="P22" s="548"/>
      <c r="Q22" s="549" t="s">
        <v>3354</v>
      </c>
      <c r="R22" s="523"/>
      <c r="S22" s="534"/>
      <c r="T22" s="523"/>
      <c r="U22" s="524"/>
      <c r="V22" s="524"/>
      <c r="W22" s="524"/>
      <c r="X22" s="524"/>
    </row>
    <row r="23" spans="1:24" s="20" customFormat="1" ht="15.6">
      <c r="A23" s="530">
        <v>44280</v>
      </c>
      <c r="B23" s="554" t="s">
        <v>23</v>
      </c>
      <c r="C23" s="555" t="s">
        <v>3351</v>
      </c>
      <c r="D23" s="547" t="s">
        <v>3001</v>
      </c>
      <c r="E23" s="557" t="s">
        <v>3371</v>
      </c>
      <c r="F23" s="557" t="s">
        <v>3372</v>
      </c>
      <c r="G23" s="528">
        <v>1</v>
      </c>
      <c r="H23" s="505">
        <v>53000</v>
      </c>
      <c r="I23" s="524">
        <v>53000</v>
      </c>
      <c r="J23" s="524">
        <v>13250</v>
      </c>
      <c r="K23" s="524">
        <v>39750</v>
      </c>
      <c r="L23" s="524"/>
      <c r="M23" s="524"/>
      <c r="N23" s="524">
        <v>39750</v>
      </c>
      <c r="O23" s="554" t="s">
        <v>23</v>
      </c>
      <c r="P23" s="597"/>
      <c r="Q23" s="549" t="s">
        <v>3354</v>
      </c>
      <c r="R23" s="523"/>
      <c r="S23" s="543"/>
      <c r="T23" s="523"/>
      <c r="U23" s="524"/>
      <c r="V23" s="524"/>
      <c r="W23" s="524"/>
      <c r="X23" s="524"/>
    </row>
    <row r="24" spans="1:24" s="20" customFormat="1" ht="15.6">
      <c r="A24" s="530">
        <v>44280</v>
      </c>
      <c r="B24" s="554" t="s">
        <v>23</v>
      </c>
      <c r="C24" s="555" t="s">
        <v>3351</v>
      </c>
      <c r="D24" s="547" t="s">
        <v>3002</v>
      </c>
      <c r="E24" s="557" t="s">
        <v>3373</v>
      </c>
      <c r="F24" s="557" t="s">
        <v>3374</v>
      </c>
      <c r="G24" s="528">
        <v>2</v>
      </c>
      <c r="H24" s="505">
        <v>105000</v>
      </c>
      <c r="I24" s="524">
        <v>210000</v>
      </c>
      <c r="J24" s="524">
        <v>52500</v>
      </c>
      <c r="K24" s="524">
        <v>157500</v>
      </c>
      <c r="L24" s="524"/>
      <c r="M24" s="524"/>
      <c r="N24" s="524">
        <v>157500</v>
      </c>
      <c r="O24" s="554" t="s">
        <v>23</v>
      </c>
      <c r="P24" s="548"/>
      <c r="Q24" s="549" t="s">
        <v>3354</v>
      </c>
      <c r="R24" s="523"/>
      <c r="S24" s="534"/>
      <c r="T24" s="523"/>
      <c r="U24" s="524"/>
      <c r="V24" s="524"/>
      <c r="W24" s="524"/>
      <c r="X24" s="524"/>
    </row>
    <row r="25" spans="1:24" s="20" customFormat="1" ht="15.6">
      <c r="A25" s="530">
        <v>44280</v>
      </c>
      <c r="B25" s="554" t="s">
        <v>23</v>
      </c>
      <c r="C25" s="555" t="s">
        <v>3351</v>
      </c>
      <c r="D25" s="547" t="s">
        <v>3005</v>
      </c>
      <c r="E25" s="557" t="s">
        <v>3375</v>
      </c>
      <c r="F25" s="557" t="s">
        <v>3376</v>
      </c>
      <c r="G25" s="528">
        <v>1</v>
      </c>
      <c r="H25" s="505">
        <v>102000</v>
      </c>
      <c r="I25" s="524">
        <v>102000</v>
      </c>
      <c r="J25" s="524">
        <v>25500</v>
      </c>
      <c r="K25" s="524">
        <v>76500</v>
      </c>
      <c r="L25" s="524"/>
      <c r="M25" s="524"/>
      <c r="N25" s="524">
        <v>76500</v>
      </c>
      <c r="O25" s="554" t="s">
        <v>23</v>
      </c>
      <c r="P25" s="562"/>
      <c r="Q25" s="549" t="s">
        <v>3354</v>
      </c>
      <c r="R25" s="523"/>
      <c r="S25" s="510"/>
      <c r="T25" s="523"/>
      <c r="U25" s="524"/>
      <c r="V25" s="524"/>
      <c r="W25" s="524"/>
      <c r="X25" s="524"/>
    </row>
    <row r="26" spans="1:24" s="20" customFormat="1" ht="15.6">
      <c r="A26" s="530">
        <v>44280</v>
      </c>
      <c r="B26" s="554" t="s">
        <v>23</v>
      </c>
      <c r="C26" s="555" t="s">
        <v>3351</v>
      </c>
      <c r="D26" s="547" t="s">
        <v>3006</v>
      </c>
      <c r="E26" s="557" t="s">
        <v>3377</v>
      </c>
      <c r="F26" s="557" t="s">
        <v>34</v>
      </c>
      <c r="G26" s="528">
        <v>1</v>
      </c>
      <c r="H26" s="505">
        <v>60000</v>
      </c>
      <c r="I26" s="524">
        <v>60000</v>
      </c>
      <c r="J26" s="524">
        <v>15000</v>
      </c>
      <c r="K26" s="524">
        <v>45000</v>
      </c>
      <c r="L26" s="524"/>
      <c r="M26" s="524"/>
      <c r="N26" s="524">
        <v>45000</v>
      </c>
      <c r="O26" s="554" t="s">
        <v>23</v>
      </c>
      <c r="P26" s="562"/>
      <c r="Q26" s="549" t="s">
        <v>3354</v>
      </c>
      <c r="R26" s="523"/>
      <c r="S26" s="510"/>
      <c r="T26" s="523"/>
      <c r="U26" s="524"/>
      <c r="V26" s="524"/>
      <c r="W26" s="524"/>
      <c r="X26" s="524"/>
    </row>
    <row r="27" spans="1:24" s="20" customFormat="1" ht="16.8">
      <c r="A27" s="530">
        <v>44280</v>
      </c>
      <c r="B27" s="554" t="s">
        <v>23</v>
      </c>
      <c r="C27" s="555" t="s">
        <v>3351</v>
      </c>
      <c r="D27" s="547" t="s">
        <v>3007</v>
      </c>
      <c r="E27" s="561" t="s">
        <v>3378</v>
      </c>
      <c r="F27" s="561" t="s">
        <v>3379</v>
      </c>
      <c r="G27" s="528">
        <v>1</v>
      </c>
      <c r="H27" s="505">
        <v>68000</v>
      </c>
      <c r="I27" s="524">
        <v>68000</v>
      </c>
      <c r="J27" s="524">
        <v>17000</v>
      </c>
      <c r="K27" s="524">
        <v>51000</v>
      </c>
      <c r="L27" s="524"/>
      <c r="M27" s="524"/>
      <c r="N27" s="524">
        <v>51000</v>
      </c>
      <c r="O27" s="554" t="s">
        <v>23</v>
      </c>
      <c r="P27" s="611"/>
      <c r="Q27" s="549" t="s">
        <v>3354</v>
      </c>
      <c r="R27" s="523"/>
      <c r="S27" s="630"/>
      <c r="T27" s="523"/>
      <c r="U27" s="524"/>
      <c r="V27" s="524"/>
      <c r="W27" s="524"/>
      <c r="X27" s="524"/>
    </row>
    <row r="28" spans="1:24" s="20" customFormat="1" ht="15.6">
      <c r="A28" s="530">
        <v>44280</v>
      </c>
      <c r="B28" s="554" t="s">
        <v>23</v>
      </c>
      <c r="C28" s="555" t="s">
        <v>3351</v>
      </c>
      <c r="D28" s="547" t="s">
        <v>3380</v>
      </c>
      <c r="E28" s="557" t="s">
        <v>3381</v>
      </c>
      <c r="F28" s="557" t="s">
        <v>3382</v>
      </c>
      <c r="G28" s="528">
        <v>2</v>
      </c>
      <c r="H28" s="505">
        <v>72000</v>
      </c>
      <c r="I28" s="524">
        <v>144000</v>
      </c>
      <c r="J28" s="524">
        <v>36000</v>
      </c>
      <c r="K28" s="524">
        <v>108000</v>
      </c>
      <c r="L28" s="524"/>
      <c r="M28" s="524"/>
      <c r="N28" s="524">
        <v>108000</v>
      </c>
      <c r="O28" s="554" t="s">
        <v>23</v>
      </c>
      <c r="P28" s="548"/>
      <c r="Q28" s="549" t="s">
        <v>3354</v>
      </c>
      <c r="R28" s="523"/>
      <c r="S28" s="534"/>
      <c r="T28" s="523"/>
      <c r="U28" s="524"/>
      <c r="V28" s="524"/>
      <c r="W28" s="524"/>
      <c r="X28" s="524"/>
    </row>
    <row r="29" spans="1:24" s="20" customFormat="1" ht="15.6">
      <c r="A29" s="530">
        <v>44280</v>
      </c>
      <c r="B29" s="554" t="s">
        <v>23</v>
      </c>
      <c r="C29" s="555" t="s">
        <v>3351</v>
      </c>
      <c r="D29" s="547" t="s">
        <v>3383</v>
      </c>
      <c r="E29" s="557" t="s">
        <v>1224</v>
      </c>
      <c r="F29" s="557" t="s">
        <v>1225</v>
      </c>
      <c r="G29" s="528">
        <v>1</v>
      </c>
      <c r="H29" s="505">
        <v>100000</v>
      </c>
      <c r="I29" s="524">
        <v>100000</v>
      </c>
      <c r="J29" s="524">
        <v>25000</v>
      </c>
      <c r="K29" s="524">
        <v>75000</v>
      </c>
      <c r="L29" s="524"/>
      <c r="M29" s="524"/>
      <c r="N29" s="524">
        <v>75000</v>
      </c>
      <c r="O29" s="554" t="s">
        <v>23</v>
      </c>
      <c r="P29" s="548"/>
      <c r="Q29" s="549" t="s">
        <v>3354</v>
      </c>
      <c r="R29" s="523"/>
      <c r="S29" s="534"/>
      <c r="T29" s="523"/>
      <c r="U29" s="524"/>
      <c r="V29" s="524"/>
      <c r="W29" s="524"/>
      <c r="X29" s="524"/>
    </row>
    <row r="30" spans="1:24" s="20" customFormat="1" ht="15.6">
      <c r="A30" s="530">
        <v>44280</v>
      </c>
      <c r="B30" s="549" t="s">
        <v>43</v>
      </c>
      <c r="C30" s="555" t="s">
        <v>3384</v>
      </c>
      <c r="D30" s="547" t="s">
        <v>3385</v>
      </c>
      <c r="E30" s="563" t="s">
        <v>3386</v>
      </c>
      <c r="F30" s="563" t="s">
        <v>3387</v>
      </c>
      <c r="G30" s="552">
        <v>1</v>
      </c>
      <c r="H30" s="523">
        <v>57500</v>
      </c>
      <c r="I30" s="524">
        <v>57500</v>
      </c>
      <c r="J30" s="523"/>
      <c r="K30" s="524">
        <v>57500</v>
      </c>
      <c r="L30" s="523"/>
      <c r="M30" s="524">
        <v>-2490</v>
      </c>
      <c r="N30" s="524">
        <v>55010</v>
      </c>
      <c r="O30" s="549" t="s">
        <v>43</v>
      </c>
      <c r="P30" s="524"/>
      <c r="Q30" s="549" t="s">
        <v>54</v>
      </c>
      <c r="R30" s="523"/>
      <c r="S30" s="524"/>
      <c r="T30" s="523"/>
      <c r="U30" s="524"/>
      <c r="V30" s="524"/>
      <c r="W30" s="524"/>
      <c r="X30" s="524"/>
    </row>
    <row r="31" spans="1:24" s="20" customFormat="1" ht="15.6">
      <c r="A31" s="530">
        <v>44280</v>
      </c>
      <c r="B31" s="549" t="s">
        <v>43</v>
      </c>
      <c r="C31" s="549" t="s">
        <v>3388</v>
      </c>
      <c r="D31" s="547" t="s">
        <v>3389</v>
      </c>
      <c r="E31" s="563" t="s">
        <v>1578</v>
      </c>
      <c r="F31" s="563" t="s">
        <v>1579</v>
      </c>
      <c r="G31" s="552">
        <v>1</v>
      </c>
      <c r="H31" s="523">
        <v>106000</v>
      </c>
      <c r="I31" s="524">
        <v>106000</v>
      </c>
      <c r="J31" s="523"/>
      <c r="K31" s="524">
        <v>106000</v>
      </c>
      <c r="L31" s="523"/>
      <c r="M31" s="524">
        <v>-4590</v>
      </c>
      <c r="N31" s="524">
        <v>101410</v>
      </c>
      <c r="O31" s="549" t="s">
        <v>43</v>
      </c>
      <c r="P31" s="548"/>
      <c r="Q31" s="549" t="s">
        <v>54</v>
      </c>
      <c r="R31" s="523"/>
      <c r="S31" s="534"/>
      <c r="T31" s="523"/>
      <c r="U31" s="524"/>
      <c r="V31" s="524"/>
      <c r="W31" s="524"/>
      <c r="X31" s="524"/>
    </row>
    <row r="32" spans="1:24" s="20" customFormat="1" ht="15.6">
      <c r="A32" s="530">
        <v>44280</v>
      </c>
      <c r="B32" s="549" t="s">
        <v>43</v>
      </c>
      <c r="C32" s="555" t="s">
        <v>3390</v>
      </c>
      <c r="D32" s="547" t="s">
        <v>3391</v>
      </c>
      <c r="E32" s="563" t="s">
        <v>3392</v>
      </c>
      <c r="F32" s="563" t="s">
        <v>3393</v>
      </c>
      <c r="G32" s="552">
        <v>1</v>
      </c>
      <c r="H32" s="523">
        <v>107000</v>
      </c>
      <c r="I32" s="524">
        <v>107000</v>
      </c>
      <c r="J32" s="523"/>
      <c r="K32" s="524">
        <v>107000</v>
      </c>
      <c r="L32" s="523"/>
      <c r="M32" s="524">
        <v>-4633</v>
      </c>
      <c r="N32" s="524">
        <v>102367</v>
      </c>
      <c r="O32" s="549" t="s">
        <v>43</v>
      </c>
      <c r="P32" s="631"/>
      <c r="Q32" s="549" t="s">
        <v>54</v>
      </c>
      <c r="R32" s="523"/>
      <c r="S32" s="631"/>
      <c r="T32" s="523"/>
      <c r="U32" s="524"/>
      <c r="V32" s="524"/>
      <c r="W32" s="524"/>
      <c r="X32" s="524"/>
    </row>
    <row r="33" spans="1:24" s="20" customFormat="1" ht="15.6">
      <c r="A33" s="530">
        <v>44280</v>
      </c>
      <c r="B33" s="549" t="s">
        <v>43</v>
      </c>
      <c r="C33" s="555" t="s">
        <v>3394</v>
      </c>
      <c r="D33" s="547" t="s">
        <v>3395</v>
      </c>
      <c r="E33" s="563" t="s">
        <v>3396</v>
      </c>
      <c r="F33" s="564" t="s">
        <v>2530</v>
      </c>
      <c r="G33" s="552">
        <v>2</v>
      </c>
      <c r="H33" s="523">
        <v>63000</v>
      </c>
      <c r="I33" s="524">
        <v>126000</v>
      </c>
      <c r="J33" s="523"/>
      <c r="K33" s="524">
        <v>126000</v>
      </c>
      <c r="L33" s="524"/>
      <c r="M33" s="524">
        <v>-5456</v>
      </c>
      <c r="N33" s="524">
        <v>120544</v>
      </c>
      <c r="O33" s="549" t="s">
        <v>43</v>
      </c>
      <c r="P33" s="524"/>
      <c r="Q33" s="549" t="s">
        <v>54</v>
      </c>
      <c r="R33" s="523"/>
      <c r="S33" s="524"/>
      <c r="T33" s="523"/>
      <c r="U33" s="524"/>
      <c r="V33" s="524"/>
      <c r="W33" s="524"/>
      <c r="X33" s="524"/>
    </row>
    <row r="34" spans="1:24" s="20" customFormat="1" ht="15.6">
      <c r="A34" s="530">
        <v>44280</v>
      </c>
      <c r="B34" s="549" t="s">
        <v>43</v>
      </c>
      <c r="C34" s="555" t="s">
        <v>3397</v>
      </c>
      <c r="D34" s="547" t="s">
        <v>3398</v>
      </c>
      <c r="E34" s="563" t="s">
        <v>345</v>
      </c>
      <c r="F34" s="563" t="s">
        <v>2264</v>
      </c>
      <c r="G34" s="552">
        <v>1</v>
      </c>
      <c r="H34" s="523">
        <v>66000</v>
      </c>
      <c r="I34" s="524">
        <v>66000</v>
      </c>
      <c r="J34" s="523"/>
      <c r="K34" s="524">
        <v>66000</v>
      </c>
      <c r="L34" s="524"/>
      <c r="M34" s="524">
        <v>-2858</v>
      </c>
      <c r="N34" s="524">
        <v>63142</v>
      </c>
      <c r="O34" s="549" t="s">
        <v>43</v>
      </c>
      <c r="P34" s="548"/>
      <c r="Q34" s="549" t="s">
        <v>54</v>
      </c>
      <c r="R34" s="523"/>
      <c r="S34" s="534"/>
      <c r="T34" s="523"/>
      <c r="U34" s="524"/>
      <c r="V34" s="524"/>
      <c r="W34" s="524"/>
      <c r="X34" s="524"/>
    </row>
    <row r="35" spans="1:24" s="20" customFormat="1" ht="15.6">
      <c r="A35" s="530">
        <v>44280</v>
      </c>
      <c r="B35" s="554" t="s">
        <v>170</v>
      </c>
      <c r="C35" s="565" t="s">
        <v>3399</v>
      </c>
      <c r="D35" s="547" t="s">
        <v>3400</v>
      </c>
      <c r="E35" s="566" t="s">
        <v>3401</v>
      </c>
      <c r="F35" s="567" t="s">
        <v>3402</v>
      </c>
      <c r="G35" s="552">
        <v>1</v>
      </c>
      <c r="H35" s="523">
        <v>108000</v>
      </c>
      <c r="I35" s="524">
        <v>108000</v>
      </c>
      <c r="J35" s="523"/>
      <c r="K35" s="524">
        <v>108000</v>
      </c>
      <c r="L35" s="524">
        <v>0</v>
      </c>
      <c r="M35" s="524">
        <v>-540</v>
      </c>
      <c r="N35" s="524">
        <v>107460</v>
      </c>
      <c r="O35" s="554" t="s">
        <v>170</v>
      </c>
      <c r="P35" s="548"/>
      <c r="Q35" s="554" t="s">
        <v>478</v>
      </c>
      <c r="R35" s="523"/>
      <c r="S35" s="534"/>
      <c r="T35" s="523"/>
      <c r="U35" s="524"/>
      <c r="V35" s="524"/>
      <c r="W35" s="524"/>
      <c r="X35" s="524"/>
    </row>
    <row r="36" spans="1:24" s="20" customFormat="1" ht="15.6">
      <c r="A36" s="530">
        <v>44281</v>
      </c>
      <c r="B36" s="549" t="s">
        <v>170</v>
      </c>
      <c r="C36" s="549" t="s">
        <v>3403</v>
      </c>
      <c r="D36" s="547" t="s">
        <v>3404</v>
      </c>
      <c r="E36" s="563" t="s">
        <v>1208</v>
      </c>
      <c r="F36" s="563" t="s">
        <v>1209</v>
      </c>
      <c r="G36" s="552">
        <v>1</v>
      </c>
      <c r="H36" s="523">
        <v>88000</v>
      </c>
      <c r="I36" s="524">
        <v>88000</v>
      </c>
      <c r="J36" s="523"/>
      <c r="K36" s="524">
        <v>88000</v>
      </c>
      <c r="L36" s="524">
        <v>0</v>
      </c>
      <c r="M36" s="524">
        <v>-440</v>
      </c>
      <c r="N36" s="524">
        <v>87560</v>
      </c>
      <c r="O36" s="549" t="s">
        <v>170</v>
      </c>
      <c r="P36" s="632"/>
      <c r="Q36" s="568" t="s">
        <v>176</v>
      </c>
      <c r="R36" s="523"/>
      <c r="S36" s="534"/>
      <c r="T36" s="523"/>
      <c r="U36" s="524"/>
      <c r="V36" s="524"/>
      <c r="W36" s="524"/>
      <c r="X36" s="523"/>
    </row>
    <row r="37" spans="1:24" s="20" customFormat="1" ht="15.6">
      <c r="A37" s="530">
        <v>44281</v>
      </c>
      <c r="B37" s="549" t="s">
        <v>170</v>
      </c>
      <c r="C37" s="549" t="s">
        <v>3405</v>
      </c>
      <c r="D37" s="547" t="s">
        <v>3406</v>
      </c>
      <c r="E37" s="563" t="s">
        <v>3407</v>
      </c>
      <c r="F37" s="563" t="s">
        <v>774</v>
      </c>
      <c r="G37" s="552">
        <v>1</v>
      </c>
      <c r="H37" s="523">
        <v>118000</v>
      </c>
      <c r="I37" s="524">
        <v>118000</v>
      </c>
      <c r="J37" s="523"/>
      <c r="K37" s="524">
        <v>118000</v>
      </c>
      <c r="L37" s="524">
        <v>0</v>
      </c>
      <c r="M37" s="524">
        <v>-590</v>
      </c>
      <c r="N37" s="524">
        <v>117410</v>
      </c>
      <c r="O37" s="549" t="s">
        <v>170</v>
      </c>
      <c r="P37" s="632"/>
      <c r="Q37" s="568" t="s">
        <v>649</v>
      </c>
      <c r="R37" s="523"/>
      <c r="S37" s="534"/>
      <c r="T37" s="523"/>
      <c r="U37" s="524"/>
      <c r="V37" s="524"/>
      <c r="W37" s="524"/>
      <c r="X37" s="523"/>
    </row>
    <row r="38" spans="1:24" s="20" customFormat="1" ht="15.6">
      <c r="A38" s="530">
        <v>44281</v>
      </c>
      <c r="B38" s="549" t="s">
        <v>177</v>
      </c>
      <c r="C38" s="549" t="s">
        <v>3408</v>
      </c>
      <c r="D38" s="547" t="s">
        <v>3409</v>
      </c>
      <c r="E38" s="566" t="s">
        <v>3410</v>
      </c>
      <c r="F38" s="566" t="s">
        <v>3411</v>
      </c>
      <c r="G38" s="552">
        <v>1</v>
      </c>
      <c r="H38" s="523">
        <v>99000</v>
      </c>
      <c r="I38" s="524">
        <v>99000</v>
      </c>
      <c r="J38" s="523"/>
      <c r="K38" s="524">
        <v>99000</v>
      </c>
      <c r="L38" s="524">
        <v>9000</v>
      </c>
      <c r="M38" s="524"/>
      <c r="N38" s="524">
        <v>108000</v>
      </c>
      <c r="O38" s="549" t="s">
        <v>177</v>
      </c>
      <c r="P38" s="632"/>
      <c r="Q38" s="569" t="s">
        <v>54</v>
      </c>
      <c r="R38" s="523"/>
      <c r="S38" s="534"/>
      <c r="T38" s="523"/>
      <c r="U38" s="524"/>
      <c r="V38" s="524"/>
      <c r="W38" s="524"/>
      <c r="X38" s="523"/>
    </row>
    <row r="39" spans="1:24" s="20" customFormat="1" ht="16.8">
      <c r="A39" s="530">
        <v>44281</v>
      </c>
      <c r="B39" s="549" t="s">
        <v>177</v>
      </c>
      <c r="C39" s="555" t="s">
        <v>3412</v>
      </c>
      <c r="D39" s="547" t="s">
        <v>3413</v>
      </c>
      <c r="E39" s="566" t="s">
        <v>1954</v>
      </c>
      <c r="F39" s="566" t="s">
        <v>1955</v>
      </c>
      <c r="G39" s="552">
        <v>1</v>
      </c>
      <c r="H39" s="523">
        <v>85000</v>
      </c>
      <c r="I39" s="524">
        <v>85000</v>
      </c>
      <c r="J39" s="523"/>
      <c r="K39" s="524">
        <v>85000</v>
      </c>
      <c r="L39" s="524">
        <v>9500</v>
      </c>
      <c r="M39" s="524"/>
      <c r="N39" s="524">
        <v>94500</v>
      </c>
      <c r="O39" s="549" t="s">
        <v>177</v>
      </c>
      <c r="P39" s="611"/>
      <c r="Q39" s="569" t="s">
        <v>54</v>
      </c>
      <c r="R39" s="523"/>
      <c r="S39" s="534"/>
      <c r="T39" s="523"/>
      <c r="U39" s="524"/>
      <c r="V39" s="524"/>
      <c r="W39" s="524"/>
      <c r="X39" s="523"/>
    </row>
    <row r="40" spans="1:24" s="20" customFormat="1" ht="15.6">
      <c r="A40" s="530">
        <v>44281</v>
      </c>
      <c r="B40" s="549" t="s">
        <v>3414</v>
      </c>
      <c r="C40" s="555" t="s">
        <v>3415</v>
      </c>
      <c r="D40" s="547" t="s">
        <v>3416</v>
      </c>
      <c r="E40" s="566" t="s">
        <v>2667</v>
      </c>
      <c r="F40" s="566" t="s">
        <v>2668</v>
      </c>
      <c r="G40" s="552">
        <v>1</v>
      </c>
      <c r="H40" s="523">
        <v>112000</v>
      </c>
      <c r="I40" s="524">
        <v>112000</v>
      </c>
      <c r="J40" s="523"/>
      <c r="K40" s="524">
        <v>112000</v>
      </c>
      <c r="L40" s="524"/>
      <c r="M40" s="524">
        <v>-4850</v>
      </c>
      <c r="N40" s="524">
        <v>107150</v>
      </c>
      <c r="O40" s="549" t="s">
        <v>3414</v>
      </c>
      <c r="P40" s="548"/>
      <c r="Q40" s="569" t="s">
        <v>176</v>
      </c>
      <c r="R40" s="523"/>
      <c r="S40" s="534"/>
      <c r="T40" s="523"/>
      <c r="U40" s="524"/>
      <c r="V40" s="524"/>
      <c r="W40" s="524"/>
      <c r="X40" s="523"/>
    </row>
    <row r="41" spans="1:24" s="20" customFormat="1" ht="15.6">
      <c r="A41" s="530">
        <v>44281</v>
      </c>
      <c r="B41" s="549" t="s">
        <v>43</v>
      </c>
      <c r="C41" s="555" t="s">
        <v>3417</v>
      </c>
      <c r="D41" s="547" t="s">
        <v>3418</v>
      </c>
      <c r="E41" s="566" t="s">
        <v>407</v>
      </c>
      <c r="F41" s="566" t="s">
        <v>408</v>
      </c>
      <c r="G41" s="552">
        <v>1</v>
      </c>
      <c r="H41" s="523">
        <v>68500</v>
      </c>
      <c r="I41" s="524">
        <v>68500</v>
      </c>
      <c r="J41" s="523"/>
      <c r="K41" s="524">
        <v>68500</v>
      </c>
      <c r="L41" s="524"/>
      <c r="M41" s="524">
        <v>-2967</v>
      </c>
      <c r="N41" s="524">
        <v>65533</v>
      </c>
      <c r="O41" s="549" t="s">
        <v>43</v>
      </c>
      <c r="P41" s="548"/>
      <c r="Q41" s="569" t="s">
        <v>54</v>
      </c>
      <c r="R41" s="523"/>
      <c r="S41" s="510"/>
      <c r="T41" s="523"/>
      <c r="U41" s="524"/>
      <c r="V41" s="524"/>
      <c r="W41" s="524"/>
      <c r="X41" s="523"/>
    </row>
    <row r="42" spans="1:24" s="20" customFormat="1" ht="15.6">
      <c r="A42" s="530">
        <v>44284</v>
      </c>
      <c r="B42" s="533" t="s">
        <v>43</v>
      </c>
      <c r="C42" s="538" t="s">
        <v>3419</v>
      </c>
      <c r="D42" s="547" t="s">
        <v>3420</v>
      </c>
      <c r="E42" s="539" t="s">
        <v>166</v>
      </c>
      <c r="F42" s="539" t="s">
        <v>167</v>
      </c>
      <c r="G42" s="531">
        <v>1</v>
      </c>
      <c r="H42" s="523">
        <v>48500</v>
      </c>
      <c r="I42" s="524">
        <v>48500</v>
      </c>
      <c r="J42" s="523"/>
      <c r="K42" s="524">
        <v>48500</v>
      </c>
      <c r="L42" s="524">
        <v>-5000</v>
      </c>
      <c r="M42" s="524">
        <v>-2101</v>
      </c>
      <c r="N42" s="524">
        <v>41399</v>
      </c>
      <c r="O42" s="533" t="s">
        <v>43</v>
      </c>
      <c r="P42" s="585"/>
      <c r="Q42" s="533" t="s">
        <v>138</v>
      </c>
      <c r="R42" s="523"/>
      <c r="S42" s="518"/>
      <c r="T42" s="523"/>
      <c r="U42" s="524"/>
      <c r="V42" s="524"/>
      <c r="W42" s="524"/>
      <c r="X42" s="523"/>
    </row>
    <row r="43" spans="1:24" s="20" customFormat="1" ht="15.6">
      <c r="A43" s="530">
        <v>44284</v>
      </c>
      <c r="B43" s="533" t="s">
        <v>43</v>
      </c>
      <c r="C43" s="538" t="s">
        <v>3421</v>
      </c>
      <c r="D43" s="547" t="s">
        <v>3422</v>
      </c>
      <c r="E43" s="539" t="s">
        <v>1679</v>
      </c>
      <c r="F43" s="540" t="s">
        <v>1680</v>
      </c>
      <c r="G43" s="531">
        <v>1</v>
      </c>
      <c r="H43" s="523">
        <v>73000</v>
      </c>
      <c r="I43" s="524">
        <v>73000</v>
      </c>
      <c r="J43" s="523"/>
      <c r="K43" s="524">
        <v>73000</v>
      </c>
      <c r="L43" s="524"/>
      <c r="M43" s="524">
        <v>-3161</v>
      </c>
      <c r="N43" s="524">
        <v>69839</v>
      </c>
      <c r="O43" s="533" t="s">
        <v>43</v>
      </c>
      <c r="P43" s="552"/>
      <c r="Q43" s="533" t="s">
        <v>176</v>
      </c>
      <c r="R43" s="523"/>
      <c r="S43" s="534"/>
      <c r="T43" s="523"/>
      <c r="U43" s="524"/>
      <c r="V43" s="524"/>
      <c r="W43" s="524"/>
      <c r="X43" s="523"/>
    </row>
    <row r="44" spans="1:24" s="20" customFormat="1" ht="15.6">
      <c r="A44" s="530">
        <v>44284</v>
      </c>
      <c r="B44" s="533" t="s">
        <v>206</v>
      </c>
      <c r="C44" s="538" t="s">
        <v>3423</v>
      </c>
      <c r="D44" s="547" t="s">
        <v>3424</v>
      </c>
      <c r="E44" s="533" t="s">
        <v>1275</v>
      </c>
      <c r="F44" s="539" t="s">
        <v>68</v>
      </c>
      <c r="G44" s="531">
        <v>1</v>
      </c>
      <c r="H44" s="523">
        <v>65000</v>
      </c>
      <c r="I44" s="524">
        <v>65000</v>
      </c>
      <c r="J44" s="523"/>
      <c r="K44" s="524">
        <v>65000</v>
      </c>
      <c r="L44" s="524">
        <v>20400</v>
      </c>
      <c r="M44" s="523"/>
      <c r="N44" s="524">
        <v>85400</v>
      </c>
      <c r="O44" s="533" t="s">
        <v>206</v>
      </c>
      <c r="P44" s="552"/>
      <c r="Q44" s="533" t="s">
        <v>328</v>
      </c>
      <c r="R44" s="523"/>
      <c r="S44" s="524"/>
      <c r="T44" s="523"/>
      <c r="U44" s="524"/>
      <c r="V44" s="524"/>
      <c r="W44" s="524"/>
      <c r="X44" s="523"/>
    </row>
    <row r="45" spans="1:24" s="20" customFormat="1" ht="15.6">
      <c r="A45" s="530">
        <v>44284</v>
      </c>
      <c r="B45" s="533" t="s">
        <v>170</v>
      </c>
      <c r="C45" s="533" t="s">
        <v>3403</v>
      </c>
      <c r="D45" s="547" t="s">
        <v>3404</v>
      </c>
      <c r="E45" s="570" t="s">
        <v>69</v>
      </c>
      <c r="F45" s="570" t="s">
        <v>70</v>
      </c>
      <c r="G45" s="531">
        <v>1</v>
      </c>
      <c r="H45" s="523">
        <v>89000</v>
      </c>
      <c r="I45" s="524">
        <v>89000</v>
      </c>
      <c r="J45" s="523"/>
      <c r="K45" s="524">
        <v>89000</v>
      </c>
      <c r="L45" s="524">
        <v>0</v>
      </c>
      <c r="M45" s="523">
        <v>-715</v>
      </c>
      <c r="N45" s="524">
        <v>88285</v>
      </c>
      <c r="O45" s="533" t="s">
        <v>170</v>
      </c>
      <c r="P45" s="552"/>
      <c r="Q45" s="533" t="s">
        <v>478</v>
      </c>
      <c r="R45" s="523"/>
      <c r="S45" s="524"/>
      <c r="T45" s="523"/>
      <c r="U45" s="524"/>
      <c r="V45" s="524"/>
      <c r="W45" s="524"/>
      <c r="X45" s="523"/>
    </row>
    <row r="46" spans="1:24" s="20" customFormat="1" ht="15.6">
      <c r="A46" s="530">
        <v>44284</v>
      </c>
      <c r="B46" s="533" t="s">
        <v>170</v>
      </c>
      <c r="C46" s="533" t="s">
        <v>3403</v>
      </c>
      <c r="D46" s="547" t="s">
        <v>3425</v>
      </c>
      <c r="E46" s="571" t="s">
        <v>3426</v>
      </c>
      <c r="F46" s="572" t="s">
        <v>3427</v>
      </c>
      <c r="G46" s="531">
        <v>1</v>
      </c>
      <c r="H46" s="523">
        <v>54000</v>
      </c>
      <c r="I46" s="524">
        <v>54000</v>
      </c>
      <c r="J46" s="523"/>
      <c r="K46" s="524">
        <v>54000</v>
      </c>
      <c r="L46" s="524"/>
      <c r="M46" s="523"/>
      <c r="N46" s="524">
        <v>54000</v>
      </c>
      <c r="O46" s="533" t="s">
        <v>170</v>
      </c>
      <c r="P46" s="552"/>
      <c r="Q46" s="533" t="s">
        <v>478</v>
      </c>
      <c r="R46" s="523"/>
      <c r="S46" s="518"/>
      <c r="T46" s="523"/>
      <c r="U46" s="524"/>
      <c r="V46" s="524"/>
      <c r="W46" s="524"/>
      <c r="X46" s="523"/>
    </row>
    <row r="47" spans="1:24" s="20" customFormat="1">
      <c r="A47" s="530">
        <v>44284</v>
      </c>
      <c r="B47" s="533" t="s">
        <v>177</v>
      </c>
      <c r="C47" s="533" t="s">
        <v>3428</v>
      </c>
      <c r="D47" s="547" t="s">
        <v>3429</v>
      </c>
      <c r="E47" s="533" t="s">
        <v>471</v>
      </c>
      <c r="F47" s="533" t="s">
        <v>472</v>
      </c>
      <c r="G47" s="531">
        <v>1</v>
      </c>
      <c r="H47" s="523">
        <v>1110000</v>
      </c>
      <c r="I47" s="524">
        <v>1110000</v>
      </c>
      <c r="J47" s="523"/>
      <c r="K47" s="524">
        <v>1110000</v>
      </c>
      <c r="L47" s="524">
        <v>23704</v>
      </c>
      <c r="M47" s="523"/>
      <c r="N47" s="524">
        <v>1133704</v>
      </c>
      <c r="O47" s="533" t="s">
        <v>177</v>
      </c>
      <c r="P47" s="548"/>
      <c r="Q47" s="533" t="s">
        <v>54</v>
      </c>
      <c r="R47" s="523"/>
      <c r="S47" s="534"/>
      <c r="T47" s="523"/>
      <c r="U47" s="524"/>
      <c r="V47" s="524"/>
      <c r="W47" s="524"/>
      <c r="X47" s="523"/>
    </row>
    <row r="48" spans="1:24" s="20" customFormat="1" ht="15.6">
      <c r="A48" s="530">
        <v>44284</v>
      </c>
      <c r="B48" s="533" t="s">
        <v>313</v>
      </c>
      <c r="C48" s="538" t="s">
        <v>3430</v>
      </c>
      <c r="D48" s="547" t="s">
        <v>3431</v>
      </c>
      <c r="E48" s="573" t="s">
        <v>3432</v>
      </c>
      <c r="F48" s="574" t="s">
        <v>3433</v>
      </c>
      <c r="G48" s="531">
        <v>1</v>
      </c>
      <c r="H48" s="524">
        <v>91700</v>
      </c>
      <c r="I48" s="524">
        <v>91700</v>
      </c>
      <c r="J48" s="524"/>
      <c r="K48" s="524">
        <v>91700</v>
      </c>
      <c r="L48" s="524"/>
      <c r="M48" s="523"/>
      <c r="N48" s="524">
        <v>91700</v>
      </c>
      <c r="O48" s="533" t="s">
        <v>313</v>
      </c>
      <c r="P48" s="552"/>
      <c r="Q48" s="533" t="s">
        <v>40</v>
      </c>
      <c r="R48" s="523"/>
      <c r="S48" s="547"/>
      <c r="T48" s="523"/>
      <c r="U48" s="524"/>
      <c r="V48" s="524"/>
      <c r="W48" s="524"/>
      <c r="X48" s="523"/>
    </row>
    <row r="49" spans="1:24" s="20" customFormat="1" ht="15.6">
      <c r="A49" s="530">
        <v>44284</v>
      </c>
      <c r="B49" s="533" t="s">
        <v>313</v>
      </c>
      <c r="C49" s="538" t="s">
        <v>3430</v>
      </c>
      <c r="D49" s="547" t="s">
        <v>3434</v>
      </c>
      <c r="E49" s="575" t="s">
        <v>383</v>
      </c>
      <c r="F49" s="575" t="s">
        <v>384</v>
      </c>
      <c r="G49" s="531">
        <v>1</v>
      </c>
      <c r="H49" s="524">
        <v>111000</v>
      </c>
      <c r="I49" s="524">
        <v>111000</v>
      </c>
      <c r="J49" s="524">
        <v>22200</v>
      </c>
      <c r="K49" s="524">
        <v>88800</v>
      </c>
      <c r="L49" s="524">
        <v>90022</v>
      </c>
      <c r="M49" s="523"/>
      <c r="N49" s="524">
        <v>178822</v>
      </c>
      <c r="O49" s="533" t="s">
        <v>313</v>
      </c>
      <c r="P49" s="632"/>
      <c r="Q49" s="533" t="s">
        <v>40</v>
      </c>
      <c r="R49" s="523"/>
      <c r="S49" s="534"/>
      <c r="T49" s="523"/>
      <c r="U49" s="524"/>
      <c r="V49" s="524"/>
      <c r="W49" s="524"/>
      <c r="X49" s="29"/>
    </row>
    <row r="50" spans="1:24" s="20" customFormat="1" ht="15.6">
      <c r="A50" s="530">
        <v>44284</v>
      </c>
      <c r="B50" s="533" t="s">
        <v>313</v>
      </c>
      <c r="C50" s="538" t="s">
        <v>3430</v>
      </c>
      <c r="D50" s="547" t="s">
        <v>3435</v>
      </c>
      <c r="E50" s="575" t="s">
        <v>3436</v>
      </c>
      <c r="F50" s="575" t="s">
        <v>3437</v>
      </c>
      <c r="G50" s="531">
        <v>1</v>
      </c>
      <c r="H50" s="524">
        <v>83000</v>
      </c>
      <c r="I50" s="524">
        <v>83000</v>
      </c>
      <c r="J50" s="524">
        <v>16600</v>
      </c>
      <c r="K50" s="524">
        <v>66400</v>
      </c>
      <c r="L50" s="524"/>
      <c r="M50" s="523"/>
      <c r="N50" s="524">
        <v>66400</v>
      </c>
      <c r="O50" s="533" t="s">
        <v>313</v>
      </c>
      <c r="P50" s="548"/>
      <c r="Q50" s="533" t="s">
        <v>40</v>
      </c>
      <c r="R50" s="523"/>
      <c r="S50" s="534"/>
      <c r="T50" s="523"/>
      <c r="U50" s="524"/>
      <c r="V50" s="524"/>
      <c r="W50" s="524"/>
      <c r="X50" s="29"/>
    </row>
    <row r="51" spans="1:24" s="20" customFormat="1" ht="15.6">
      <c r="A51" s="530">
        <v>44284</v>
      </c>
      <c r="B51" s="533" t="s">
        <v>313</v>
      </c>
      <c r="C51" s="538" t="s">
        <v>3430</v>
      </c>
      <c r="D51" s="547" t="s">
        <v>3438</v>
      </c>
      <c r="E51" s="576" t="s">
        <v>3439</v>
      </c>
      <c r="F51" s="576" t="s">
        <v>3440</v>
      </c>
      <c r="G51" s="531">
        <v>1</v>
      </c>
      <c r="H51" s="524">
        <v>108000</v>
      </c>
      <c r="I51" s="524">
        <v>108000</v>
      </c>
      <c r="J51" s="524">
        <v>21600</v>
      </c>
      <c r="K51" s="524">
        <v>86400</v>
      </c>
      <c r="L51" s="524"/>
      <c r="M51" s="523"/>
      <c r="N51" s="524">
        <v>86400</v>
      </c>
      <c r="O51" s="533" t="s">
        <v>313</v>
      </c>
      <c r="P51" s="577"/>
      <c r="Q51" s="533" t="s">
        <v>40</v>
      </c>
      <c r="R51" s="523"/>
      <c r="S51" s="553"/>
      <c r="T51" s="523"/>
      <c r="U51" s="524"/>
      <c r="V51" s="524"/>
      <c r="W51" s="524"/>
      <c r="X51" s="29"/>
    </row>
    <row r="52" spans="1:24" s="20" customFormat="1" ht="15.6">
      <c r="A52" s="530">
        <v>44284</v>
      </c>
      <c r="B52" s="533" t="s">
        <v>313</v>
      </c>
      <c r="C52" s="538" t="s">
        <v>3441</v>
      </c>
      <c r="D52" s="547" t="s">
        <v>3442</v>
      </c>
      <c r="E52" s="578" t="s">
        <v>3443</v>
      </c>
      <c r="F52" s="579" t="s">
        <v>3444</v>
      </c>
      <c r="G52" s="531">
        <v>1</v>
      </c>
      <c r="H52" s="524">
        <v>94000</v>
      </c>
      <c r="I52" s="524">
        <v>94000</v>
      </c>
      <c r="J52" s="524"/>
      <c r="K52" s="524">
        <v>94000</v>
      </c>
      <c r="L52" s="524">
        <v>6071</v>
      </c>
      <c r="M52" s="523"/>
      <c r="N52" s="524">
        <v>100071</v>
      </c>
      <c r="O52" s="533" t="s">
        <v>313</v>
      </c>
      <c r="P52" s="580"/>
      <c r="Q52" s="533" t="s">
        <v>28</v>
      </c>
      <c r="R52" s="523"/>
      <c r="S52" s="547"/>
      <c r="T52" s="523"/>
      <c r="U52" s="524"/>
      <c r="V52" s="524"/>
      <c r="W52" s="524"/>
      <c r="X52" s="29"/>
    </row>
    <row r="53" spans="1:24" s="20" customFormat="1" ht="15.6">
      <c r="A53" s="530">
        <v>44284</v>
      </c>
      <c r="B53" s="533" t="s">
        <v>313</v>
      </c>
      <c r="C53" s="538" t="s">
        <v>3441</v>
      </c>
      <c r="D53" s="547" t="s">
        <v>3442</v>
      </c>
      <c r="E53" s="578" t="s">
        <v>2489</v>
      </c>
      <c r="F53" s="578" t="s">
        <v>2490</v>
      </c>
      <c r="G53" s="531">
        <v>1</v>
      </c>
      <c r="H53" s="524">
        <v>82000</v>
      </c>
      <c r="I53" s="524">
        <v>82000</v>
      </c>
      <c r="J53" s="524"/>
      <c r="K53" s="524">
        <v>82000</v>
      </c>
      <c r="L53" s="524"/>
      <c r="M53" s="523"/>
      <c r="N53" s="524">
        <v>82000</v>
      </c>
      <c r="O53" s="533" t="s">
        <v>313</v>
      </c>
      <c r="P53" s="577"/>
      <c r="Q53" s="533" t="s">
        <v>28</v>
      </c>
      <c r="R53" s="523"/>
      <c r="S53" s="535"/>
      <c r="T53" s="523"/>
      <c r="U53" s="524"/>
      <c r="V53" s="524"/>
      <c r="W53" s="524"/>
      <c r="X53" s="29"/>
    </row>
    <row r="54" spans="1:24" s="20" customFormat="1" ht="15" customHeight="1">
      <c r="A54" s="530">
        <v>44284</v>
      </c>
      <c r="B54" s="527" t="s">
        <v>23</v>
      </c>
      <c r="C54" s="581" t="s">
        <v>3445</v>
      </c>
      <c r="D54" s="547" t="s">
        <v>3446</v>
      </c>
      <c r="E54" s="582" t="s">
        <v>3447</v>
      </c>
      <c r="F54" s="582" t="s">
        <v>3448</v>
      </c>
      <c r="G54" s="531">
        <v>2</v>
      </c>
      <c r="H54" s="505">
        <v>69000</v>
      </c>
      <c r="I54" s="524">
        <v>138000</v>
      </c>
      <c r="J54" s="524">
        <v>62100</v>
      </c>
      <c r="K54" s="524">
        <v>75900</v>
      </c>
      <c r="L54" s="524">
        <v>160000</v>
      </c>
      <c r="M54" s="523"/>
      <c r="N54" s="524">
        <v>235900</v>
      </c>
      <c r="O54" s="527" t="s">
        <v>23</v>
      </c>
      <c r="P54" s="580"/>
      <c r="Q54" s="527" t="s">
        <v>3449</v>
      </c>
      <c r="R54" s="523"/>
      <c r="S54" s="510"/>
      <c r="T54" s="523"/>
      <c r="U54" s="524"/>
      <c r="V54" s="524"/>
      <c r="W54" s="524"/>
      <c r="X54" s="29"/>
    </row>
    <row r="55" spans="1:24" s="20" customFormat="1">
      <c r="A55" s="530">
        <v>44284</v>
      </c>
      <c r="B55" s="527" t="s">
        <v>23</v>
      </c>
      <c r="C55" s="581" t="s">
        <v>3445</v>
      </c>
      <c r="D55" s="547" t="s">
        <v>3446</v>
      </c>
      <c r="E55" s="582" t="s">
        <v>3450</v>
      </c>
      <c r="F55" s="582" t="s">
        <v>927</v>
      </c>
      <c r="G55" s="531">
        <v>2</v>
      </c>
      <c r="H55" s="505">
        <v>114500</v>
      </c>
      <c r="I55" s="524">
        <v>229000</v>
      </c>
      <c r="J55" s="524">
        <v>103050</v>
      </c>
      <c r="K55" s="524">
        <v>125950</v>
      </c>
      <c r="L55" s="524"/>
      <c r="M55" s="523"/>
      <c r="N55" s="524">
        <v>125950</v>
      </c>
      <c r="O55" s="527" t="s">
        <v>23</v>
      </c>
      <c r="P55" s="580"/>
      <c r="Q55" s="527" t="s">
        <v>3449</v>
      </c>
      <c r="R55" s="523"/>
      <c r="S55" s="524"/>
      <c r="T55" s="523"/>
      <c r="U55" s="524"/>
      <c r="V55" s="524"/>
      <c r="W55" s="524"/>
      <c r="X55" s="29"/>
    </row>
    <row r="56" spans="1:24" s="20" customFormat="1" ht="17.25" customHeight="1">
      <c r="A56" s="530">
        <v>44284</v>
      </c>
      <c r="B56" s="527" t="s">
        <v>23</v>
      </c>
      <c r="C56" s="581" t="s">
        <v>3445</v>
      </c>
      <c r="D56" s="547" t="s">
        <v>3446</v>
      </c>
      <c r="E56" s="582" t="s">
        <v>1788</v>
      </c>
      <c r="F56" s="582" t="s">
        <v>1789</v>
      </c>
      <c r="G56" s="531">
        <v>2</v>
      </c>
      <c r="H56" s="505">
        <v>86500</v>
      </c>
      <c r="I56" s="524">
        <v>173000</v>
      </c>
      <c r="J56" s="524">
        <v>77850</v>
      </c>
      <c r="K56" s="524">
        <v>95150</v>
      </c>
      <c r="L56" s="524"/>
      <c r="M56" s="523"/>
      <c r="N56" s="524">
        <v>95150</v>
      </c>
      <c r="O56" s="527" t="s">
        <v>23</v>
      </c>
      <c r="P56" s="580"/>
      <c r="Q56" s="527" t="s">
        <v>3449</v>
      </c>
      <c r="R56" s="523"/>
      <c r="S56" s="547"/>
      <c r="T56" s="523"/>
      <c r="U56" s="524"/>
      <c r="V56" s="524"/>
      <c r="W56" s="524"/>
      <c r="X56" s="29"/>
    </row>
    <row r="57" spans="1:24" s="20" customFormat="1">
      <c r="A57" s="530">
        <v>44284</v>
      </c>
      <c r="B57" s="527" t="s">
        <v>23</v>
      </c>
      <c r="C57" s="581" t="s">
        <v>3445</v>
      </c>
      <c r="D57" s="547" t="s">
        <v>3446</v>
      </c>
      <c r="E57" s="582" t="s">
        <v>3451</v>
      </c>
      <c r="F57" s="582" t="s">
        <v>3452</v>
      </c>
      <c r="G57" s="531">
        <v>2</v>
      </c>
      <c r="H57" s="505">
        <v>86000</v>
      </c>
      <c r="I57" s="524">
        <v>172000</v>
      </c>
      <c r="J57" s="524">
        <v>77400</v>
      </c>
      <c r="K57" s="524">
        <v>94600</v>
      </c>
      <c r="L57" s="524"/>
      <c r="M57" s="523"/>
      <c r="N57" s="524">
        <v>94600</v>
      </c>
      <c r="O57" s="527" t="s">
        <v>23</v>
      </c>
      <c r="P57" s="548"/>
      <c r="Q57" s="527" t="s">
        <v>3449</v>
      </c>
      <c r="R57" s="523"/>
      <c r="S57" s="534"/>
      <c r="T57" s="523"/>
      <c r="U57" s="524"/>
      <c r="V57" s="524"/>
      <c r="W57" s="524"/>
      <c r="X57" s="29"/>
    </row>
    <row r="58" spans="1:24" s="20" customFormat="1">
      <c r="A58" s="530">
        <v>44284</v>
      </c>
      <c r="B58" s="527" t="s">
        <v>23</v>
      </c>
      <c r="C58" s="581" t="s">
        <v>3445</v>
      </c>
      <c r="D58" s="547" t="s">
        <v>3446</v>
      </c>
      <c r="E58" s="582" t="s">
        <v>3453</v>
      </c>
      <c r="F58" s="582" t="s">
        <v>3454</v>
      </c>
      <c r="G58" s="531">
        <v>2</v>
      </c>
      <c r="H58" s="505">
        <v>104000</v>
      </c>
      <c r="I58" s="524">
        <v>208000</v>
      </c>
      <c r="J58" s="524">
        <v>93600</v>
      </c>
      <c r="K58" s="524">
        <v>114400</v>
      </c>
      <c r="L58" s="524"/>
      <c r="M58" s="523"/>
      <c r="N58" s="524">
        <v>114400</v>
      </c>
      <c r="O58" s="527" t="s">
        <v>23</v>
      </c>
      <c r="P58" s="512"/>
      <c r="Q58" s="527" t="s">
        <v>3449</v>
      </c>
      <c r="R58" s="523"/>
      <c r="S58" s="534"/>
      <c r="T58" s="523"/>
      <c r="U58" s="524"/>
      <c r="V58" s="524"/>
      <c r="W58" s="524"/>
      <c r="X58" s="29"/>
    </row>
    <row r="59" spans="1:24" s="20" customFormat="1">
      <c r="A59" s="530">
        <v>44284</v>
      </c>
      <c r="B59" s="527" t="s">
        <v>23</v>
      </c>
      <c r="C59" s="581" t="s">
        <v>3445</v>
      </c>
      <c r="D59" s="547" t="s">
        <v>3446</v>
      </c>
      <c r="E59" s="582" t="s">
        <v>3455</v>
      </c>
      <c r="F59" s="582" t="s">
        <v>3456</v>
      </c>
      <c r="G59" s="531">
        <v>2</v>
      </c>
      <c r="H59" s="505">
        <v>85000</v>
      </c>
      <c r="I59" s="524">
        <v>170000</v>
      </c>
      <c r="J59" s="524">
        <v>76500</v>
      </c>
      <c r="K59" s="524">
        <v>93500</v>
      </c>
      <c r="L59" s="524"/>
      <c r="M59" s="524"/>
      <c r="N59" s="524">
        <v>93500</v>
      </c>
      <c r="O59" s="527" t="s">
        <v>23</v>
      </c>
      <c r="P59" s="548"/>
      <c r="Q59" s="527" t="s">
        <v>3449</v>
      </c>
      <c r="R59" s="523"/>
      <c r="S59" s="534"/>
      <c r="T59" s="523"/>
      <c r="U59" s="524"/>
      <c r="V59" s="524"/>
      <c r="W59" s="524"/>
      <c r="X59" s="29"/>
    </row>
    <row r="60" spans="1:24" s="20" customFormat="1">
      <c r="A60" s="530">
        <v>44284</v>
      </c>
      <c r="B60" s="527" t="s">
        <v>23</v>
      </c>
      <c r="C60" s="581" t="s">
        <v>3445</v>
      </c>
      <c r="D60" s="547" t="s">
        <v>3446</v>
      </c>
      <c r="E60" s="582" t="s">
        <v>1453</v>
      </c>
      <c r="F60" s="582" t="s">
        <v>1454</v>
      </c>
      <c r="G60" s="531">
        <v>2</v>
      </c>
      <c r="H60" s="505">
        <v>79000</v>
      </c>
      <c r="I60" s="524">
        <v>158000</v>
      </c>
      <c r="J60" s="524">
        <v>71100</v>
      </c>
      <c r="K60" s="524">
        <v>86900</v>
      </c>
      <c r="L60" s="524"/>
      <c r="M60" s="524"/>
      <c r="N60" s="524">
        <v>86900</v>
      </c>
      <c r="O60" s="527" t="s">
        <v>23</v>
      </c>
      <c r="P60" s="548"/>
      <c r="Q60" s="527" t="s">
        <v>3449</v>
      </c>
      <c r="R60" s="523"/>
      <c r="S60" s="534"/>
      <c r="T60" s="523"/>
      <c r="U60" s="524"/>
      <c r="V60" s="524"/>
      <c r="W60" s="524"/>
      <c r="X60" s="29"/>
    </row>
    <row r="61" spans="1:24" s="20" customFormat="1">
      <c r="A61" s="530">
        <v>44284</v>
      </c>
      <c r="B61" s="527" t="s">
        <v>23</v>
      </c>
      <c r="C61" s="581" t="s">
        <v>3445</v>
      </c>
      <c r="D61" s="547" t="s">
        <v>3446</v>
      </c>
      <c r="E61" s="582" t="s">
        <v>3457</v>
      </c>
      <c r="F61" s="582" t="s">
        <v>3458</v>
      </c>
      <c r="G61" s="531">
        <v>2</v>
      </c>
      <c r="H61" s="505">
        <v>197500</v>
      </c>
      <c r="I61" s="524">
        <v>395000</v>
      </c>
      <c r="J61" s="524">
        <v>177750</v>
      </c>
      <c r="K61" s="524">
        <v>217250</v>
      </c>
      <c r="L61" s="524"/>
      <c r="M61" s="524"/>
      <c r="N61" s="524">
        <v>217250</v>
      </c>
      <c r="O61" s="527" t="s">
        <v>23</v>
      </c>
      <c r="P61" s="548"/>
      <c r="Q61" s="527" t="s">
        <v>3449</v>
      </c>
      <c r="R61" s="523"/>
      <c r="S61" s="534"/>
      <c r="T61" s="523"/>
      <c r="U61" s="524"/>
      <c r="V61" s="524"/>
      <c r="W61" s="524"/>
      <c r="X61" s="29"/>
    </row>
    <row r="62" spans="1:24" s="20" customFormat="1">
      <c r="A62" s="530">
        <v>44284</v>
      </c>
      <c r="B62" s="527" t="s">
        <v>23</v>
      </c>
      <c r="C62" s="581" t="s">
        <v>3445</v>
      </c>
      <c r="D62" s="547" t="s">
        <v>3446</v>
      </c>
      <c r="E62" s="582" t="s">
        <v>94</v>
      </c>
      <c r="F62" s="582" t="s">
        <v>116</v>
      </c>
      <c r="G62" s="531">
        <v>2</v>
      </c>
      <c r="H62" s="505">
        <v>107000</v>
      </c>
      <c r="I62" s="524">
        <v>214000</v>
      </c>
      <c r="J62" s="524">
        <v>96300</v>
      </c>
      <c r="K62" s="524">
        <v>117700</v>
      </c>
      <c r="L62" s="524"/>
      <c r="M62" s="524"/>
      <c r="N62" s="524">
        <v>117700</v>
      </c>
      <c r="O62" s="527" t="s">
        <v>23</v>
      </c>
      <c r="P62" s="548"/>
      <c r="Q62" s="527" t="s">
        <v>3449</v>
      </c>
      <c r="R62" s="523"/>
      <c r="S62" s="534"/>
      <c r="T62" s="523"/>
      <c r="U62" s="524"/>
      <c r="V62" s="524"/>
      <c r="W62" s="524"/>
      <c r="X62" s="29"/>
    </row>
    <row r="63" spans="1:24" s="20" customFormat="1">
      <c r="A63" s="530">
        <v>44284</v>
      </c>
      <c r="B63" s="527" t="s">
        <v>23</v>
      </c>
      <c r="C63" s="581" t="s">
        <v>3445</v>
      </c>
      <c r="D63" s="547" t="s">
        <v>3446</v>
      </c>
      <c r="E63" s="582" t="s">
        <v>80</v>
      </c>
      <c r="F63" s="582" t="s">
        <v>3459</v>
      </c>
      <c r="G63" s="531">
        <v>2</v>
      </c>
      <c r="H63" s="505">
        <v>133000</v>
      </c>
      <c r="I63" s="524">
        <v>266000</v>
      </c>
      <c r="J63" s="524">
        <v>119700</v>
      </c>
      <c r="K63" s="524">
        <v>146300</v>
      </c>
      <c r="L63" s="524"/>
      <c r="M63" s="633"/>
      <c r="N63" s="524">
        <v>146300</v>
      </c>
      <c r="O63" s="527" t="s">
        <v>23</v>
      </c>
      <c r="P63" s="583"/>
      <c r="Q63" s="527" t="s">
        <v>3449</v>
      </c>
      <c r="R63" s="523"/>
      <c r="S63" s="553"/>
      <c r="T63" s="523"/>
      <c r="U63" s="524"/>
      <c r="V63" s="524"/>
      <c r="W63" s="524"/>
      <c r="X63" s="29"/>
    </row>
    <row r="64" spans="1:24" s="20" customFormat="1">
      <c r="A64" s="530">
        <v>44284</v>
      </c>
      <c r="B64" s="527" t="s">
        <v>23</v>
      </c>
      <c r="C64" s="581" t="s">
        <v>3445</v>
      </c>
      <c r="D64" s="547" t="s">
        <v>3446</v>
      </c>
      <c r="E64" s="582" t="s">
        <v>3432</v>
      </c>
      <c r="F64" s="582" t="s">
        <v>3433</v>
      </c>
      <c r="G64" s="531">
        <v>2</v>
      </c>
      <c r="H64" s="505">
        <v>131000</v>
      </c>
      <c r="I64" s="524">
        <v>262000</v>
      </c>
      <c r="J64" s="524">
        <v>117900</v>
      </c>
      <c r="K64" s="524">
        <v>144100</v>
      </c>
      <c r="L64" s="524"/>
      <c r="M64" s="524"/>
      <c r="N64" s="524">
        <v>144100</v>
      </c>
      <c r="O64" s="527" t="s">
        <v>23</v>
      </c>
      <c r="P64" s="634"/>
      <c r="Q64" s="527" t="s">
        <v>3449</v>
      </c>
      <c r="R64" s="523"/>
      <c r="S64" s="553"/>
      <c r="T64" s="523"/>
      <c r="U64" s="524"/>
      <c r="V64" s="524"/>
      <c r="W64" s="524"/>
      <c r="X64" s="29"/>
    </row>
    <row r="65" spans="1:24" s="20" customFormat="1" ht="16.8">
      <c r="A65" s="530">
        <v>44284</v>
      </c>
      <c r="B65" s="527" t="s">
        <v>23</v>
      </c>
      <c r="C65" s="581" t="s">
        <v>3445</v>
      </c>
      <c r="D65" s="547" t="s">
        <v>3446</v>
      </c>
      <c r="E65" s="582" t="s">
        <v>3460</v>
      </c>
      <c r="F65" s="582" t="s">
        <v>3461</v>
      </c>
      <c r="G65" s="531">
        <v>2</v>
      </c>
      <c r="H65" s="505">
        <v>102000</v>
      </c>
      <c r="I65" s="524">
        <v>204000</v>
      </c>
      <c r="J65" s="524">
        <v>91800</v>
      </c>
      <c r="K65" s="524">
        <v>112200</v>
      </c>
      <c r="L65" s="524"/>
      <c r="M65" s="524"/>
      <c r="N65" s="524">
        <v>112200</v>
      </c>
      <c r="O65" s="527" t="s">
        <v>23</v>
      </c>
      <c r="P65" s="611"/>
      <c r="Q65" s="527" t="s">
        <v>3449</v>
      </c>
      <c r="R65" s="523"/>
      <c r="S65" s="511"/>
      <c r="T65" s="523"/>
      <c r="U65" s="524"/>
      <c r="V65" s="524"/>
      <c r="W65" s="524"/>
      <c r="X65" s="29"/>
    </row>
    <row r="66" spans="1:24" s="20" customFormat="1">
      <c r="A66" s="530">
        <v>44284</v>
      </c>
      <c r="B66" s="527" t="s">
        <v>23</v>
      </c>
      <c r="C66" s="581" t="s">
        <v>3445</v>
      </c>
      <c r="D66" s="547" t="s">
        <v>3446</v>
      </c>
      <c r="E66" s="582" t="s">
        <v>3462</v>
      </c>
      <c r="F66" s="582" t="s">
        <v>3463</v>
      </c>
      <c r="G66" s="531">
        <v>2</v>
      </c>
      <c r="H66" s="505">
        <v>90000</v>
      </c>
      <c r="I66" s="524">
        <v>180000</v>
      </c>
      <c r="J66" s="524">
        <v>81000</v>
      </c>
      <c r="K66" s="524">
        <v>99000</v>
      </c>
      <c r="L66" s="524"/>
      <c r="M66" s="524"/>
      <c r="N66" s="524">
        <v>99000</v>
      </c>
      <c r="O66" s="527" t="s">
        <v>23</v>
      </c>
      <c r="P66" s="583"/>
      <c r="Q66" s="527" t="s">
        <v>3449</v>
      </c>
      <c r="R66" s="523"/>
      <c r="S66" s="524"/>
      <c r="T66" s="523"/>
      <c r="U66" s="524"/>
      <c r="V66" s="524"/>
      <c r="W66" s="524"/>
      <c r="X66" s="29"/>
    </row>
    <row r="67" spans="1:24" s="20" customFormat="1">
      <c r="A67" s="530">
        <v>44284</v>
      </c>
      <c r="B67" s="527" t="s">
        <v>23</v>
      </c>
      <c r="C67" s="581" t="s">
        <v>3445</v>
      </c>
      <c r="D67" s="547" t="s">
        <v>3446</v>
      </c>
      <c r="E67" s="582" t="s">
        <v>3464</v>
      </c>
      <c r="F67" s="582" t="s">
        <v>3465</v>
      </c>
      <c r="G67" s="531">
        <v>2</v>
      </c>
      <c r="H67" s="505">
        <v>121500</v>
      </c>
      <c r="I67" s="524">
        <v>243000</v>
      </c>
      <c r="J67" s="524">
        <v>109350</v>
      </c>
      <c r="K67" s="524">
        <v>133650</v>
      </c>
      <c r="L67" s="524"/>
      <c r="M67" s="524"/>
      <c r="N67" s="524">
        <v>133650</v>
      </c>
      <c r="O67" s="527" t="s">
        <v>23</v>
      </c>
      <c r="P67" s="583"/>
      <c r="Q67" s="527" t="s">
        <v>3449</v>
      </c>
      <c r="R67" s="523"/>
      <c r="S67" s="524"/>
      <c r="T67" s="523"/>
      <c r="U67" s="524"/>
      <c r="V67" s="524"/>
      <c r="W67" s="524"/>
      <c r="X67" s="29"/>
    </row>
    <row r="68" spans="1:24" s="20" customFormat="1">
      <c r="A68" s="530">
        <v>44284</v>
      </c>
      <c r="B68" s="527" t="s">
        <v>23</v>
      </c>
      <c r="C68" s="581" t="s">
        <v>3445</v>
      </c>
      <c r="D68" s="547" t="s">
        <v>3446</v>
      </c>
      <c r="E68" s="582" t="s">
        <v>3466</v>
      </c>
      <c r="F68" s="582" t="s">
        <v>3467</v>
      </c>
      <c r="G68" s="531">
        <v>2</v>
      </c>
      <c r="H68" s="505">
        <v>84500</v>
      </c>
      <c r="I68" s="524">
        <v>169000</v>
      </c>
      <c r="J68" s="524">
        <v>76050</v>
      </c>
      <c r="K68" s="524">
        <v>92950</v>
      </c>
      <c r="L68" s="524"/>
      <c r="M68" s="524"/>
      <c r="N68" s="524">
        <v>92950</v>
      </c>
      <c r="O68" s="527" t="s">
        <v>23</v>
      </c>
      <c r="P68" s="580"/>
      <c r="Q68" s="527" t="s">
        <v>3449</v>
      </c>
      <c r="R68" s="523"/>
      <c r="S68" s="524"/>
      <c r="T68" s="523"/>
      <c r="U68" s="524"/>
      <c r="V68" s="524"/>
      <c r="W68" s="524"/>
      <c r="X68" s="29"/>
    </row>
    <row r="69" spans="1:24" s="20" customFormat="1">
      <c r="A69" s="530">
        <v>44284</v>
      </c>
      <c r="B69" s="527" t="s">
        <v>23</v>
      </c>
      <c r="C69" s="581" t="s">
        <v>3445</v>
      </c>
      <c r="D69" s="547" t="s">
        <v>3446</v>
      </c>
      <c r="E69" s="582" t="s">
        <v>3468</v>
      </c>
      <c r="F69" s="582" t="s">
        <v>3469</v>
      </c>
      <c r="G69" s="531">
        <v>2</v>
      </c>
      <c r="H69" s="505">
        <v>107000</v>
      </c>
      <c r="I69" s="524">
        <v>214000</v>
      </c>
      <c r="J69" s="524">
        <v>96300</v>
      </c>
      <c r="K69" s="524">
        <v>117700</v>
      </c>
      <c r="L69" s="524"/>
      <c r="M69" s="524"/>
      <c r="N69" s="524">
        <v>117700</v>
      </c>
      <c r="O69" s="527" t="s">
        <v>23</v>
      </c>
      <c r="P69" s="580"/>
      <c r="Q69" s="527" t="s">
        <v>3449</v>
      </c>
      <c r="R69" s="523"/>
      <c r="S69" s="524"/>
      <c r="T69" s="523"/>
      <c r="U69" s="524"/>
      <c r="V69" s="524"/>
      <c r="W69" s="524"/>
      <c r="X69" s="29"/>
    </row>
    <row r="70" spans="1:24" s="20" customFormat="1">
      <c r="A70" s="530">
        <v>44284</v>
      </c>
      <c r="B70" s="527" t="s">
        <v>23</v>
      </c>
      <c r="C70" s="581" t="s">
        <v>3445</v>
      </c>
      <c r="D70" s="547" t="s">
        <v>3446</v>
      </c>
      <c r="E70" s="582" t="s">
        <v>3470</v>
      </c>
      <c r="F70" s="582" t="s">
        <v>3471</v>
      </c>
      <c r="G70" s="531">
        <v>2</v>
      </c>
      <c r="H70" s="505">
        <v>59000</v>
      </c>
      <c r="I70" s="524">
        <v>118000</v>
      </c>
      <c r="J70" s="524">
        <v>53100</v>
      </c>
      <c r="K70" s="524">
        <v>64900</v>
      </c>
      <c r="L70" s="524"/>
      <c r="M70" s="524"/>
      <c r="N70" s="524">
        <v>64900</v>
      </c>
      <c r="O70" s="527" t="s">
        <v>23</v>
      </c>
      <c r="P70" s="580"/>
      <c r="Q70" s="527" t="s">
        <v>3449</v>
      </c>
      <c r="R70" s="523"/>
      <c r="S70" s="524"/>
      <c r="T70" s="523"/>
      <c r="U70" s="524"/>
      <c r="V70" s="524"/>
      <c r="W70" s="524"/>
      <c r="X70" s="29"/>
    </row>
    <row r="71" spans="1:24" s="20" customFormat="1">
      <c r="A71" s="530">
        <v>44284</v>
      </c>
      <c r="B71" s="527" t="s">
        <v>23</v>
      </c>
      <c r="C71" s="581" t="s">
        <v>3445</v>
      </c>
      <c r="D71" s="547" t="s">
        <v>3446</v>
      </c>
      <c r="E71" s="582" t="s">
        <v>3472</v>
      </c>
      <c r="F71" s="582" t="s">
        <v>3473</v>
      </c>
      <c r="G71" s="531">
        <v>2</v>
      </c>
      <c r="H71" s="505">
        <v>122500</v>
      </c>
      <c r="I71" s="524">
        <v>245000</v>
      </c>
      <c r="J71" s="524">
        <v>110250</v>
      </c>
      <c r="K71" s="524">
        <v>134750</v>
      </c>
      <c r="L71" s="524"/>
      <c r="M71" s="524"/>
      <c r="N71" s="524">
        <v>134750</v>
      </c>
      <c r="O71" s="527" t="s">
        <v>23</v>
      </c>
      <c r="P71" s="523"/>
      <c r="Q71" s="527" t="s">
        <v>3449</v>
      </c>
      <c r="R71" s="523"/>
      <c r="S71" s="524"/>
      <c r="T71" s="523"/>
      <c r="U71" s="524"/>
      <c r="V71" s="524"/>
      <c r="W71" s="524"/>
      <c r="X71" s="29"/>
    </row>
    <row r="72" spans="1:24" s="20" customFormat="1">
      <c r="A72" s="530">
        <v>44284</v>
      </c>
      <c r="B72" s="527" t="s">
        <v>23</v>
      </c>
      <c r="C72" s="581" t="s">
        <v>3445</v>
      </c>
      <c r="D72" s="547" t="s">
        <v>3446</v>
      </c>
      <c r="E72" s="582" t="s">
        <v>3474</v>
      </c>
      <c r="F72" s="582" t="s">
        <v>3475</v>
      </c>
      <c r="G72" s="531">
        <v>2</v>
      </c>
      <c r="H72" s="505">
        <v>129000</v>
      </c>
      <c r="I72" s="524">
        <v>258000</v>
      </c>
      <c r="J72" s="524">
        <v>116100</v>
      </c>
      <c r="K72" s="524">
        <v>141900</v>
      </c>
      <c r="L72" s="524"/>
      <c r="M72" s="524"/>
      <c r="N72" s="524">
        <v>141900</v>
      </c>
      <c r="O72" s="527" t="s">
        <v>23</v>
      </c>
      <c r="P72" s="548"/>
      <c r="Q72" s="527" t="s">
        <v>3449</v>
      </c>
      <c r="R72" s="523"/>
      <c r="S72" s="534"/>
      <c r="T72" s="523"/>
      <c r="U72" s="524"/>
      <c r="V72" s="524"/>
      <c r="W72" s="524"/>
      <c r="X72" s="29"/>
    </row>
    <row r="73" spans="1:24" s="20" customFormat="1">
      <c r="A73" s="530">
        <v>44284</v>
      </c>
      <c r="B73" s="527" t="s">
        <v>23</v>
      </c>
      <c r="C73" s="581" t="s">
        <v>3445</v>
      </c>
      <c r="D73" s="547" t="s">
        <v>3446</v>
      </c>
      <c r="E73" s="582" t="s">
        <v>3476</v>
      </c>
      <c r="F73" s="582" t="s">
        <v>3477</v>
      </c>
      <c r="G73" s="531">
        <v>2</v>
      </c>
      <c r="H73" s="505">
        <v>100500</v>
      </c>
      <c r="I73" s="524">
        <v>201000</v>
      </c>
      <c r="J73" s="524">
        <v>90450</v>
      </c>
      <c r="K73" s="524">
        <v>110550</v>
      </c>
      <c r="L73" s="524"/>
      <c r="M73" s="524"/>
      <c r="N73" s="524">
        <v>110550</v>
      </c>
      <c r="O73" s="527" t="s">
        <v>23</v>
      </c>
      <c r="P73" s="548"/>
      <c r="Q73" s="527" t="s">
        <v>3449</v>
      </c>
      <c r="R73" s="523"/>
      <c r="S73" s="635"/>
      <c r="T73" s="523"/>
      <c r="U73" s="524"/>
      <c r="V73" s="524"/>
      <c r="W73" s="524"/>
      <c r="X73" s="29"/>
    </row>
    <row r="74" spans="1:24" s="20" customFormat="1" ht="17.25" customHeight="1">
      <c r="A74" s="530">
        <v>44284</v>
      </c>
      <c r="B74" s="527" t="s">
        <v>23</v>
      </c>
      <c r="C74" s="581" t="s">
        <v>3445</v>
      </c>
      <c r="D74" s="547" t="s">
        <v>3446</v>
      </c>
      <c r="E74" s="582" t="s">
        <v>3478</v>
      </c>
      <c r="F74" s="582" t="s">
        <v>3479</v>
      </c>
      <c r="G74" s="531">
        <v>2</v>
      </c>
      <c r="H74" s="505">
        <v>85000</v>
      </c>
      <c r="I74" s="524">
        <v>170000</v>
      </c>
      <c r="J74" s="524">
        <v>76500</v>
      </c>
      <c r="K74" s="524">
        <v>93500</v>
      </c>
      <c r="L74" s="524"/>
      <c r="M74" s="524"/>
      <c r="N74" s="524">
        <v>93500</v>
      </c>
      <c r="O74" s="527" t="s">
        <v>23</v>
      </c>
      <c r="P74" s="523"/>
      <c r="Q74" s="527" t="s">
        <v>3449</v>
      </c>
      <c r="R74" s="523"/>
      <c r="S74" s="510"/>
      <c r="T74" s="524"/>
      <c r="U74" s="524"/>
      <c r="V74" s="524"/>
      <c r="W74" s="524"/>
      <c r="X74" s="29"/>
    </row>
    <row r="75" spans="1:24" s="20" customFormat="1">
      <c r="A75" s="530">
        <v>44284</v>
      </c>
      <c r="B75" s="527" t="s">
        <v>23</v>
      </c>
      <c r="C75" s="581" t="s">
        <v>3445</v>
      </c>
      <c r="D75" s="547" t="s">
        <v>3446</v>
      </c>
      <c r="E75" s="582" t="s">
        <v>3480</v>
      </c>
      <c r="F75" s="582" t="s">
        <v>3481</v>
      </c>
      <c r="G75" s="531">
        <v>2</v>
      </c>
      <c r="H75" s="505">
        <v>133000</v>
      </c>
      <c r="I75" s="524">
        <v>266000</v>
      </c>
      <c r="J75" s="524">
        <v>119700</v>
      </c>
      <c r="K75" s="524">
        <v>146300</v>
      </c>
      <c r="L75" s="524"/>
      <c r="M75" s="524"/>
      <c r="N75" s="524">
        <v>146300</v>
      </c>
      <c r="O75" s="527" t="s">
        <v>23</v>
      </c>
      <c r="P75" s="634"/>
      <c r="Q75" s="527" t="s">
        <v>3449</v>
      </c>
      <c r="R75" s="523"/>
      <c r="S75" s="631"/>
      <c r="T75" s="524"/>
      <c r="U75" s="524"/>
      <c r="V75" s="524"/>
      <c r="W75" s="524"/>
      <c r="X75" s="29"/>
    </row>
    <row r="76" spans="1:24" s="20" customFormat="1">
      <c r="A76" s="530">
        <v>44284</v>
      </c>
      <c r="B76" s="527" t="s">
        <v>23</v>
      </c>
      <c r="C76" s="581" t="s">
        <v>3445</v>
      </c>
      <c r="D76" s="547" t="s">
        <v>3446</v>
      </c>
      <c r="E76" s="582" t="s">
        <v>335</v>
      </c>
      <c r="F76" s="582" t="s">
        <v>336</v>
      </c>
      <c r="G76" s="531">
        <v>2</v>
      </c>
      <c r="H76" s="505">
        <v>105500</v>
      </c>
      <c r="I76" s="524">
        <v>211000</v>
      </c>
      <c r="J76" s="524">
        <v>94950</v>
      </c>
      <c r="K76" s="524">
        <v>116050</v>
      </c>
      <c r="L76" s="524"/>
      <c r="M76" s="524"/>
      <c r="N76" s="524">
        <v>116050</v>
      </c>
      <c r="O76" s="527" t="s">
        <v>23</v>
      </c>
      <c r="P76" s="624"/>
      <c r="Q76" s="527" t="s">
        <v>3449</v>
      </c>
      <c r="R76" s="523"/>
      <c r="S76" s="631"/>
      <c r="T76" s="524"/>
      <c r="U76" s="524"/>
      <c r="V76" s="524"/>
      <c r="W76" s="524"/>
      <c r="X76" s="29"/>
    </row>
    <row r="77" spans="1:24" s="20" customFormat="1">
      <c r="A77" s="530">
        <v>44284</v>
      </c>
      <c r="B77" s="527" t="s">
        <v>23</v>
      </c>
      <c r="C77" s="581" t="s">
        <v>3445</v>
      </c>
      <c r="D77" s="547" t="s">
        <v>3446</v>
      </c>
      <c r="E77" s="582" t="s">
        <v>3482</v>
      </c>
      <c r="F77" s="582" t="s">
        <v>3483</v>
      </c>
      <c r="G77" s="531">
        <v>2</v>
      </c>
      <c r="H77" s="505">
        <v>196000</v>
      </c>
      <c r="I77" s="524">
        <v>392000</v>
      </c>
      <c r="J77" s="524">
        <v>176400</v>
      </c>
      <c r="K77" s="524">
        <v>215600</v>
      </c>
      <c r="L77" s="524"/>
      <c r="M77" s="524"/>
      <c r="N77" s="524">
        <v>215600</v>
      </c>
      <c r="O77" s="527" t="s">
        <v>23</v>
      </c>
      <c r="P77" s="624"/>
      <c r="Q77" s="527" t="s">
        <v>3449</v>
      </c>
      <c r="R77" s="523"/>
      <c r="S77" s="631"/>
      <c r="T77" s="524"/>
      <c r="U77" s="524"/>
      <c r="V77" s="524"/>
      <c r="W77" s="524"/>
      <c r="X77" s="29"/>
    </row>
    <row r="78" spans="1:24" s="20" customFormat="1">
      <c r="A78" s="530">
        <v>44284</v>
      </c>
      <c r="B78" s="527" t="s">
        <v>23</v>
      </c>
      <c r="C78" s="581" t="s">
        <v>3445</v>
      </c>
      <c r="D78" s="547" t="s">
        <v>3446</v>
      </c>
      <c r="E78" s="582" t="s">
        <v>3484</v>
      </c>
      <c r="F78" s="582" t="s">
        <v>3485</v>
      </c>
      <c r="G78" s="531">
        <v>2</v>
      </c>
      <c r="H78" s="505">
        <v>83000</v>
      </c>
      <c r="I78" s="524">
        <v>166000</v>
      </c>
      <c r="J78" s="524">
        <v>74700</v>
      </c>
      <c r="K78" s="524">
        <v>91300</v>
      </c>
      <c r="L78" s="524"/>
      <c r="M78" s="524"/>
      <c r="N78" s="524">
        <v>91300</v>
      </c>
      <c r="O78" s="527" t="s">
        <v>23</v>
      </c>
      <c r="P78" s="523"/>
      <c r="Q78" s="527" t="s">
        <v>3449</v>
      </c>
      <c r="R78" s="523"/>
      <c r="S78" s="524"/>
      <c r="T78" s="524"/>
      <c r="U78" s="524"/>
      <c r="V78" s="524"/>
      <c r="W78" s="524"/>
      <c r="X78" s="29"/>
    </row>
    <row r="79" spans="1:24" s="20" customFormat="1">
      <c r="A79" s="530">
        <v>44284</v>
      </c>
      <c r="B79" s="527" t="s">
        <v>23</v>
      </c>
      <c r="C79" s="581" t="s">
        <v>3445</v>
      </c>
      <c r="D79" s="547" t="s">
        <v>3446</v>
      </c>
      <c r="E79" s="582" t="s">
        <v>101</v>
      </c>
      <c r="F79" s="582" t="s">
        <v>121</v>
      </c>
      <c r="G79" s="531">
        <v>2</v>
      </c>
      <c r="H79" s="505">
        <v>91000</v>
      </c>
      <c r="I79" s="524">
        <v>182000</v>
      </c>
      <c r="J79" s="524">
        <v>81900</v>
      </c>
      <c r="K79" s="524">
        <v>100100</v>
      </c>
      <c r="L79" s="524"/>
      <c r="M79" s="524"/>
      <c r="N79" s="524">
        <v>100100</v>
      </c>
      <c r="O79" s="527" t="s">
        <v>23</v>
      </c>
      <c r="P79" s="523"/>
      <c r="Q79" s="527" t="s">
        <v>3449</v>
      </c>
      <c r="R79" s="523"/>
      <c r="S79" s="543"/>
      <c r="T79" s="524"/>
      <c r="U79" s="524"/>
      <c r="V79" s="524"/>
      <c r="W79" s="524"/>
      <c r="X79" s="29"/>
    </row>
    <row r="80" spans="1:24" s="20" customFormat="1">
      <c r="A80" s="530">
        <v>44284</v>
      </c>
      <c r="B80" s="527" t="s">
        <v>23</v>
      </c>
      <c r="C80" s="581" t="s">
        <v>3445</v>
      </c>
      <c r="D80" s="547" t="s">
        <v>3446</v>
      </c>
      <c r="E80" s="582" t="s">
        <v>3486</v>
      </c>
      <c r="F80" s="582" t="s">
        <v>3487</v>
      </c>
      <c r="G80" s="531">
        <v>2</v>
      </c>
      <c r="H80" s="505">
        <v>73000</v>
      </c>
      <c r="I80" s="524">
        <v>146000</v>
      </c>
      <c r="J80" s="524">
        <v>65700</v>
      </c>
      <c r="K80" s="524">
        <v>80300</v>
      </c>
      <c r="L80" s="524"/>
      <c r="M80" s="524"/>
      <c r="N80" s="524">
        <v>80300</v>
      </c>
      <c r="O80" s="527" t="s">
        <v>23</v>
      </c>
      <c r="P80" s="524"/>
      <c r="Q80" s="527" t="s">
        <v>3449</v>
      </c>
      <c r="R80" s="524"/>
      <c r="S80" s="524"/>
      <c r="T80" s="524"/>
      <c r="U80" s="524"/>
      <c r="V80" s="524"/>
      <c r="W80" s="524"/>
      <c r="X80" s="29"/>
    </row>
    <row r="81" spans="1:24" s="20" customFormat="1">
      <c r="A81" s="530">
        <v>44284</v>
      </c>
      <c r="B81" s="527" t="s">
        <v>23</v>
      </c>
      <c r="C81" s="581" t="s">
        <v>3445</v>
      </c>
      <c r="D81" s="547" t="s">
        <v>3446</v>
      </c>
      <c r="E81" s="582" t="s">
        <v>3488</v>
      </c>
      <c r="F81" s="582" t="s">
        <v>3489</v>
      </c>
      <c r="G81" s="531">
        <v>2</v>
      </c>
      <c r="H81" s="505">
        <v>82000</v>
      </c>
      <c r="I81" s="524">
        <v>164000</v>
      </c>
      <c r="J81" s="524">
        <v>73800</v>
      </c>
      <c r="K81" s="524">
        <v>90200</v>
      </c>
      <c r="L81" s="524"/>
      <c r="M81" s="524"/>
      <c r="N81" s="524">
        <v>90200</v>
      </c>
      <c r="O81" s="527" t="s">
        <v>23</v>
      </c>
      <c r="P81" s="524"/>
      <c r="Q81" s="527" t="s">
        <v>3449</v>
      </c>
      <c r="R81" s="524"/>
      <c r="S81" s="524"/>
      <c r="T81" s="524"/>
      <c r="U81" s="524"/>
      <c r="V81" s="524"/>
      <c r="W81" s="524"/>
      <c r="X81" s="29"/>
    </row>
    <row r="82" spans="1:24" s="20" customFormat="1">
      <c r="A82" s="530">
        <v>44284</v>
      </c>
      <c r="B82" s="527" t="s">
        <v>23</v>
      </c>
      <c r="C82" s="581" t="s">
        <v>3445</v>
      </c>
      <c r="D82" s="547" t="s">
        <v>3446</v>
      </c>
      <c r="E82" s="582" t="s">
        <v>3490</v>
      </c>
      <c r="F82" s="582" t="s">
        <v>3491</v>
      </c>
      <c r="G82" s="531">
        <v>2</v>
      </c>
      <c r="H82" s="505">
        <v>81000</v>
      </c>
      <c r="I82" s="524">
        <v>162000</v>
      </c>
      <c r="J82" s="524">
        <v>72900</v>
      </c>
      <c r="K82" s="524">
        <v>89100</v>
      </c>
      <c r="L82" s="524"/>
      <c r="M82" s="524"/>
      <c r="N82" s="524">
        <v>89100</v>
      </c>
      <c r="O82" s="527" t="s">
        <v>23</v>
      </c>
      <c r="P82" s="524"/>
      <c r="Q82" s="527" t="s">
        <v>3449</v>
      </c>
      <c r="R82" s="524"/>
      <c r="S82" s="524"/>
      <c r="T82" s="524"/>
      <c r="U82" s="524"/>
      <c r="V82" s="524"/>
      <c r="W82" s="524"/>
      <c r="X82" s="29"/>
    </row>
    <row r="83" spans="1:24" s="20" customFormat="1">
      <c r="A83" s="530">
        <v>44284</v>
      </c>
      <c r="B83" s="527" t="s">
        <v>23</v>
      </c>
      <c r="C83" s="581" t="s">
        <v>3445</v>
      </c>
      <c r="D83" s="547" t="s">
        <v>3446</v>
      </c>
      <c r="E83" s="582" t="s">
        <v>3492</v>
      </c>
      <c r="F83" s="582" t="s">
        <v>1806</v>
      </c>
      <c r="G83" s="531">
        <v>2</v>
      </c>
      <c r="H83" s="505">
        <v>107000</v>
      </c>
      <c r="I83" s="524">
        <v>214000</v>
      </c>
      <c r="J83" s="524">
        <v>96300</v>
      </c>
      <c r="K83" s="524">
        <v>117700</v>
      </c>
      <c r="L83" s="524"/>
      <c r="M83" s="524"/>
      <c r="N83" s="524">
        <v>117700</v>
      </c>
      <c r="O83" s="527" t="s">
        <v>23</v>
      </c>
      <c r="P83" s="632"/>
      <c r="Q83" s="527" t="s">
        <v>3449</v>
      </c>
      <c r="R83" s="523"/>
      <c r="S83" s="534"/>
      <c r="T83" s="524"/>
      <c r="U83" s="524"/>
      <c r="V83" s="524"/>
      <c r="W83" s="524"/>
      <c r="X83" s="29"/>
    </row>
    <row r="84" spans="1:24" s="20" customFormat="1">
      <c r="A84" s="530">
        <v>44284</v>
      </c>
      <c r="B84" s="527" t="s">
        <v>23</v>
      </c>
      <c r="C84" s="581" t="s">
        <v>3445</v>
      </c>
      <c r="D84" s="547" t="s">
        <v>3446</v>
      </c>
      <c r="E84" s="582" t="s">
        <v>3493</v>
      </c>
      <c r="F84" s="582" t="s">
        <v>3494</v>
      </c>
      <c r="G84" s="531">
        <v>2</v>
      </c>
      <c r="H84" s="505">
        <v>77000</v>
      </c>
      <c r="I84" s="524">
        <v>154000</v>
      </c>
      <c r="J84" s="524">
        <v>69300</v>
      </c>
      <c r="K84" s="524">
        <v>84700</v>
      </c>
      <c r="L84" s="524"/>
      <c r="M84" s="524"/>
      <c r="N84" s="524">
        <v>84700</v>
      </c>
      <c r="O84" s="527" t="s">
        <v>23</v>
      </c>
      <c r="P84" s="632"/>
      <c r="Q84" s="527" t="s">
        <v>3449</v>
      </c>
      <c r="R84" s="524"/>
      <c r="S84" s="534"/>
      <c r="T84" s="524"/>
      <c r="U84" s="524"/>
      <c r="V84" s="524"/>
      <c r="W84" s="524"/>
      <c r="X84" s="29"/>
    </row>
    <row r="85" spans="1:24" s="29" customFormat="1">
      <c r="A85" s="530">
        <v>44284</v>
      </c>
      <c r="B85" s="527" t="s">
        <v>23</v>
      </c>
      <c r="C85" s="581" t="s">
        <v>3445</v>
      </c>
      <c r="D85" s="547" t="s">
        <v>3446</v>
      </c>
      <c r="E85" s="582" t="s">
        <v>3495</v>
      </c>
      <c r="F85" s="582" t="s">
        <v>3496</v>
      </c>
      <c r="G85" s="531">
        <v>2</v>
      </c>
      <c r="H85" s="505">
        <v>90000</v>
      </c>
      <c r="I85" s="524">
        <v>180000</v>
      </c>
      <c r="J85" s="524">
        <v>81000</v>
      </c>
      <c r="K85" s="524">
        <v>99000</v>
      </c>
      <c r="L85" s="524"/>
      <c r="M85" s="524"/>
      <c r="N85" s="524">
        <v>99000</v>
      </c>
      <c r="O85" s="527" t="s">
        <v>23</v>
      </c>
      <c r="P85" s="509"/>
      <c r="Q85" s="527" t="s">
        <v>3449</v>
      </c>
      <c r="R85" s="524"/>
      <c r="S85" s="553"/>
      <c r="T85" s="524"/>
      <c r="U85" s="524"/>
      <c r="V85" s="524"/>
      <c r="W85" s="524"/>
    </row>
    <row r="86" spans="1:24" s="29" customFormat="1">
      <c r="A86" s="530">
        <v>44284</v>
      </c>
      <c r="B86" s="527" t="s">
        <v>23</v>
      </c>
      <c r="C86" s="581" t="s">
        <v>3445</v>
      </c>
      <c r="D86" s="547" t="s">
        <v>3446</v>
      </c>
      <c r="E86" s="582" t="s">
        <v>3497</v>
      </c>
      <c r="F86" s="582" t="s">
        <v>3498</v>
      </c>
      <c r="G86" s="531">
        <v>2</v>
      </c>
      <c r="H86" s="505">
        <v>94000</v>
      </c>
      <c r="I86" s="524">
        <v>188000</v>
      </c>
      <c r="J86" s="524">
        <v>84600</v>
      </c>
      <c r="K86" s="524">
        <v>103400</v>
      </c>
      <c r="L86" s="524"/>
      <c r="M86" s="524"/>
      <c r="N86" s="524">
        <v>103400</v>
      </c>
      <c r="O86" s="527" t="s">
        <v>23</v>
      </c>
      <c r="P86" s="548"/>
      <c r="Q86" s="527" t="s">
        <v>3449</v>
      </c>
      <c r="R86" s="524"/>
      <c r="S86" s="534"/>
      <c r="T86" s="524"/>
      <c r="U86" s="524"/>
      <c r="V86" s="524"/>
      <c r="W86" s="524"/>
    </row>
    <row r="87" spans="1:24" s="29" customFormat="1">
      <c r="A87" s="530">
        <v>44284</v>
      </c>
      <c r="B87" s="527" t="s">
        <v>23</v>
      </c>
      <c r="C87" s="581" t="s">
        <v>3445</v>
      </c>
      <c r="D87" s="547" t="s">
        <v>3446</v>
      </c>
      <c r="E87" s="582" t="s">
        <v>3499</v>
      </c>
      <c r="F87" s="582" t="s">
        <v>3500</v>
      </c>
      <c r="G87" s="531">
        <v>2</v>
      </c>
      <c r="H87" s="505">
        <v>57500</v>
      </c>
      <c r="I87" s="524">
        <v>115000</v>
      </c>
      <c r="J87" s="524">
        <v>51750</v>
      </c>
      <c r="K87" s="524">
        <v>63250</v>
      </c>
      <c r="L87" s="524"/>
      <c r="M87" s="524"/>
      <c r="N87" s="524">
        <v>63250</v>
      </c>
      <c r="O87" s="527" t="s">
        <v>23</v>
      </c>
      <c r="P87" s="548"/>
      <c r="Q87" s="527" t="s">
        <v>3449</v>
      </c>
      <c r="R87" s="524"/>
      <c r="S87" s="534"/>
      <c r="T87" s="524"/>
      <c r="U87" s="524"/>
      <c r="V87" s="524"/>
      <c r="W87" s="524"/>
    </row>
    <row r="88" spans="1:24" s="29" customFormat="1">
      <c r="A88" s="530">
        <v>44284</v>
      </c>
      <c r="B88" s="527" t="s">
        <v>23</v>
      </c>
      <c r="C88" s="581" t="s">
        <v>3445</v>
      </c>
      <c r="D88" s="547" t="s">
        <v>3446</v>
      </c>
      <c r="E88" s="582" t="s">
        <v>3501</v>
      </c>
      <c r="F88" s="582" t="s">
        <v>3502</v>
      </c>
      <c r="G88" s="531">
        <v>2</v>
      </c>
      <c r="H88" s="505">
        <v>80500</v>
      </c>
      <c r="I88" s="524">
        <v>161000</v>
      </c>
      <c r="J88" s="524">
        <v>72450</v>
      </c>
      <c r="K88" s="524">
        <v>88550</v>
      </c>
      <c r="L88" s="524"/>
      <c r="M88" s="524"/>
      <c r="N88" s="524">
        <v>88550</v>
      </c>
      <c r="O88" s="527" t="s">
        <v>23</v>
      </c>
      <c r="P88" s="548"/>
      <c r="Q88" s="527" t="s">
        <v>3449</v>
      </c>
      <c r="R88" s="524"/>
      <c r="S88" s="534"/>
      <c r="T88" s="524"/>
      <c r="U88" s="524"/>
      <c r="V88" s="524"/>
      <c r="W88" s="524"/>
    </row>
    <row r="89" spans="1:24" s="29" customFormat="1" ht="16.8">
      <c r="A89" s="530">
        <v>44284</v>
      </c>
      <c r="B89" s="527" t="s">
        <v>23</v>
      </c>
      <c r="C89" s="581" t="s">
        <v>3445</v>
      </c>
      <c r="D89" s="547" t="s">
        <v>3446</v>
      </c>
      <c r="E89" s="582" t="s">
        <v>3503</v>
      </c>
      <c r="F89" s="582" t="s">
        <v>3504</v>
      </c>
      <c r="G89" s="531">
        <v>2</v>
      </c>
      <c r="H89" s="505">
        <v>83000</v>
      </c>
      <c r="I89" s="524">
        <v>166000</v>
      </c>
      <c r="J89" s="524">
        <v>74700</v>
      </c>
      <c r="K89" s="524">
        <v>91300</v>
      </c>
      <c r="L89" s="524"/>
      <c r="M89" s="524"/>
      <c r="N89" s="524">
        <v>91300</v>
      </c>
      <c r="O89" s="527" t="s">
        <v>23</v>
      </c>
      <c r="P89" s="611"/>
      <c r="Q89" s="527" t="s">
        <v>3449</v>
      </c>
      <c r="R89" s="524"/>
      <c r="S89" s="511"/>
      <c r="T89" s="524"/>
      <c r="U89" s="524"/>
      <c r="V89" s="524"/>
      <c r="W89" s="524"/>
    </row>
    <row r="90" spans="1:24" s="29" customFormat="1">
      <c r="A90" s="530">
        <v>44284</v>
      </c>
      <c r="B90" s="527" t="s">
        <v>23</v>
      </c>
      <c r="C90" s="581" t="s">
        <v>3445</v>
      </c>
      <c r="D90" s="547" t="s">
        <v>3446</v>
      </c>
      <c r="E90" s="582" t="s">
        <v>3505</v>
      </c>
      <c r="F90" s="582" t="s">
        <v>3506</v>
      </c>
      <c r="G90" s="531">
        <v>2</v>
      </c>
      <c r="H90" s="505">
        <v>129000</v>
      </c>
      <c r="I90" s="524">
        <v>258000</v>
      </c>
      <c r="J90" s="524">
        <v>116100</v>
      </c>
      <c r="K90" s="524">
        <v>141900</v>
      </c>
      <c r="L90" s="524"/>
      <c r="M90" s="524"/>
      <c r="N90" s="524">
        <v>141900</v>
      </c>
      <c r="O90" s="527" t="s">
        <v>23</v>
      </c>
      <c r="P90" s="584"/>
      <c r="Q90" s="527" t="s">
        <v>3449</v>
      </c>
      <c r="R90" s="524"/>
      <c r="S90" s="584"/>
      <c r="T90" s="524"/>
      <c r="U90" s="524"/>
      <c r="V90" s="524"/>
      <c r="W90" s="524"/>
    </row>
    <row r="91" spans="1:24" s="29" customFormat="1">
      <c r="A91" s="530">
        <v>44284</v>
      </c>
      <c r="B91" s="527" t="s">
        <v>23</v>
      </c>
      <c r="C91" s="581" t="s">
        <v>3445</v>
      </c>
      <c r="D91" s="547" t="s">
        <v>3446</v>
      </c>
      <c r="E91" s="582" t="s">
        <v>3507</v>
      </c>
      <c r="F91" s="582" t="s">
        <v>3508</v>
      </c>
      <c r="G91" s="531">
        <v>2</v>
      </c>
      <c r="H91" s="505">
        <v>94000</v>
      </c>
      <c r="I91" s="524">
        <v>188000</v>
      </c>
      <c r="J91" s="524">
        <v>84600</v>
      </c>
      <c r="K91" s="524">
        <v>103400</v>
      </c>
      <c r="L91" s="524"/>
      <c r="M91" s="524"/>
      <c r="N91" s="524">
        <v>103400</v>
      </c>
      <c r="O91" s="527" t="s">
        <v>23</v>
      </c>
      <c r="P91" s="548"/>
      <c r="Q91" s="527" t="s">
        <v>3449</v>
      </c>
      <c r="R91" s="524"/>
      <c r="S91" s="534"/>
      <c r="T91" s="524"/>
      <c r="U91" s="524"/>
      <c r="V91" s="524"/>
      <c r="W91" s="524"/>
    </row>
    <row r="92" spans="1:24" s="29" customFormat="1">
      <c r="A92" s="530">
        <v>44284</v>
      </c>
      <c r="B92" s="527" t="s">
        <v>23</v>
      </c>
      <c r="C92" s="581" t="s">
        <v>3445</v>
      </c>
      <c r="D92" s="547" t="s">
        <v>3446</v>
      </c>
      <c r="E92" s="582" t="s">
        <v>3509</v>
      </c>
      <c r="F92" s="582" t="s">
        <v>3510</v>
      </c>
      <c r="G92" s="531">
        <v>2</v>
      </c>
      <c r="H92" s="505">
        <v>73500</v>
      </c>
      <c r="I92" s="524">
        <v>147000</v>
      </c>
      <c r="J92" s="524">
        <v>66150</v>
      </c>
      <c r="K92" s="524">
        <v>80850</v>
      </c>
      <c r="L92" s="524"/>
      <c r="M92" s="524"/>
      <c r="N92" s="524">
        <v>80850</v>
      </c>
      <c r="O92" s="527" t="s">
        <v>23</v>
      </c>
      <c r="P92" s="585"/>
      <c r="Q92" s="527" t="s">
        <v>3449</v>
      </c>
      <c r="R92" s="524"/>
      <c r="S92" s="524"/>
      <c r="T92" s="524"/>
      <c r="U92" s="524"/>
      <c r="V92" s="524"/>
      <c r="W92" s="524"/>
    </row>
    <row r="93" spans="1:24" s="29" customFormat="1">
      <c r="A93" s="530">
        <v>44284</v>
      </c>
      <c r="B93" s="527" t="s">
        <v>23</v>
      </c>
      <c r="C93" s="581" t="s">
        <v>3445</v>
      </c>
      <c r="D93" s="547" t="s">
        <v>3446</v>
      </c>
      <c r="E93" s="582" t="s">
        <v>3511</v>
      </c>
      <c r="F93" s="582" t="s">
        <v>3512</v>
      </c>
      <c r="G93" s="531">
        <v>2</v>
      </c>
      <c r="H93" s="505">
        <v>209000</v>
      </c>
      <c r="I93" s="524">
        <v>418000</v>
      </c>
      <c r="J93" s="524">
        <v>188100</v>
      </c>
      <c r="K93" s="524">
        <v>229900</v>
      </c>
      <c r="L93" s="524"/>
      <c r="M93" s="524"/>
      <c r="N93" s="524">
        <v>229900</v>
      </c>
      <c r="O93" s="527" t="s">
        <v>23</v>
      </c>
      <c r="P93" s="548"/>
      <c r="Q93" s="527" t="s">
        <v>3449</v>
      </c>
      <c r="R93" s="524"/>
      <c r="S93" s="534"/>
      <c r="T93" s="524"/>
      <c r="U93" s="524"/>
      <c r="V93" s="524"/>
      <c r="W93" s="524"/>
    </row>
    <row r="94" spans="1:24" s="29" customFormat="1">
      <c r="A94" s="530">
        <v>44284</v>
      </c>
      <c r="B94" s="527" t="s">
        <v>23</v>
      </c>
      <c r="C94" s="581" t="s">
        <v>3445</v>
      </c>
      <c r="D94" s="547" t="s">
        <v>3446</v>
      </c>
      <c r="E94" s="582" t="s">
        <v>3216</v>
      </c>
      <c r="F94" s="582" t="s">
        <v>3217</v>
      </c>
      <c r="G94" s="531">
        <v>2</v>
      </c>
      <c r="H94" s="505">
        <v>100500</v>
      </c>
      <c r="I94" s="524">
        <v>201000</v>
      </c>
      <c r="J94" s="524">
        <v>90450</v>
      </c>
      <c r="K94" s="524">
        <v>110550</v>
      </c>
      <c r="L94" s="524"/>
      <c r="M94" s="524"/>
      <c r="N94" s="524">
        <v>110550</v>
      </c>
      <c r="O94" s="527" t="s">
        <v>23</v>
      </c>
      <c r="P94" s="548"/>
      <c r="Q94" s="527" t="s">
        <v>3449</v>
      </c>
      <c r="R94" s="524"/>
      <c r="S94" s="534"/>
      <c r="T94" s="524"/>
      <c r="U94" s="524"/>
      <c r="V94" s="524"/>
      <c r="W94" s="524"/>
    </row>
    <row r="95" spans="1:24" s="29" customFormat="1">
      <c r="A95" s="530">
        <v>44284</v>
      </c>
      <c r="B95" s="527" t="s">
        <v>23</v>
      </c>
      <c r="C95" s="581" t="s">
        <v>3445</v>
      </c>
      <c r="D95" s="547" t="s">
        <v>3446</v>
      </c>
      <c r="E95" s="582" t="s">
        <v>1175</v>
      </c>
      <c r="F95" s="582" t="s">
        <v>1176</v>
      </c>
      <c r="G95" s="531">
        <v>2</v>
      </c>
      <c r="H95" s="505">
        <v>100500</v>
      </c>
      <c r="I95" s="524">
        <v>201000</v>
      </c>
      <c r="J95" s="524">
        <v>90450</v>
      </c>
      <c r="K95" s="524">
        <v>110550</v>
      </c>
      <c r="L95" s="524"/>
      <c r="M95" s="524"/>
      <c r="N95" s="524">
        <v>110550</v>
      </c>
      <c r="O95" s="527" t="s">
        <v>23</v>
      </c>
      <c r="P95" s="548"/>
      <c r="Q95" s="527" t="s">
        <v>3449</v>
      </c>
      <c r="R95" s="524"/>
      <c r="S95" s="584"/>
      <c r="T95" s="524"/>
      <c r="U95" s="524"/>
      <c r="V95" s="524"/>
      <c r="W95" s="524"/>
    </row>
    <row r="96" spans="1:24" s="20" customFormat="1">
      <c r="A96" s="530">
        <v>44284</v>
      </c>
      <c r="B96" s="527" t="s">
        <v>23</v>
      </c>
      <c r="C96" s="581" t="s">
        <v>3445</v>
      </c>
      <c r="D96" s="547" t="s">
        <v>3446</v>
      </c>
      <c r="E96" s="582" t="s">
        <v>3513</v>
      </c>
      <c r="F96" s="582" t="s">
        <v>3514</v>
      </c>
      <c r="G96" s="531">
        <v>2</v>
      </c>
      <c r="H96" s="505">
        <v>70000</v>
      </c>
      <c r="I96" s="524">
        <v>140000</v>
      </c>
      <c r="J96" s="524">
        <v>63000</v>
      </c>
      <c r="K96" s="524">
        <v>77000</v>
      </c>
      <c r="L96" s="524"/>
      <c r="M96" s="524"/>
      <c r="N96" s="524">
        <v>77000</v>
      </c>
      <c r="O96" s="527" t="s">
        <v>23</v>
      </c>
      <c r="P96" s="548"/>
      <c r="Q96" s="527" t="s">
        <v>3449</v>
      </c>
      <c r="R96" s="524"/>
      <c r="S96" s="534"/>
      <c r="T96" s="524"/>
      <c r="U96" s="524"/>
      <c r="V96" s="524"/>
      <c r="W96" s="524"/>
      <c r="X96" s="29"/>
    </row>
    <row r="97" spans="1:24" s="20" customFormat="1">
      <c r="A97" s="530">
        <v>44284</v>
      </c>
      <c r="B97" s="527" t="s">
        <v>23</v>
      </c>
      <c r="C97" s="581" t="s">
        <v>3445</v>
      </c>
      <c r="D97" s="547" t="s">
        <v>3446</v>
      </c>
      <c r="E97" s="582" t="s">
        <v>3515</v>
      </c>
      <c r="F97" s="582" t="s">
        <v>3516</v>
      </c>
      <c r="G97" s="531">
        <v>2</v>
      </c>
      <c r="H97" s="505">
        <v>90000</v>
      </c>
      <c r="I97" s="524">
        <v>180000</v>
      </c>
      <c r="J97" s="524">
        <v>81000</v>
      </c>
      <c r="K97" s="524">
        <v>99000</v>
      </c>
      <c r="L97" s="524"/>
      <c r="M97" s="524"/>
      <c r="N97" s="524">
        <v>99000</v>
      </c>
      <c r="O97" s="527" t="s">
        <v>23</v>
      </c>
      <c r="P97" s="509"/>
      <c r="Q97" s="527" t="s">
        <v>3449</v>
      </c>
      <c r="R97" s="524"/>
      <c r="S97" s="636"/>
      <c r="T97" s="524"/>
      <c r="U97" s="524"/>
      <c r="V97" s="524"/>
      <c r="W97" s="524"/>
      <c r="X97" s="29"/>
    </row>
    <row r="98" spans="1:24" s="20" customFormat="1">
      <c r="A98" s="530">
        <v>44284</v>
      </c>
      <c r="B98" s="527" t="s">
        <v>23</v>
      </c>
      <c r="C98" s="581" t="s">
        <v>3445</v>
      </c>
      <c r="D98" s="547" t="s">
        <v>3446</v>
      </c>
      <c r="E98" s="582" t="s">
        <v>3517</v>
      </c>
      <c r="F98" s="582" t="s">
        <v>3518</v>
      </c>
      <c r="G98" s="531">
        <v>2</v>
      </c>
      <c r="H98" s="505">
        <v>185500</v>
      </c>
      <c r="I98" s="524">
        <v>371000</v>
      </c>
      <c r="J98" s="524">
        <v>166950</v>
      </c>
      <c r="K98" s="524">
        <v>204050</v>
      </c>
      <c r="L98" s="524"/>
      <c r="M98" s="524"/>
      <c r="N98" s="524">
        <v>204050</v>
      </c>
      <c r="O98" s="527" t="s">
        <v>23</v>
      </c>
      <c r="P98" s="509"/>
      <c r="Q98" s="527" t="s">
        <v>3449</v>
      </c>
      <c r="R98" s="524"/>
      <c r="S98" s="534"/>
      <c r="T98" s="524"/>
      <c r="U98" s="524"/>
      <c r="V98" s="524"/>
      <c r="W98" s="524"/>
      <c r="X98" s="29"/>
    </row>
    <row r="99" spans="1:24" s="20" customFormat="1">
      <c r="A99" s="530">
        <v>44284</v>
      </c>
      <c r="B99" s="527" t="s">
        <v>23</v>
      </c>
      <c r="C99" s="581" t="s">
        <v>3445</v>
      </c>
      <c r="D99" s="547" t="s">
        <v>3446</v>
      </c>
      <c r="E99" s="582" t="s">
        <v>1351</v>
      </c>
      <c r="F99" s="582" t="s">
        <v>1352</v>
      </c>
      <c r="G99" s="531">
        <v>2</v>
      </c>
      <c r="H99" s="505">
        <v>52000</v>
      </c>
      <c r="I99" s="524">
        <v>104000</v>
      </c>
      <c r="J99" s="524">
        <v>46800</v>
      </c>
      <c r="K99" s="524">
        <v>57200</v>
      </c>
      <c r="L99" s="524"/>
      <c r="M99" s="524"/>
      <c r="N99" s="524">
        <v>57200</v>
      </c>
      <c r="O99" s="527" t="s">
        <v>23</v>
      </c>
      <c r="P99" s="548"/>
      <c r="Q99" s="527" t="s">
        <v>3449</v>
      </c>
      <c r="R99" s="524"/>
      <c r="S99" s="534"/>
      <c r="T99" s="524"/>
      <c r="U99" s="524"/>
      <c r="V99" s="524"/>
      <c r="W99" s="524"/>
      <c r="X99" s="29"/>
    </row>
    <row r="100" spans="1:24" s="20" customFormat="1">
      <c r="A100" s="530">
        <v>44284</v>
      </c>
      <c r="B100" s="527" t="s">
        <v>23</v>
      </c>
      <c r="C100" s="581" t="s">
        <v>3445</v>
      </c>
      <c r="D100" s="547" t="s">
        <v>3446</v>
      </c>
      <c r="E100" s="582" t="s">
        <v>75</v>
      </c>
      <c r="F100" s="582" t="s">
        <v>76</v>
      </c>
      <c r="G100" s="531">
        <v>2</v>
      </c>
      <c r="H100" s="505">
        <v>118500</v>
      </c>
      <c r="I100" s="524">
        <v>237000</v>
      </c>
      <c r="J100" s="524">
        <v>106650</v>
      </c>
      <c r="K100" s="524">
        <v>130350</v>
      </c>
      <c r="L100" s="524"/>
      <c r="M100" s="524"/>
      <c r="N100" s="524">
        <v>130350</v>
      </c>
      <c r="O100" s="527" t="s">
        <v>23</v>
      </c>
      <c r="P100" s="524"/>
      <c r="Q100" s="527" t="s">
        <v>3449</v>
      </c>
      <c r="R100" s="524"/>
      <c r="S100" s="524"/>
      <c r="T100" s="524"/>
      <c r="U100" s="524"/>
      <c r="V100" s="524"/>
      <c r="W100" s="524"/>
      <c r="X100" s="29"/>
    </row>
    <row r="101" spans="1:24" s="20" customFormat="1">
      <c r="A101" s="530">
        <v>44284</v>
      </c>
      <c r="B101" s="527" t="s">
        <v>23</v>
      </c>
      <c r="C101" s="581" t="s">
        <v>3445</v>
      </c>
      <c r="D101" s="547" t="s">
        <v>3446</v>
      </c>
      <c r="E101" s="582" t="s">
        <v>2226</v>
      </c>
      <c r="F101" s="582" t="s">
        <v>2227</v>
      </c>
      <c r="G101" s="531">
        <v>2</v>
      </c>
      <c r="H101" s="505">
        <v>34500</v>
      </c>
      <c r="I101" s="524">
        <v>69000</v>
      </c>
      <c r="J101" s="524">
        <v>31050</v>
      </c>
      <c r="K101" s="524">
        <v>37950</v>
      </c>
      <c r="L101" s="524"/>
      <c r="M101" s="524"/>
      <c r="N101" s="524">
        <v>37950</v>
      </c>
      <c r="O101" s="527" t="s">
        <v>23</v>
      </c>
      <c r="P101" s="548"/>
      <c r="Q101" s="527" t="s">
        <v>3449</v>
      </c>
      <c r="R101" s="524"/>
      <c r="S101" s="534"/>
      <c r="T101" s="524"/>
      <c r="U101" s="524"/>
      <c r="V101" s="524"/>
      <c r="W101" s="524"/>
      <c r="X101" s="29"/>
    </row>
    <row r="102" spans="1:24" s="20" customFormat="1">
      <c r="A102" s="530">
        <v>44284</v>
      </c>
      <c r="B102" s="527" t="s">
        <v>23</v>
      </c>
      <c r="C102" s="581" t="s">
        <v>3445</v>
      </c>
      <c r="D102" s="547" t="s">
        <v>3446</v>
      </c>
      <c r="E102" s="582" t="s">
        <v>2541</v>
      </c>
      <c r="F102" s="582" t="s">
        <v>2542</v>
      </c>
      <c r="G102" s="531">
        <v>2</v>
      </c>
      <c r="H102" s="505">
        <v>154000</v>
      </c>
      <c r="I102" s="524">
        <v>308000</v>
      </c>
      <c r="J102" s="524">
        <v>138600</v>
      </c>
      <c r="K102" s="524">
        <v>169400</v>
      </c>
      <c r="L102" s="524"/>
      <c r="M102" s="524"/>
      <c r="N102" s="524">
        <v>169400</v>
      </c>
      <c r="O102" s="527" t="s">
        <v>23</v>
      </c>
      <c r="P102" s="548"/>
      <c r="Q102" s="527" t="s">
        <v>3449</v>
      </c>
      <c r="R102" s="524"/>
      <c r="S102" s="534"/>
      <c r="T102" s="524"/>
      <c r="U102" s="524"/>
      <c r="V102" s="524"/>
      <c r="W102" s="524"/>
      <c r="X102" s="29"/>
    </row>
    <row r="103" spans="1:24" s="20" customFormat="1">
      <c r="A103" s="530">
        <v>44284</v>
      </c>
      <c r="B103" s="527" t="s">
        <v>23</v>
      </c>
      <c r="C103" s="581" t="s">
        <v>3445</v>
      </c>
      <c r="D103" s="547" t="s">
        <v>3446</v>
      </c>
      <c r="E103" s="582" t="s">
        <v>129</v>
      </c>
      <c r="F103" s="582" t="s">
        <v>131</v>
      </c>
      <c r="G103" s="531">
        <v>2</v>
      </c>
      <c r="H103" s="505">
        <v>208000</v>
      </c>
      <c r="I103" s="524">
        <v>416000</v>
      </c>
      <c r="J103" s="524">
        <v>187200</v>
      </c>
      <c r="K103" s="524">
        <v>228800</v>
      </c>
      <c r="L103" s="524"/>
      <c r="M103" s="524"/>
      <c r="N103" s="524">
        <v>228800</v>
      </c>
      <c r="O103" s="527" t="s">
        <v>23</v>
      </c>
      <c r="P103" s="524"/>
      <c r="Q103" s="527" t="s">
        <v>3449</v>
      </c>
      <c r="R103" s="524"/>
      <c r="S103" s="524"/>
      <c r="T103" s="524"/>
      <c r="U103" s="524"/>
      <c r="V103" s="524"/>
      <c r="W103" s="524"/>
      <c r="X103" s="29"/>
    </row>
    <row r="104" spans="1:24" s="20" customFormat="1">
      <c r="A104" s="530">
        <v>44284</v>
      </c>
      <c r="B104" s="527" t="s">
        <v>23</v>
      </c>
      <c r="C104" s="581" t="s">
        <v>3445</v>
      </c>
      <c r="D104" s="547" t="s">
        <v>3446</v>
      </c>
      <c r="E104" s="582" t="s">
        <v>3519</v>
      </c>
      <c r="F104" s="582" t="s">
        <v>3520</v>
      </c>
      <c r="G104" s="531">
        <v>2</v>
      </c>
      <c r="H104" s="505">
        <v>244000</v>
      </c>
      <c r="I104" s="524">
        <v>488000</v>
      </c>
      <c r="J104" s="524">
        <v>219600</v>
      </c>
      <c r="K104" s="524">
        <v>268400</v>
      </c>
      <c r="L104" s="524"/>
      <c r="M104" s="524"/>
      <c r="N104" s="524">
        <v>268400</v>
      </c>
      <c r="O104" s="527" t="s">
        <v>23</v>
      </c>
      <c r="P104" s="524"/>
      <c r="Q104" s="527" t="s">
        <v>3449</v>
      </c>
      <c r="R104" s="524"/>
      <c r="S104" s="524"/>
      <c r="T104" s="524"/>
      <c r="U104" s="524"/>
      <c r="V104" s="524"/>
      <c r="W104" s="524"/>
      <c r="X104" s="29"/>
    </row>
    <row r="105" spans="1:24" s="20" customFormat="1" ht="15.6">
      <c r="A105" s="530">
        <v>44285</v>
      </c>
      <c r="B105" s="533" t="s">
        <v>206</v>
      </c>
      <c r="C105" s="538" t="s">
        <v>3521</v>
      </c>
      <c r="D105" s="547" t="s">
        <v>3522</v>
      </c>
      <c r="E105" s="586" t="s">
        <v>339</v>
      </c>
      <c r="F105" s="586" t="s">
        <v>340</v>
      </c>
      <c r="G105" s="531">
        <v>1</v>
      </c>
      <c r="H105" s="524">
        <v>62500</v>
      </c>
      <c r="I105" s="524">
        <v>62500</v>
      </c>
      <c r="J105" s="524"/>
      <c r="K105" s="506">
        <v>62500</v>
      </c>
      <c r="L105" s="524">
        <v>41300</v>
      </c>
      <c r="M105" s="523"/>
      <c r="N105" s="524">
        <v>103800</v>
      </c>
      <c r="O105" s="533" t="s">
        <v>206</v>
      </c>
      <c r="P105" s="548"/>
      <c r="Q105" s="533" t="s">
        <v>176</v>
      </c>
      <c r="R105" s="524"/>
      <c r="S105" s="534"/>
      <c r="T105" s="524"/>
      <c r="U105" s="524"/>
      <c r="V105" s="524"/>
      <c r="W105" s="524"/>
      <c r="X105" s="29"/>
    </row>
    <row r="106" spans="1:24" s="20" customFormat="1" ht="15.6">
      <c r="A106" s="530">
        <v>44285</v>
      </c>
      <c r="B106" s="533" t="s">
        <v>206</v>
      </c>
      <c r="C106" s="538" t="s">
        <v>3521</v>
      </c>
      <c r="D106" s="547" t="s">
        <v>3522</v>
      </c>
      <c r="E106" s="587" t="s">
        <v>3523</v>
      </c>
      <c r="F106" s="586" t="s">
        <v>3524</v>
      </c>
      <c r="G106" s="531">
        <v>1</v>
      </c>
      <c r="H106" s="524">
        <v>69500</v>
      </c>
      <c r="I106" s="524">
        <v>69500</v>
      </c>
      <c r="J106" s="524"/>
      <c r="K106" s="506">
        <v>69500</v>
      </c>
      <c r="L106" s="524"/>
      <c r="M106" s="524"/>
      <c r="N106" s="524">
        <v>69500</v>
      </c>
      <c r="O106" s="533" t="s">
        <v>206</v>
      </c>
      <c r="P106" s="548"/>
      <c r="Q106" s="533" t="s">
        <v>176</v>
      </c>
      <c r="R106" s="524"/>
      <c r="S106" s="511"/>
      <c r="T106" s="524"/>
      <c r="U106" s="524"/>
      <c r="V106" s="524"/>
      <c r="W106" s="524"/>
      <c r="X106" s="29"/>
    </row>
    <row r="107" spans="1:24" s="20" customFormat="1" ht="15.6">
      <c r="A107" s="530">
        <v>44285</v>
      </c>
      <c r="B107" s="533" t="s">
        <v>206</v>
      </c>
      <c r="C107" s="538" t="s">
        <v>3521</v>
      </c>
      <c r="D107" s="547" t="s">
        <v>3522</v>
      </c>
      <c r="E107" s="586" t="s">
        <v>3525</v>
      </c>
      <c r="F107" s="586" t="s">
        <v>3526</v>
      </c>
      <c r="G107" s="531">
        <v>1</v>
      </c>
      <c r="H107" s="524">
        <v>90000</v>
      </c>
      <c r="I107" s="524">
        <v>90000</v>
      </c>
      <c r="J107" s="524"/>
      <c r="K107" s="506">
        <v>90000</v>
      </c>
      <c r="L107" s="524"/>
      <c r="M107" s="524"/>
      <c r="N107" s="524">
        <v>90000</v>
      </c>
      <c r="O107" s="533" t="s">
        <v>206</v>
      </c>
      <c r="P107" s="548"/>
      <c r="Q107" s="533" t="s">
        <v>176</v>
      </c>
      <c r="R107" s="524"/>
      <c r="S107" s="534"/>
      <c r="T107" s="524"/>
      <c r="U107" s="524"/>
      <c r="V107" s="524"/>
      <c r="W107" s="524"/>
      <c r="X107" s="29"/>
    </row>
    <row r="108" spans="1:24" s="20" customFormat="1" ht="15.6">
      <c r="A108" s="530">
        <v>44285</v>
      </c>
      <c r="B108" s="533" t="s">
        <v>206</v>
      </c>
      <c r="C108" s="538" t="s">
        <v>3521</v>
      </c>
      <c r="D108" s="547" t="s">
        <v>3522</v>
      </c>
      <c r="E108" s="586" t="s">
        <v>3527</v>
      </c>
      <c r="F108" s="586" t="s">
        <v>3528</v>
      </c>
      <c r="G108" s="531">
        <v>1</v>
      </c>
      <c r="H108" s="524">
        <v>585000</v>
      </c>
      <c r="I108" s="524">
        <v>585000</v>
      </c>
      <c r="J108" s="524"/>
      <c r="K108" s="506">
        <v>585000</v>
      </c>
      <c r="L108" s="524"/>
      <c r="M108" s="524"/>
      <c r="N108" s="524">
        <v>585000</v>
      </c>
      <c r="O108" s="533" t="s">
        <v>206</v>
      </c>
      <c r="P108" s="548"/>
      <c r="Q108" s="533" t="s">
        <v>176</v>
      </c>
      <c r="R108" s="524"/>
      <c r="S108" s="534"/>
      <c r="T108" s="524"/>
      <c r="U108" s="524"/>
      <c r="V108" s="524"/>
      <c r="W108" s="524"/>
      <c r="X108" s="29"/>
    </row>
    <row r="109" spans="1:24" s="20" customFormat="1">
      <c r="A109" s="530">
        <v>44285</v>
      </c>
      <c r="B109" s="533" t="s">
        <v>170</v>
      </c>
      <c r="C109" s="538" t="s">
        <v>3529</v>
      </c>
      <c r="D109" s="547" t="s">
        <v>3404</v>
      </c>
      <c r="E109" s="588" t="s">
        <v>498</v>
      </c>
      <c r="F109" s="588" t="s">
        <v>499</v>
      </c>
      <c r="G109" s="531">
        <v>1</v>
      </c>
      <c r="H109" s="524">
        <v>89000</v>
      </c>
      <c r="I109" s="524">
        <v>89000</v>
      </c>
      <c r="J109" s="523"/>
      <c r="K109" s="506">
        <v>89000</v>
      </c>
      <c r="L109" s="524">
        <v>0</v>
      </c>
      <c r="M109" s="524">
        <v>-715</v>
      </c>
      <c r="N109" s="524">
        <v>88285</v>
      </c>
      <c r="O109" s="533" t="s">
        <v>170</v>
      </c>
      <c r="P109" s="548"/>
      <c r="Q109" s="533" t="s">
        <v>478</v>
      </c>
      <c r="R109" s="524"/>
      <c r="S109" s="534"/>
      <c r="T109" s="524"/>
      <c r="U109" s="524"/>
      <c r="V109" s="524"/>
      <c r="W109" s="524"/>
      <c r="X109" s="29"/>
    </row>
    <row r="110" spans="1:24" s="20" customFormat="1" ht="15.6">
      <c r="A110" s="530">
        <v>44285</v>
      </c>
      <c r="B110" s="533" t="s">
        <v>170</v>
      </c>
      <c r="C110" s="538" t="s">
        <v>3529</v>
      </c>
      <c r="D110" s="547" t="s">
        <v>3425</v>
      </c>
      <c r="E110" s="589" t="s">
        <v>1208</v>
      </c>
      <c r="F110" s="590" t="s">
        <v>1209</v>
      </c>
      <c r="G110" s="531">
        <v>1</v>
      </c>
      <c r="H110" s="524">
        <v>54000</v>
      </c>
      <c r="I110" s="524">
        <v>54000</v>
      </c>
      <c r="J110" s="523"/>
      <c r="K110" s="506">
        <v>54000</v>
      </c>
      <c r="L110" s="524"/>
      <c r="M110" s="524"/>
      <c r="N110" s="524">
        <v>54000</v>
      </c>
      <c r="O110" s="533" t="s">
        <v>170</v>
      </c>
      <c r="P110" s="548"/>
      <c r="Q110" s="533" t="s">
        <v>478</v>
      </c>
      <c r="R110" s="524"/>
      <c r="S110" s="553"/>
      <c r="T110" s="524"/>
      <c r="U110" s="524"/>
      <c r="V110" s="524"/>
      <c r="W110" s="524"/>
      <c r="X110" s="29"/>
    </row>
    <row r="111" spans="1:24" s="20" customFormat="1" ht="15.6">
      <c r="A111" s="530">
        <v>44285</v>
      </c>
      <c r="B111" s="533" t="s">
        <v>43</v>
      </c>
      <c r="C111" s="533" t="s">
        <v>3530</v>
      </c>
      <c r="D111" s="547" t="s">
        <v>3531</v>
      </c>
      <c r="E111" s="539" t="s">
        <v>3532</v>
      </c>
      <c r="F111" s="539" t="s">
        <v>3533</v>
      </c>
      <c r="G111" s="531">
        <v>1</v>
      </c>
      <c r="H111" s="524">
        <v>114000</v>
      </c>
      <c r="I111" s="524">
        <v>114000</v>
      </c>
      <c r="J111" s="523"/>
      <c r="K111" s="506">
        <v>114000</v>
      </c>
      <c r="L111" s="524">
        <v>-4936</v>
      </c>
      <c r="M111" s="524"/>
      <c r="N111" s="524">
        <v>109064</v>
      </c>
      <c r="O111" s="533" t="s">
        <v>43</v>
      </c>
      <c r="P111" s="632"/>
      <c r="Q111" s="533" t="s">
        <v>54</v>
      </c>
      <c r="R111" s="524"/>
      <c r="S111" s="510"/>
      <c r="T111" s="524"/>
      <c r="U111" s="524"/>
      <c r="V111" s="524"/>
      <c r="W111" s="524"/>
      <c r="X111" s="29"/>
    </row>
    <row r="112" spans="1:24" s="20" customFormat="1" ht="15.6">
      <c r="A112" s="530">
        <v>44285</v>
      </c>
      <c r="B112" s="533" t="s">
        <v>313</v>
      </c>
      <c r="C112" s="533" t="s">
        <v>3534</v>
      </c>
      <c r="D112" s="547" t="s">
        <v>3535</v>
      </c>
      <c r="E112" s="591" t="s">
        <v>3536</v>
      </c>
      <c r="F112" s="539" t="s">
        <v>3537</v>
      </c>
      <c r="G112" s="552">
        <v>1</v>
      </c>
      <c r="H112" s="524">
        <v>81000</v>
      </c>
      <c r="I112" s="524">
        <v>81000</v>
      </c>
      <c r="J112" s="523"/>
      <c r="K112" s="506">
        <v>81000</v>
      </c>
      <c r="L112" s="524">
        <v>6087</v>
      </c>
      <c r="M112" s="524"/>
      <c r="N112" s="524">
        <v>87087</v>
      </c>
      <c r="O112" s="533" t="s">
        <v>313</v>
      </c>
      <c r="P112" s="509"/>
      <c r="Q112" s="533" t="s">
        <v>28</v>
      </c>
      <c r="R112" s="524"/>
      <c r="S112" s="553"/>
      <c r="T112" s="524"/>
      <c r="U112" s="524"/>
      <c r="V112" s="524"/>
      <c r="W112" s="524"/>
      <c r="X112" s="29"/>
    </row>
    <row r="113" spans="1:24" s="20" customFormat="1" ht="15.6">
      <c r="A113" s="530">
        <v>44285</v>
      </c>
      <c r="B113" s="533" t="s">
        <v>23</v>
      </c>
      <c r="C113" s="533" t="s">
        <v>3538</v>
      </c>
      <c r="D113" s="547" t="s">
        <v>3539</v>
      </c>
      <c r="E113" s="592" t="s">
        <v>3540</v>
      </c>
      <c r="F113" s="593" t="s">
        <v>3541</v>
      </c>
      <c r="G113" s="552">
        <v>1</v>
      </c>
      <c r="H113" s="524">
        <v>80000</v>
      </c>
      <c r="I113" s="524">
        <v>80000</v>
      </c>
      <c r="J113" s="523">
        <v>16000</v>
      </c>
      <c r="K113" s="506">
        <v>64000</v>
      </c>
      <c r="L113" s="523">
        <v>20000</v>
      </c>
      <c r="M113" s="524"/>
      <c r="N113" s="524">
        <v>84000</v>
      </c>
      <c r="O113" s="533" t="s">
        <v>23</v>
      </c>
      <c r="P113" s="548"/>
      <c r="Q113" s="533" t="s">
        <v>54</v>
      </c>
      <c r="R113" s="524"/>
      <c r="S113" s="534"/>
      <c r="T113" s="524"/>
      <c r="U113" s="524"/>
      <c r="V113" s="524"/>
      <c r="W113" s="524"/>
      <c r="X113" s="29"/>
    </row>
    <row r="114" spans="1:24" s="20" customFormat="1" ht="15.6">
      <c r="A114" s="530">
        <v>44286</v>
      </c>
      <c r="B114" s="533" t="s">
        <v>177</v>
      </c>
      <c r="C114" s="533" t="s">
        <v>3542</v>
      </c>
      <c r="D114" s="547" t="s">
        <v>3543</v>
      </c>
      <c r="E114" s="591" t="s">
        <v>3544</v>
      </c>
      <c r="F114" s="591" t="s">
        <v>3545</v>
      </c>
      <c r="G114" s="531">
        <v>1</v>
      </c>
      <c r="H114" s="524">
        <v>130000</v>
      </c>
      <c r="I114" s="524">
        <v>130000</v>
      </c>
      <c r="J114" s="523"/>
      <c r="K114" s="506">
        <v>130000</v>
      </c>
      <c r="L114" s="523">
        <v>9000</v>
      </c>
      <c r="M114" s="524"/>
      <c r="N114" s="524">
        <v>139000</v>
      </c>
      <c r="O114" s="533" t="s">
        <v>177</v>
      </c>
      <c r="P114" s="548"/>
      <c r="Q114" s="533" t="s">
        <v>54</v>
      </c>
      <c r="R114" s="524"/>
      <c r="S114" s="518"/>
      <c r="T114" s="524"/>
      <c r="U114" s="524"/>
      <c r="V114" s="524"/>
      <c r="W114" s="524"/>
      <c r="X114" s="29"/>
    </row>
    <row r="115" spans="1:24" s="20" customFormat="1" ht="15.6">
      <c r="A115" s="530">
        <v>44286</v>
      </c>
      <c r="B115" s="533" t="s">
        <v>23</v>
      </c>
      <c r="C115" s="593" t="s">
        <v>3292</v>
      </c>
      <c r="D115" s="547" t="s">
        <v>3546</v>
      </c>
      <c r="E115" s="594" t="s">
        <v>3291</v>
      </c>
      <c r="F115" s="594" t="s">
        <v>3292</v>
      </c>
      <c r="G115" s="531">
        <v>4</v>
      </c>
      <c r="H115" s="524">
        <v>126500</v>
      </c>
      <c r="I115" s="524">
        <v>506000</v>
      </c>
      <c r="J115" s="523">
        <v>101200</v>
      </c>
      <c r="K115" s="506">
        <v>404800</v>
      </c>
      <c r="L115" s="523">
        <v>90000</v>
      </c>
      <c r="M115" s="523"/>
      <c r="N115" s="524">
        <v>494800</v>
      </c>
      <c r="O115" s="533" t="s">
        <v>23</v>
      </c>
      <c r="P115" s="548"/>
      <c r="Q115" s="533" t="s">
        <v>40</v>
      </c>
      <c r="R115" s="524"/>
      <c r="S115" s="534"/>
      <c r="T115" s="524"/>
      <c r="U115" s="524"/>
      <c r="V115" s="524"/>
      <c r="W115" s="524"/>
      <c r="X115" s="29"/>
    </row>
    <row r="116" spans="1:24" s="20" customFormat="1" ht="15.6">
      <c r="A116" s="530">
        <v>44286</v>
      </c>
      <c r="B116" s="533" t="s">
        <v>43</v>
      </c>
      <c r="C116" s="538" t="s">
        <v>3547</v>
      </c>
      <c r="D116" s="547" t="s">
        <v>3548</v>
      </c>
      <c r="E116" s="539" t="s">
        <v>247</v>
      </c>
      <c r="F116" s="539" t="s">
        <v>248</v>
      </c>
      <c r="G116" s="552">
        <v>1</v>
      </c>
      <c r="H116" s="595">
        <v>68000</v>
      </c>
      <c r="I116" s="524">
        <v>68000</v>
      </c>
      <c r="J116" s="523"/>
      <c r="K116" s="506">
        <v>68000</v>
      </c>
      <c r="L116" s="523"/>
      <c r="M116" s="523">
        <v>-3808</v>
      </c>
      <c r="N116" s="524">
        <v>64192</v>
      </c>
      <c r="O116" s="533" t="s">
        <v>43</v>
      </c>
      <c r="P116" s="547"/>
      <c r="Q116" s="533" t="s">
        <v>54</v>
      </c>
      <c r="R116" s="524"/>
      <c r="S116" s="534"/>
      <c r="T116" s="524"/>
      <c r="U116" s="524"/>
      <c r="V116" s="524"/>
      <c r="W116" s="524"/>
      <c r="X116" s="29"/>
    </row>
    <row r="117" spans="1:24" s="20" customFormat="1" ht="15.6">
      <c r="A117" s="530">
        <v>44286</v>
      </c>
      <c r="B117" s="549" t="s">
        <v>43</v>
      </c>
      <c r="C117" s="538" t="s">
        <v>3549</v>
      </c>
      <c r="D117" s="547" t="s">
        <v>3550</v>
      </c>
      <c r="E117" s="591" t="s">
        <v>339</v>
      </c>
      <c r="F117" s="539" t="s">
        <v>340</v>
      </c>
      <c r="G117" s="552">
        <v>1</v>
      </c>
      <c r="H117" s="580">
        <v>58500</v>
      </c>
      <c r="I117" s="524">
        <v>58500</v>
      </c>
      <c r="J117" s="523"/>
      <c r="K117" s="506">
        <v>58500</v>
      </c>
      <c r="L117" s="523"/>
      <c r="M117" s="523">
        <v>-3278</v>
      </c>
      <c r="N117" s="524">
        <v>55222</v>
      </c>
      <c r="O117" s="549" t="s">
        <v>43</v>
      </c>
      <c r="P117" s="548"/>
      <c r="Q117" s="533" t="s">
        <v>40</v>
      </c>
      <c r="R117" s="524"/>
      <c r="S117" s="534"/>
      <c r="T117" s="524"/>
      <c r="U117" s="524"/>
      <c r="V117" s="524"/>
      <c r="W117" s="524"/>
      <c r="X117" s="29"/>
    </row>
    <row r="118" spans="1:24" s="20" customFormat="1" ht="15.6">
      <c r="A118" s="530">
        <v>44286</v>
      </c>
      <c r="B118" s="533" t="s">
        <v>43</v>
      </c>
      <c r="C118" s="533" t="s">
        <v>3551</v>
      </c>
      <c r="D118" s="547" t="s">
        <v>3552</v>
      </c>
      <c r="E118" s="539" t="s">
        <v>1578</v>
      </c>
      <c r="F118" s="596" t="s">
        <v>1579</v>
      </c>
      <c r="G118" s="552">
        <v>1</v>
      </c>
      <c r="H118" s="595">
        <v>10600</v>
      </c>
      <c r="I118" s="524">
        <v>10600</v>
      </c>
      <c r="J118" s="523"/>
      <c r="K118" s="506">
        <v>10600</v>
      </c>
      <c r="L118" s="523"/>
      <c r="M118" s="523">
        <v>-5936</v>
      </c>
      <c r="N118" s="524">
        <v>4664</v>
      </c>
      <c r="O118" s="533" t="s">
        <v>43</v>
      </c>
      <c r="P118" s="597"/>
      <c r="Q118" s="533" t="s">
        <v>176</v>
      </c>
      <c r="R118" s="524"/>
      <c r="S118" s="543"/>
      <c r="T118" s="524"/>
      <c r="U118" s="524"/>
      <c r="V118" s="524"/>
      <c r="W118" s="524"/>
      <c r="X118" s="29"/>
    </row>
    <row r="119" spans="1:24" s="20" customFormat="1" ht="15.6">
      <c r="A119" s="530">
        <v>44286</v>
      </c>
      <c r="B119" s="533" t="s">
        <v>23</v>
      </c>
      <c r="C119" s="533" t="s">
        <v>369</v>
      </c>
      <c r="D119" s="547" t="s">
        <v>3553</v>
      </c>
      <c r="E119" s="539" t="s">
        <v>325</v>
      </c>
      <c r="F119" s="539" t="s">
        <v>326</v>
      </c>
      <c r="G119" s="552">
        <v>1</v>
      </c>
      <c r="H119" s="595">
        <v>129000</v>
      </c>
      <c r="I119" s="524">
        <v>129000</v>
      </c>
      <c r="J119" s="523">
        <v>25800</v>
      </c>
      <c r="K119" s="506">
        <v>103200</v>
      </c>
      <c r="L119" s="523">
        <v>11000</v>
      </c>
      <c r="M119" s="523"/>
      <c r="N119" s="524">
        <v>114200</v>
      </c>
      <c r="O119" s="533" t="s">
        <v>23</v>
      </c>
      <c r="P119" s="547"/>
      <c r="Q119" s="549" t="s">
        <v>40</v>
      </c>
      <c r="R119" s="524"/>
      <c r="S119" s="580"/>
      <c r="T119" s="524"/>
      <c r="U119" s="524"/>
      <c r="V119" s="524"/>
      <c r="W119" s="524"/>
      <c r="X119" s="29"/>
    </row>
    <row r="120" spans="1:24" s="20" customFormat="1" ht="15.6">
      <c r="A120" s="530">
        <v>44287</v>
      </c>
      <c r="B120" s="533" t="s">
        <v>313</v>
      </c>
      <c r="C120" s="538" t="s">
        <v>3554</v>
      </c>
      <c r="D120" s="547" t="s">
        <v>3555</v>
      </c>
      <c r="E120" s="598" t="s">
        <v>3556</v>
      </c>
      <c r="F120" s="598" t="s">
        <v>3557</v>
      </c>
      <c r="G120" s="552">
        <v>1</v>
      </c>
      <c r="H120" s="595">
        <v>120000</v>
      </c>
      <c r="I120" s="524">
        <v>120000</v>
      </c>
      <c r="J120" s="523"/>
      <c r="K120" s="506">
        <v>120000</v>
      </c>
      <c r="L120" s="523">
        <v>20092</v>
      </c>
      <c r="M120" s="523"/>
      <c r="N120" s="524">
        <v>140092</v>
      </c>
      <c r="O120" s="533" t="s">
        <v>313</v>
      </c>
      <c r="P120" s="585"/>
      <c r="Q120" s="533" t="s">
        <v>40</v>
      </c>
      <c r="R120" s="524"/>
      <c r="S120" s="534"/>
      <c r="T120" s="524"/>
      <c r="U120" s="524"/>
      <c r="V120" s="524"/>
      <c r="W120" s="524"/>
      <c r="X120" s="29"/>
    </row>
    <row r="121" spans="1:24" s="20" customFormat="1" ht="15.6">
      <c r="A121" s="530">
        <v>44287</v>
      </c>
      <c r="B121" s="533" t="s">
        <v>313</v>
      </c>
      <c r="C121" s="538" t="s">
        <v>3554</v>
      </c>
      <c r="D121" s="547" t="s">
        <v>3558</v>
      </c>
      <c r="E121" s="544" t="s">
        <v>3303</v>
      </c>
      <c r="F121" s="544" t="s">
        <v>3304</v>
      </c>
      <c r="G121" s="552">
        <v>1</v>
      </c>
      <c r="H121" s="595">
        <v>85000</v>
      </c>
      <c r="I121" s="524">
        <v>85000</v>
      </c>
      <c r="J121" s="523"/>
      <c r="K121" s="506">
        <v>85000</v>
      </c>
      <c r="L121" s="523"/>
      <c r="M121" s="523"/>
      <c r="N121" s="524">
        <v>85000</v>
      </c>
      <c r="O121" s="533" t="s">
        <v>313</v>
      </c>
      <c r="P121" s="632"/>
      <c r="Q121" s="533" t="s">
        <v>40</v>
      </c>
      <c r="R121" s="524"/>
      <c r="S121" s="543"/>
      <c r="T121" s="524"/>
      <c r="U121" s="524"/>
      <c r="V121" s="524"/>
      <c r="W121" s="524"/>
      <c r="X121" s="29"/>
    </row>
    <row r="122" spans="1:24" s="20" customFormat="1" ht="15.6">
      <c r="A122" s="530">
        <v>44287</v>
      </c>
      <c r="B122" s="533" t="s">
        <v>313</v>
      </c>
      <c r="C122" s="538" t="s">
        <v>3554</v>
      </c>
      <c r="D122" s="547" t="s">
        <v>3559</v>
      </c>
      <c r="E122" s="598" t="s">
        <v>3560</v>
      </c>
      <c r="F122" s="599" t="s">
        <v>3561</v>
      </c>
      <c r="G122" s="552">
        <v>1</v>
      </c>
      <c r="H122" s="595">
        <v>134500</v>
      </c>
      <c r="I122" s="524">
        <v>134500</v>
      </c>
      <c r="J122" s="523"/>
      <c r="K122" s="506">
        <v>134500</v>
      </c>
      <c r="L122" s="523"/>
      <c r="M122" s="523"/>
      <c r="N122" s="524">
        <v>134500</v>
      </c>
      <c r="O122" s="533" t="s">
        <v>313</v>
      </c>
      <c r="P122" s="632"/>
      <c r="Q122" s="533" t="s">
        <v>40</v>
      </c>
      <c r="R122" s="534"/>
      <c r="S122" s="543"/>
      <c r="T122" s="524"/>
      <c r="U122" s="524"/>
      <c r="V122" s="524"/>
      <c r="W122" s="524"/>
      <c r="X122" s="29"/>
    </row>
    <row r="123" spans="1:24" s="20" customFormat="1" ht="15.6">
      <c r="A123" s="530">
        <v>44287</v>
      </c>
      <c r="B123" s="533" t="s">
        <v>313</v>
      </c>
      <c r="C123" s="538" t="s">
        <v>3554</v>
      </c>
      <c r="D123" s="547" t="s">
        <v>3562</v>
      </c>
      <c r="E123" s="600" t="s">
        <v>3563</v>
      </c>
      <c r="F123" s="544" t="s">
        <v>3564</v>
      </c>
      <c r="G123" s="552">
        <v>1</v>
      </c>
      <c r="H123" s="595">
        <v>289000</v>
      </c>
      <c r="I123" s="524">
        <v>289000</v>
      </c>
      <c r="J123" s="523"/>
      <c r="K123" s="506">
        <v>289000</v>
      </c>
      <c r="L123" s="523"/>
      <c r="M123" s="523"/>
      <c r="N123" s="524">
        <v>289000</v>
      </c>
      <c r="O123" s="533" t="s">
        <v>313</v>
      </c>
      <c r="P123" s="548"/>
      <c r="Q123" s="533" t="s">
        <v>40</v>
      </c>
      <c r="R123" s="631"/>
      <c r="S123" s="534"/>
      <c r="T123" s="524"/>
      <c r="U123" s="524"/>
      <c r="V123" s="524"/>
      <c r="W123" s="524"/>
      <c r="X123" s="29"/>
    </row>
    <row r="124" spans="1:24" s="20" customFormat="1" ht="15.6">
      <c r="A124" s="530">
        <v>44287</v>
      </c>
      <c r="B124" s="533" t="s">
        <v>313</v>
      </c>
      <c r="C124" s="538" t="s">
        <v>3554</v>
      </c>
      <c r="D124" s="547" t="s">
        <v>3565</v>
      </c>
      <c r="E124" s="544" t="s">
        <v>2898</v>
      </c>
      <c r="F124" s="542" t="s">
        <v>2899</v>
      </c>
      <c r="G124" s="552">
        <v>1</v>
      </c>
      <c r="H124" s="595">
        <v>90000</v>
      </c>
      <c r="I124" s="524">
        <v>90000</v>
      </c>
      <c r="J124" s="523"/>
      <c r="K124" s="506">
        <v>90000</v>
      </c>
      <c r="L124" s="523"/>
      <c r="M124" s="523"/>
      <c r="N124" s="524">
        <v>90000</v>
      </c>
      <c r="O124" s="533" t="s">
        <v>313</v>
      </c>
      <c r="P124" s="632"/>
      <c r="Q124" s="533" t="s">
        <v>40</v>
      </c>
      <c r="R124" s="524"/>
      <c r="S124" s="543"/>
      <c r="T124" s="524"/>
      <c r="U124" s="524"/>
      <c r="V124" s="524"/>
      <c r="W124" s="524"/>
      <c r="X124" s="29"/>
    </row>
    <row r="125" spans="1:24" s="20" customFormat="1" ht="15.6">
      <c r="A125" s="530">
        <v>44287</v>
      </c>
      <c r="B125" s="533" t="s">
        <v>43</v>
      </c>
      <c r="C125" s="538" t="s">
        <v>3566</v>
      </c>
      <c r="D125" s="547" t="s">
        <v>3567</v>
      </c>
      <c r="E125" s="539" t="s">
        <v>3568</v>
      </c>
      <c r="F125" s="539" t="s">
        <v>3569</v>
      </c>
      <c r="G125" s="552">
        <v>1</v>
      </c>
      <c r="H125" s="595">
        <v>106000</v>
      </c>
      <c r="I125" s="524">
        <v>106000</v>
      </c>
      <c r="J125" s="523"/>
      <c r="K125" s="506">
        <v>106000</v>
      </c>
      <c r="L125" s="523">
        <v>17000</v>
      </c>
      <c r="M125" s="535">
        <v>-5936</v>
      </c>
      <c r="N125" s="524">
        <v>117064</v>
      </c>
      <c r="O125" s="533" t="s">
        <v>43</v>
      </c>
      <c r="P125" s="523"/>
      <c r="Q125" s="533" t="s">
        <v>54</v>
      </c>
      <c r="R125" s="523"/>
      <c r="S125" s="543"/>
      <c r="T125" s="523"/>
      <c r="U125" s="523"/>
      <c r="V125" s="524"/>
      <c r="W125" s="524"/>
      <c r="X125" s="29"/>
    </row>
    <row r="126" spans="1:24" s="20" customFormat="1" ht="15.6">
      <c r="A126" s="530">
        <v>44287</v>
      </c>
      <c r="B126" s="554" t="s">
        <v>23</v>
      </c>
      <c r="C126" s="549" t="s">
        <v>3570</v>
      </c>
      <c r="D126" s="547" t="s">
        <v>3571</v>
      </c>
      <c r="E126" s="601" t="s">
        <v>3572</v>
      </c>
      <c r="F126" s="601" t="s">
        <v>2101</v>
      </c>
      <c r="G126" s="552">
        <v>1</v>
      </c>
      <c r="H126" s="505">
        <v>180000</v>
      </c>
      <c r="I126" s="524">
        <v>180000</v>
      </c>
      <c r="J126" s="523">
        <v>45000</v>
      </c>
      <c r="K126" s="506">
        <v>135000</v>
      </c>
      <c r="L126" s="523">
        <v>85000</v>
      </c>
      <c r="M126" s="523"/>
      <c r="N126" s="524">
        <v>220000</v>
      </c>
      <c r="O126" s="554" t="s">
        <v>23</v>
      </c>
      <c r="P126" s="523"/>
      <c r="Q126" s="549" t="s">
        <v>40</v>
      </c>
      <c r="R126" s="523"/>
      <c r="S126" s="543"/>
      <c r="T126" s="523"/>
      <c r="U126" s="523"/>
      <c r="V126" s="524"/>
      <c r="W126" s="524"/>
      <c r="X126" s="29"/>
    </row>
    <row r="127" spans="1:24" s="20" customFormat="1" ht="15.6">
      <c r="A127" s="530">
        <v>44287</v>
      </c>
      <c r="B127" s="554" t="s">
        <v>23</v>
      </c>
      <c r="C127" s="549" t="s">
        <v>3570</v>
      </c>
      <c r="D127" s="547" t="s">
        <v>3571</v>
      </c>
      <c r="E127" s="601" t="s">
        <v>281</v>
      </c>
      <c r="F127" s="602" t="s">
        <v>282</v>
      </c>
      <c r="G127" s="552">
        <v>1</v>
      </c>
      <c r="H127" s="505">
        <v>75000</v>
      </c>
      <c r="I127" s="524">
        <v>75000</v>
      </c>
      <c r="J127" s="523">
        <v>18750</v>
      </c>
      <c r="K127" s="506">
        <v>56250</v>
      </c>
      <c r="L127" s="523"/>
      <c r="M127" s="523"/>
      <c r="N127" s="524">
        <v>56250</v>
      </c>
      <c r="O127" s="554" t="s">
        <v>23</v>
      </c>
      <c r="P127" s="523"/>
      <c r="Q127" s="549" t="s">
        <v>40</v>
      </c>
      <c r="R127" s="523"/>
      <c r="S127" s="543"/>
      <c r="T127" s="523"/>
      <c r="U127" s="523"/>
      <c r="V127" s="524"/>
      <c r="W127" s="524"/>
      <c r="X127" s="29"/>
    </row>
    <row r="128" spans="1:24" s="20" customFormat="1" ht="15.6">
      <c r="A128" s="530">
        <v>44287</v>
      </c>
      <c r="B128" s="554" t="s">
        <v>23</v>
      </c>
      <c r="C128" s="549" t="s">
        <v>3570</v>
      </c>
      <c r="D128" s="547" t="s">
        <v>3571</v>
      </c>
      <c r="E128" s="601" t="s">
        <v>3573</v>
      </c>
      <c r="F128" s="601" t="s">
        <v>3574</v>
      </c>
      <c r="G128" s="552">
        <v>1</v>
      </c>
      <c r="H128" s="505">
        <v>150000</v>
      </c>
      <c r="I128" s="524">
        <v>150000</v>
      </c>
      <c r="J128" s="523">
        <v>37500</v>
      </c>
      <c r="K128" s="506">
        <v>112500</v>
      </c>
      <c r="L128" s="523"/>
      <c r="M128" s="523"/>
      <c r="N128" s="524">
        <v>112500</v>
      </c>
      <c r="O128" s="554" t="s">
        <v>23</v>
      </c>
      <c r="P128" s="523"/>
      <c r="Q128" s="549" t="s">
        <v>40</v>
      </c>
      <c r="R128" s="523"/>
      <c r="S128" s="543"/>
      <c r="T128" s="523"/>
      <c r="U128" s="523"/>
      <c r="V128" s="524"/>
      <c r="W128" s="524"/>
      <c r="X128" s="29"/>
    </row>
    <row r="129" spans="1:24" s="20" customFormat="1" ht="15.6">
      <c r="A129" s="530">
        <v>44287</v>
      </c>
      <c r="B129" s="554" t="s">
        <v>23</v>
      </c>
      <c r="C129" s="549" t="s">
        <v>3570</v>
      </c>
      <c r="D129" s="547" t="s">
        <v>3571</v>
      </c>
      <c r="E129" s="601" t="s">
        <v>3575</v>
      </c>
      <c r="F129" s="601" t="s">
        <v>3576</v>
      </c>
      <c r="G129" s="552">
        <v>1</v>
      </c>
      <c r="H129" s="505">
        <v>291000</v>
      </c>
      <c r="I129" s="524">
        <v>291000</v>
      </c>
      <c r="J129" s="523">
        <v>72750</v>
      </c>
      <c r="K129" s="506">
        <v>218250</v>
      </c>
      <c r="L129" s="523"/>
      <c r="M129" s="523"/>
      <c r="N129" s="524">
        <v>218250</v>
      </c>
      <c r="O129" s="554" t="s">
        <v>23</v>
      </c>
      <c r="P129" s="523"/>
      <c r="Q129" s="549" t="s">
        <v>40</v>
      </c>
      <c r="R129" s="523"/>
      <c r="S129" s="543"/>
      <c r="T129" s="523"/>
      <c r="U129" s="523"/>
      <c r="V129" s="524"/>
      <c r="W129" s="524"/>
      <c r="X129" s="29"/>
    </row>
    <row r="130" spans="1:24" s="20" customFormat="1" ht="15.6">
      <c r="A130" s="530">
        <v>44287</v>
      </c>
      <c r="B130" s="554" t="s">
        <v>23</v>
      </c>
      <c r="C130" s="549" t="s">
        <v>3570</v>
      </c>
      <c r="D130" s="547" t="s">
        <v>3571</v>
      </c>
      <c r="E130" s="601" t="s">
        <v>3577</v>
      </c>
      <c r="F130" s="601" t="s">
        <v>3578</v>
      </c>
      <c r="G130" s="552">
        <v>1</v>
      </c>
      <c r="H130" s="505">
        <v>42000</v>
      </c>
      <c r="I130" s="524">
        <v>42000</v>
      </c>
      <c r="J130" s="523">
        <v>10500</v>
      </c>
      <c r="K130" s="506">
        <v>31500</v>
      </c>
      <c r="L130" s="523"/>
      <c r="M130" s="523"/>
      <c r="N130" s="524">
        <v>31500</v>
      </c>
      <c r="O130" s="554" t="s">
        <v>23</v>
      </c>
      <c r="P130" s="548"/>
      <c r="Q130" s="549" t="s">
        <v>40</v>
      </c>
      <c r="R130" s="523"/>
      <c r="S130" s="523"/>
      <c r="T130" s="523"/>
      <c r="U130" s="523"/>
      <c r="V130" s="524"/>
      <c r="W130" s="524"/>
      <c r="X130" s="29"/>
    </row>
    <row r="131" spans="1:24" s="20" customFormat="1" ht="15.6">
      <c r="A131" s="530">
        <v>44287</v>
      </c>
      <c r="B131" s="554" t="s">
        <v>23</v>
      </c>
      <c r="C131" s="549" t="s">
        <v>3570</v>
      </c>
      <c r="D131" s="547" t="s">
        <v>3571</v>
      </c>
      <c r="E131" s="601" t="s">
        <v>3579</v>
      </c>
      <c r="F131" s="601" t="s">
        <v>3580</v>
      </c>
      <c r="G131" s="552">
        <v>1</v>
      </c>
      <c r="H131" s="505">
        <v>58000</v>
      </c>
      <c r="I131" s="524">
        <v>58000</v>
      </c>
      <c r="J131" s="523">
        <v>14500</v>
      </c>
      <c r="K131" s="506">
        <v>43500</v>
      </c>
      <c r="L131" s="523"/>
      <c r="M131" s="523"/>
      <c r="N131" s="524">
        <v>43500</v>
      </c>
      <c r="O131" s="554" t="s">
        <v>23</v>
      </c>
      <c r="P131" s="548"/>
      <c r="Q131" s="549" t="s">
        <v>40</v>
      </c>
      <c r="R131" s="523"/>
      <c r="S131" s="534"/>
      <c r="T131" s="523"/>
      <c r="U131" s="523"/>
      <c r="V131" s="524"/>
      <c r="W131" s="524"/>
      <c r="X131" s="29"/>
    </row>
    <row r="132" spans="1:24" s="20" customFormat="1" ht="15.6">
      <c r="A132" s="530">
        <v>44287</v>
      </c>
      <c r="B132" s="554" t="s">
        <v>23</v>
      </c>
      <c r="C132" s="549" t="s">
        <v>3570</v>
      </c>
      <c r="D132" s="547" t="s">
        <v>3571</v>
      </c>
      <c r="E132" s="601" t="s">
        <v>3581</v>
      </c>
      <c r="F132" s="601" t="s">
        <v>3582</v>
      </c>
      <c r="G132" s="552">
        <v>1</v>
      </c>
      <c r="H132" s="505">
        <v>56000</v>
      </c>
      <c r="I132" s="524">
        <v>56000</v>
      </c>
      <c r="J132" s="523">
        <v>14000</v>
      </c>
      <c r="K132" s="506">
        <v>42000</v>
      </c>
      <c r="L132" s="523"/>
      <c r="M132" s="523"/>
      <c r="N132" s="524">
        <v>42000</v>
      </c>
      <c r="O132" s="554" t="s">
        <v>23</v>
      </c>
      <c r="P132" s="548"/>
      <c r="Q132" s="549" t="s">
        <v>40</v>
      </c>
      <c r="R132" s="523"/>
      <c r="S132" s="534"/>
      <c r="T132" s="523"/>
      <c r="U132" s="523"/>
      <c r="V132" s="524"/>
      <c r="W132" s="524"/>
      <c r="X132" s="29"/>
    </row>
    <row r="133" spans="1:24" s="20" customFormat="1" ht="15" customHeight="1">
      <c r="A133" s="530">
        <v>44287</v>
      </c>
      <c r="B133" s="554" t="s">
        <v>23</v>
      </c>
      <c r="C133" s="549" t="s">
        <v>3570</v>
      </c>
      <c r="D133" s="547" t="s">
        <v>3571</v>
      </c>
      <c r="E133" s="601" t="s">
        <v>3583</v>
      </c>
      <c r="F133" s="602" t="s">
        <v>3584</v>
      </c>
      <c r="G133" s="552">
        <v>1</v>
      </c>
      <c r="H133" s="505">
        <v>66000</v>
      </c>
      <c r="I133" s="524">
        <v>66000</v>
      </c>
      <c r="J133" s="523">
        <v>16500</v>
      </c>
      <c r="K133" s="506">
        <v>49500</v>
      </c>
      <c r="L133" s="523"/>
      <c r="M133" s="523"/>
      <c r="N133" s="524">
        <v>49500</v>
      </c>
      <c r="O133" s="554" t="s">
        <v>23</v>
      </c>
      <c r="P133" s="548"/>
      <c r="Q133" s="549" t="s">
        <v>40</v>
      </c>
      <c r="R133" s="523"/>
      <c r="S133" s="534"/>
      <c r="T133" s="523"/>
      <c r="U133" s="523"/>
      <c r="V133" s="524"/>
      <c r="W133" s="524"/>
      <c r="X133" s="29"/>
    </row>
    <row r="134" spans="1:24" s="20" customFormat="1" ht="15.6">
      <c r="A134" s="530">
        <v>44287</v>
      </c>
      <c r="B134" s="554" t="s">
        <v>23</v>
      </c>
      <c r="C134" s="549" t="s">
        <v>3570</v>
      </c>
      <c r="D134" s="547" t="s">
        <v>3571</v>
      </c>
      <c r="E134" s="601" t="s">
        <v>3585</v>
      </c>
      <c r="F134" s="602" t="s">
        <v>3586</v>
      </c>
      <c r="G134" s="552">
        <v>1</v>
      </c>
      <c r="H134" s="505">
        <v>328000</v>
      </c>
      <c r="I134" s="524">
        <v>328000</v>
      </c>
      <c r="J134" s="523">
        <v>82000</v>
      </c>
      <c r="K134" s="506">
        <v>246000</v>
      </c>
      <c r="L134" s="523"/>
      <c r="M134" s="523"/>
      <c r="N134" s="524">
        <v>246000</v>
      </c>
      <c r="O134" s="554" t="s">
        <v>23</v>
      </c>
      <c r="P134" s="548"/>
      <c r="Q134" s="549" t="s">
        <v>40</v>
      </c>
      <c r="R134" s="523"/>
      <c r="S134" s="534"/>
      <c r="T134" s="523"/>
      <c r="U134" s="523"/>
      <c r="V134" s="524"/>
      <c r="W134" s="524"/>
      <c r="X134" s="29"/>
    </row>
    <row r="135" spans="1:24" s="203" customFormat="1" ht="15.6">
      <c r="A135" s="530">
        <v>44291</v>
      </c>
      <c r="B135" s="533" t="s">
        <v>43</v>
      </c>
      <c r="C135" s="533" t="s">
        <v>3587</v>
      </c>
      <c r="D135" s="547" t="s">
        <v>3588</v>
      </c>
      <c r="E135" s="539" t="s">
        <v>2169</v>
      </c>
      <c r="F135" s="539" t="s">
        <v>128</v>
      </c>
      <c r="G135" s="531">
        <v>1</v>
      </c>
      <c r="H135" s="523">
        <v>77500</v>
      </c>
      <c r="I135" s="524">
        <v>77500</v>
      </c>
      <c r="J135" s="523"/>
      <c r="K135" s="506">
        <v>77500</v>
      </c>
      <c r="L135" s="524">
        <v>7000</v>
      </c>
      <c r="M135" s="524">
        <v>-4340</v>
      </c>
      <c r="N135" s="524">
        <v>80160</v>
      </c>
      <c r="O135" s="533" t="s">
        <v>43</v>
      </c>
      <c r="P135" s="523"/>
      <c r="Q135" s="533" t="s">
        <v>54</v>
      </c>
      <c r="R135" s="523"/>
      <c r="S135" s="518"/>
      <c r="T135" s="523"/>
      <c r="U135" s="523"/>
      <c r="V135" s="524"/>
      <c r="W135" s="524"/>
      <c r="X135" s="119"/>
    </row>
    <row r="136" spans="1:24" s="203" customFormat="1" ht="15.6">
      <c r="A136" s="530">
        <v>44291</v>
      </c>
      <c r="B136" s="533" t="s">
        <v>43</v>
      </c>
      <c r="C136" s="538" t="s">
        <v>3589</v>
      </c>
      <c r="D136" s="547" t="s">
        <v>3590</v>
      </c>
      <c r="E136" s="591" t="s">
        <v>3035</v>
      </c>
      <c r="F136" s="539" t="s">
        <v>3036</v>
      </c>
      <c r="G136" s="531">
        <v>1</v>
      </c>
      <c r="H136" s="523">
        <v>84000</v>
      </c>
      <c r="I136" s="524">
        <v>84000</v>
      </c>
      <c r="J136" s="523"/>
      <c r="K136" s="506">
        <v>84000</v>
      </c>
      <c r="L136" s="524"/>
      <c r="M136" s="524">
        <v>-4704</v>
      </c>
      <c r="N136" s="524">
        <v>79296</v>
      </c>
      <c r="O136" s="533" t="s">
        <v>43</v>
      </c>
      <c r="P136" s="523"/>
      <c r="Q136" s="533" t="s">
        <v>54</v>
      </c>
      <c r="R136" s="523"/>
      <c r="S136" s="523"/>
      <c r="T136" s="523"/>
      <c r="U136" s="523"/>
      <c r="V136" s="524"/>
      <c r="W136" s="524"/>
      <c r="X136" s="119"/>
    </row>
    <row r="137" spans="1:24" s="203" customFormat="1" ht="15.6">
      <c r="A137" s="530">
        <v>44291</v>
      </c>
      <c r="B137" s="533" t="s">
        <v>43</v>
      </c>
      <c r="C137" s="538" t="s">
        <v>3591</v>
      </c>
      <c r="D137" s="547" t="s">
        <v>3592</v>
      </c>
      <c r="E137" s="591" t="s">
        <v>3035</v>
      </c>
      <c r="F137" s="539" t="s">
        <v>3036</v>
      </c>
      <c r="G137" s="531">
        <v>2</v>
      </c>
      <c r="H137" s="523">
        <v>84000</v>
      </c>
      <c r="I137" s="524">
        <v>168000</v>
      </c>
      <c r="J137" s="523"/>
      <c r="K137" s="506">
        <v>168000</v>
      </c>
      <c r="L137" s="524"/>
      <c r="M137" s="524">
        <v>-9408</v>
      </c>
      <c r="N137" s="524">
        <v>158592</v>
      </c>
      <c r="O137" s="533" t="s">
        <v>43</v>
      </c>
      <c r="P137" s="629"/>
      <c r="Q137" s="533" t="s">
        <v>54</v>
      </c>
      <c r="R137" s="629"/>
      <c r="S137" s="534"/>
      <c r="T137" s="523"/>
      <c r="U137" s="523"/>
      <c r="V137" s="524"/>
      <c r="W137" s="524"/>
      <c r="X137" s="119"/>
    </row>
    <row r="138" spans="1:24" s="203" customFormat="1">
      <c r="A138" s="530">
        <v>44291</v>
      </c>
      <c r="B138" s="533" t="s">
        <v>177</v>
      </c>
      <c r="C138" s="538" t="s">
        <v>3593</v>
      </c>
      <c r="D138" s="547" t="s">
        <v>3594</v>
      </c>
      <c r="E138" s="533" t="s">
        <v>471</v>
      </c>
      <c r="F138" s="533" t="s">
        <v>472</v>
      </c>
      <c r="G138" s="531">
        <v>1</v>
      </c>
      <c r="H138" s="523">
        <v>111000</v>
      </c>
      <c r="I138" s="524">
        <v>111000</v>
      </c>
      <c r="J138" s="523"/>
      <c r="K138" s="506">
        <v>111000</v>
      </c>
      <c r="L138" s="524">
        <v>9500</v>
      </c>
      <c r="M138" s="524"/>
      <c r="N138" s="524">
        <v>120500</v>
      </c>
      <c r="O138" s="533" t="s">
        <v>177</v>
      </c>
      <c r="P138" s="523"/>
      <c r="Q138" s="533" t="s">
        <v>54</v>
      </c>
      <c r="R138" s="523"/>
      <c r="S138" s="523"/>
      <c r="T138" s="523"/>
      <c r="U138" s="523"/>
      <c r="V138" s="524"/>
      <c r="W138" s="524"/>
      <c r="X138" s="119"/>
    </row>
    <row r="139" spans="1:24" s="203" customFormat="1">
      <c r="A139" s="530">
        <v>44291</v>
      </c>
      <c r="B139" s="533" t="s">
        <v>177</v>
      </c>
      <c r="C139" s="538" t="s">
        <v>3595</v>
      </c>
      <c r="D139" s="547" t="s">
        <v>3596</v>
      </c>
      <c r="E139" s="533" t="s">
        <v>3597</v>
      </c>
      <c r="F139" s="533" t="s">
        <v>3598</v>
      </c>
      <c r="G139" s="531">
        <v>1</v>
      </c>
      <c r="H139" s="523">
        <v>94000</v>
      </c>
      <c r="I139" s="524">
        <v>94000</v>
      </c>
      <c r="J139" s="523"/>
      <c r="K139" s="506">
        <v>94000</v>
      </c>
      <c r="L139" s="524">
        <v>23000</v>
      </c>
      <c r="M139" s="524"/>
      <c r="N139" s="524">
        <v>117000</v>
      </c>
      <c r="O139" s="533" t="s">
        <v>177</v>
      </c>
      <c r="P139" s="636"/>
      <c r="Q139" s="533" t="s">
        <v>54</v>
      </c>
      <c r="R139" s="523"/>
      <c r="S139" s="636"/>
      <c r="T139" s="523"/>
      <c r="U139" s="523"/>
      <c r="V139" s="524"/>
      <c r="W139" s="524"/>
      <c r="X139" s="119"/>
    </row>
    <row r="140" spans="1:24" s="203" customFormat="1" ht="15.6">
      <c r="A140" s="530">
        <v>44291</v>
      </c>
      <c r="B140" s="533" t="s">
        <v>177</v>
      </c>
      <c r="C140" s="538" t="s">
        <v>3599</v>
      </c>
      <c r="D140" s="547" t="s">
        <v>3600</v>
      </c>
      <c r="E140" s="533" t="s">
        <v>3601</v>
      </c>
      <c r="F140" s="538" t="s">
        <v>3602</v>
      </c>
      <c r="G140" s="531">
        <v>1</v>
      </c>
      <c r="H140" s="523">
        <v>90000</v>
      </c>
      <c r="I140" s="524">
        <v>90000</v>
      </c>
      <c r="J140" s="523"/>
      <c r="K140" s="506">
        <v>90000</v>
      </c>
      <c r="L140" s="524">
        <v>500</v>
      </c>
      <c r="M140" s="524"/>
      <c r="N140" s="524">
        <v>90500</v>
      </c>
      <c r="O140" s="533" t="s">
        <v>177</v>
      </c>
      <c r="P140" s="637"/>
      <c r="Q140" s="533" t="s">
        <v>54</v>
      </c>
      <c r="R140" s="523"/>
      <c r="S140" s="511"/>
      <c r="T140" s="523"/>
      <c r="U140" s="523"/>
      <c r="V140" s="524"/>
      <c r="W140" s="524"/>
      <c r="X140" s="119"/>
    </row>
    <row r="141" spans="1:24" s="203" customFormat="1" ht="15.6">
      <c r="A141" s="530">
        <v>44291</v>
      </c>
      <c r="B141" s="533" t="s">
        <v>43</v>
      </c>
      <c r="C141" s="538" t="s">
        <v>3603</v>
      </c>
      <c r="D141" s="547" t="s">
        <v>3604</v>
      </c>
      <c r="E141" s="539" t="s">
        <v>830</v>
      </c>
      <c r="F141" s="540" t="s">
        <v>831</v>
      </c>
      <c r="G141" s="531">
        <v>1</v>
      </c>
      <c r="H141" s="523">
        <v>89000</v>
      </c>
      <c r="I141" s="524">
        <v>89000</v>
      </c>
      <c r="J141" s="523"/>
      <c r="K141" s="506">
        <v>89000</v>
      </c>
      <c r="L141" s="524"/>
      <c r="M141" s="524">
        <v>-4984</v>
      </c>
      <c r="N141" s="524">
        <v>84016</v>
      </c>
      <c r="O141" s="533" t="s">
        <v>43</v>
      </c>
      <c r="P141" s="523"/>
      <c r="Q141" s="533" t="s">
        <v>176</v>
      </c>
      <c r="R141" s="523"/>
      <c r="S141" s="523"/>
      <c r="T141" s="523"/>
      <c r="U141" s="523"/>
      <c r="V141" s="524"/>
      <c r="W141" s="524"/>
      <c r="X141" s="119"/>
    </row>
    <row r="142" spans="1:24" s="203" customFormat="1" ht="15.6">
      <c r="A142" s="530">
        <v>44291</v>
      </c>
      <c r="B142" s="533" t="s">
        <v>43</v>
      </c>
      <c r="C142" s="533" t="s">
        <v>3605</v>
      </c>
      <c r="D142" s="547" t="s">
        <v>3606</v>
      </c>
      <c r="E142" s="539" t="s">
        <v>3607</v>
      </c>
      <c r="F142" s="539" t="s">
        <v>3608</v>
      </c>
      <c r="G142" s="531">
        <v>1</v>
      </c>
      <c r="H142" s="523">
        <v>92000</v>
      </c>
      <c r="I142" s="524">
        <v>92000</v>
      </c>
      <c r="J142" s="523"/>
      <c r="K142" s="506">
        <v>92000</v>
      </c>
      <c r="L142" s="524">
        <v>8000</v>
      </c>
      <c r="M142" s="524">
        <v>-5152</v>
      </c>
      <c r="N142" s="524">
        <v>94848</v>
      </c>
      <c r="O142" s="533" t="s">
        <v>43</v>
      </c>
      <c r="P142" s="523"/>
      <c r="Q142" s="533" t="s">
        <v>54</v>
      </c>
      <c r="R142" s="523"/>
      <c r="S142" s="523"/>
      <c r="T142" s="523"/>
      <c r="U142" s="523"/>
      <c r="V142" s="524"/>
      <c r="W142" s="524"/>
      <c r="X142" s="119"/>
    </row>
    <row r="143" spans="1:24" s="203" customFormat="1" ht="15.6">
      <c r="A143" s="530">
        <v>44291</v>
      </c>
      <c r="B143" s="533" t="s">
        <v>43</v>
      </c>
      <c r="C143" s="533" t="s">
        <v>3609</v>
      </c>
      <c r="D143" s="547" t="s">
        <v>3610</v>
      </c>
      <c r="E143" s="594" t="s">
        <v>3611</v>
      </c>
      <c r="F143" s="592" t="s">
        <v>3612</v>
      </c>
      <c r="G143" s="531">
        <v>1</v>
      </c>
      <c r="H143" s="523">
        <v>153500</v>
      </c>
      <c r="I143" s="524">
        <v>153500</v>
      </c>
      <c r="J143" s="523"/>
      <c r="K143" s="506">
        <v>153500</v>
      </c>
      <c r="L143" s="524">
        <v>4000</v>
      </c>
      <c r="M143" s="524">
        <v>-8596</v>
      </c>
      <c r="N143" s="524">
        <v>148904</v>
      </c>
      <c r="O143" s="533" t="s">
        <v>43</v>
      </c>
      <c r="P143" s="548"/>
      <c r="Q143" s="533" t="s">
        <v>54</v>
      </c>
      <c r="R143" s="534"/>
      <c r="S143" s="523"/>
      <c r="T143" s="523"/>
      <c r="U143" s="523"/>
      <c r="V143" s="524"/>
      <c r="W143" s="524"/>
      <c r="X143" s="119"/>
    </row>
    <row r="144" spans="1:24" s="203" customFormat="1" ht="15.6">
      <c r="A144" s="530">
        <v>44292</v>
      </c>
      <c r="B144" s="533" t="s">
        <v>23</v>
      </c>
      <c r="C144" s="538" t="s">
        <v>3613</v>
      </c>
      <c r="D144" s="547" t="s">
        <v>3614</v>
      </c>
      <c r="E144" s="591" t="s">
        <v>201</v>
      </c>
      <c r="F144" s="591" t="s">
        <v>202</v>
      </c>
      <c r="G144" s="603">
        <v>1</v>
      </c>
      <c r="H144" s="523">
        <v>131000</v>
      </c>
      <c r="I144" s="524">
        <v>131000</v>
      </c>
      <c r="J144" s="547">
        <v>46500</v>
      </c>
      <c r="K144" s="506">
        <v>84500</v>
      </c>
      <c r="L144" s="524">
        <v>38000</v>
      </c>
      <c r="M144" s="524"/>
      <c r="N144" s="524">
        <v>122500</v>
      </c>
      <c r="O144" s="533" t="s">
        <v>23</v>
      </c>
      <c r="P144" s="548"/>
      <c r="Q144" s="533" t="s">
        <v>54</v>
      </c>
      <c r="R144" s="534"/>
      <c r="S144" s="523"/>
      <c r="T144" s="523"/>
      <c r="U144" s="523"/>
      <c r="V144" s="524"/>
      <c r="W144" s="524"/>
      <c r="X144" s="119"/>
    </row>
    <row r="145" spans="1:24" s="203" customFormat="1" ht="15.6">
      <c r="A145" s="530">
        <v>44292</v>
      </c>
      <c r="B145" s="533" t="s">
        <v>23</v>
      </c>
      <c r="C145" s="538" t="s">
        <v>3615</v>
      </c>
      <c r="D145" s="547" t="s">
        <v>3616</v>
      </c>
      <c r="E145" s="539" t="s">
        <v>988</v>
      </c>
      <c r="F145" s="539" t="s">
        <v>989</v>
      </c>
      <c r="G145" s="532">
        <v>1</v>
      </c>
      <c r="H145" s="523">
        <v>77000</v>
      </c>
      <c r="I145" s="524">
        <v>77000</v>
      </c>
      <c r="J145" s="523">
        <v>30800</v>
      </c>
      <c r="K145" s="506">
        <v>46200</v>
      </c>
      <c r="L145" s="524">
        <v>16000</v>
      </c>
      <c r="M145" s="524"/>
      <c r="N145" s="524">
        <v>62200</v>
      </c>
      <c r="O145" s="533" t="s">
        <v>23</v>
      </c>
      <c r="P145" s="548"/>
      <c r="Q145" s="533" t="s">
        <v>54</v>
      </c>
      <c r="R145" s="534"/>
      <c r="S145" s="523"/>
      <c r="T145" s="523"/>
      <c r="U145" s="523"/>
      <c r="V145" s="524"/>
      <c r="W145" s="524"/>
      <c r="X145" s="119"/>
    </row>
    <row r="146" spans="1:24" s="203" customFormat="1" ht="15.6">
      <c r="A146" s="530">
        <v>44292</v>
      </c>
      <c r="B146" s="533" t="s">
        <v>23</v>
      </c>
      <c r="C146" s="538" t="s">
        <v>3617</v>
      </c>
      <c r="D146" s="547" t="s">
        <v>3618</v>
      </c>
      <c r="E146" s="591" t="s">
        <v>3619</v>
      </c>
      <c r="F146" s="591" t="s">
        <v>3620</v>
      </c>
      <c r="G146" s="532">
        <v>25</v>
      </c>
      <c r="H146" s="523">
        <v>69500</v>
      </c>
      <c r="I146" s="524">
        <v>1737500</v>
      </c>
      <c r="J146" s="523">
        <v>434375</v>
      </c>
      <c r="K146" s="506">
        <v>1303125</v>
      </c>
      <c r="L146" s="524">
        <v>210000</v>
      </c>
      <c r="M146" s="524"/>
      <c r="N146" s="524">
        <v>1513125</v>
      </c>
      <c r="O146" s="533" t="s">
        <v>23</v>
      </c>
      <c r="P146" s="548"/>
      <c r="Q146" s="533" t="s">
        <v>3449</v>
      </c>
      <c r="R146" s="534"/>
      <c r="S146" s="636"/>
      <c r="T146" s="524"/>
      <c r="U146" s="524"/>
      <c r="V146" s="524"/>
      <c r="W146" s="524"/>
      <c r="X146" s="119"/>
    </row>
    <row r="147" spans="1:24" s="203" customFormat="1" ht="15.6">
      <c r="A147" s="530">
        <v>44292</v>
      </c>
      <c r="B147" s="533" t="s">
        <v>23</v>
      </c>
      <c r="C147" s="538" t="s">
        <v>3621</v>
      </c>
      <c r="D147" s="547" t="s">
        <v>3622</v>
      </c>
      <c r="E147" s="638" t="s">
        <v>2743</v>
      </c>
      <c r="F147" s="604" t="s">
        <v>2744</v>
      </c>
      <c r="G147" s="605">
        <v>1</v>
      </c>
      <c r="H147" s="523">
        <v>118000</v>
      </c>
      <c r="I147" s="524">
        <v>118000</v>
      </c>
      <c r="J147" s="523"/>
      <c r="K147" s="506">
        <v>118000</v>
      </c>
      <c r="L147" s="524">
        <v>0</v>
      </c>
      <c r="M147" s="524"/>
      <c r="N147" s="524">
        <v>118000</v>
      </c>
      <c r="O147" s="533" t="s">
        <v>23</v>
      </c>
      <c r="P147" s="629"/>
      <c r="Q147" s="549" t="s">
        <v>40</v>
      </c>
      <c r="R147" s="524"/>
      <c r="S147" s="511"/>
      <c r="T147" s="524"/>
      <c r="U147" s="524"/>
      <c r="V147" s="524"/>
      <c r="W147" s="524"/>
      <c r="X147" s="119"/>
    </row>
    <row r="148" spans="1:24" s="203" customFormat="1" ht="15.6">
      <c r="A148" s="530">
        <v>44292</v>
      </c>
      <c r="B148" s="533" t="s">
        <v>313</v>
      </c>
      <c r="C148" s="533" t="s">
        <v>3623</v>
      </c>
      <c r="D148" s="547" t="s">
        <v>3624</v>
      </c>
      <c r="E148" s="591" t="s">
        <v>1897</v>
      </c>
      <c r="F148" s="591" t="s">
        <v>1898</v>
      </c>
      <c r="G148" s="605">
        <v>1</v>
      </c>
      <c r="H148" s="523">
        <v>78000</v>
      </c>
      <c r="I148" s="524">
        <v>78000</v>
      </c>
      <c r="J148" s="523">
        <v>15600</v>
      </c>
      <c r="K148" s="506">
        <v>63200</v>
      </c>
      <c r="L148" s="524">
        <v>37037</v>
      </c>
      <c r="M148" s="524"/>
      <c r="N148" s="524">
        <v>99437</v>
      </c>
      <c r="O148" s="533" t="s">
        <v>313</v>
      </c>
      <c r="P148" s="597"/>
      <c r="Q148" s="533" t="s">
        <v>54</v>
      </c>
      <c r="R148" s="524"/>
      <c r="S148" s="543"/>
      <c r="T148" s="524"/>
      <c r="U148" s="524"/>
      <c r="V148" s="524"/>
      <c r="W148" s="524"/>
      <c r="X148" s="119"/>
    </row>
    <row r="149" spans="1:24" s="203" customFormat="1" ht="15.6">
      <c r="A149" s="530">
        <v>44293</v>
      </c>
      <c r="B149" s="533" t="s">
        <v>43</v>
      </c>
      <c r="C149" s="533" t="s">
        <v>3625</v>
      </c>
      <c r="D149" s="547" t="s">
        <v>3626</v>
      </c>
      <c r="E149" s="594" t="s">
        <v>1024</v>
      </c>
      <c r="F149" s="592" t="s">
        <v>1025</v>
      </c>
      <c r="G149" s="605">
        <v>1</v>
      </c>
      <c r="H149" s="523">
        <v>58500</v>
      </c>
      <c r="I149" s="524">
        <v>58500</v>
      </c>
      <c r="J149" s="523"/>
      <c r="K149" s="506">
        <v>58500</v>
      </c>
      <c r="L149" s="524">
        <v>17000</v>
      </c>
      <c r="M149" s="524">
        <v>-3276</v>
      </c>
      <c r="N149" s="524">
        <v>72224</v>
      </c>
      <c r="O149" s="533" t="s">
        <v>43</v>
      </c>
      <c r="P149" s="546"/>
      <c r="Q149" s="533" t="s">
        <v>138</v>
      </c>
      <c r="R149" s="535"/>
      <c r="S149" s="639"/>
      <c r="T149" s="524"/>
      <c r="U149" s="524"/>
      <c r="V149" s="524"/>
      <c r="W149" s="524"/>
      <c r="X149" s="119"/>
    </row>
    <row r="150" spans="1:24" s="203" customFormat="1" ht="15.6">
      <c r="A150" s="530">
        <v>44293</v>
      </c>
      <c r="B150" s="533" t="s">
        <v>43</v>
      </c>
      <c r="C150" s="538" t="s">
        <v>2163</v>
      </c>
      <c r="D150" s="547" t="s">
        <v>2164</v>
      </c>
      <c r="E150" s="570" t="s">
        <v>1788</v>
      </c>
      <c r="F150" s="570" t="s">
        <v>1789</v>
      </c>
      <c r="G150" s="605">
        <v>1</v>
      </c>
      <c r="H150" s="523">
        <v>86500</v>
      </c>
      <c r="I150" s="524">
        <v>86500</v>
      </c>
      <c r="J150" s="523"/>
      <c r="K150" s="506">
        <v>86500</v>
      </c>
      <c r="L150" s="524">
        <v>46000</v>
      </c>
      <c r="M150" s="524">
        <v>-11088</v>
      </c>
      <c r="N150" s="524">
        <v>121412</v>
      </c>
      <c r="O150" s="533" t="s">
        <v>43</v>
      </c>
      <c r="P150" s="543"/>
      <c r="Q150" s="533" t="s">
        <v>54</v>
      </c>
      <c r="R150" s="524"/>
      <c r="S150" s="639"/>
      <c r="T150" s="524"/>
      <c r="U150" s="524"/>
      <c r="V150" s="524"/>
      <c r="W150" s="524"/>
      <c r="X150" s="119"/>
    </row>
    <row r="151" spans="1:24" s="203" customFormat="1" ht="15.6">
      <c r="A151" s="530">
        <v>44293</v>
      </c>
      <c r="B151" s="533" t="s">
        <v>43</v>
      </c>
      <c r="C151" s="538" t="s">
        <v>2163</v>
      </c>
      <c r="D151" s="547" t="s">
        <v>2164</v>
      </c>
      <c r="E151" s="570" t="s">
        <v>1457</v>
      </c>
      <c r="F151" s="570" t="s">
        <v>1458</v>
      </c>
      <c r="G151" s="605">
        <v>1</v>
      </c>
      <c r="H151" s="497">
        <v>111500</v>
      </c>
      <c r="I151" s="524">
        <v>111500</v>
      </c>
      <c r="J151" s="523"/>
      <c r="K151" s="506">
        <v>111500</v>
      </c>
      <c r="L151" s="524"/>
      <c r="M151" s="524"/>
      <c r="N151" s="524">
        <v>111500</v>
      </c>
      <c r="O151" s="533" t="s">
        <v>43</v>
      </c>
      <c r="P151" s="548"/>
      <c r="Q151" s="533" t="s">
        <v>54</v>
      </c>
      <c r="R151" s="534"/>
      <c r="S151" s="518"/>
      <c r="T151" s="524"/>
      <c r="U151" s="524"/>
      <c r="V151" s="524"/>
      <c r="W151" s="524"/>
      <c r="X151" s="119"/>
    </row>
    <row r="152" spans="1:24" s="203" customFormat="1" ht="15.6">
      <c r="A152" s="530">
        <v>44293</v>
      </c>
      <c r="B152" s="533" t="s">
        <v>23</v>
      </c>
      <c r="C152" s="533" t="s">
        <v>3158</v>
      </c>
      <c r="D152" s="547" t="s">
        <v>3627</v>
      </c>
      <c r="E152" s="539" t="s">
        <v>3628</v>
      </c>
      <c r="F152" s="540" t="s">
        <v>3629</v>
      </c>
      <c r="G152" s="605">
        <v>1</v>
      </c>
      <c r="H152" s="497">
        <v>163000</v>
      </c>
      <c r="I152" s="524">
        <v>163000</v>
      </c>
      <c r="J152" s="523"/>
      <c r="K152" s="506">
        <v>163000</v>
      </c>
      <c r="L152" s="524">
        <v>69000</v>
      </c>
      <c r="M152" s="524"/>
      <c r="N152" s="524">
        <v>232000</v>
      </c>
      <c r="O152" s="533" t="s">
        <v>23</v>
      </c>
      <c r="P152" s="543"/>
      <c r="Q152" s="533" t="s">
        <v>54</v>
      </c>
      <c r="R152" s="524"/>
      <c r="S152" s="639"/>
      <c r="T152" s="524"/>
      <c r="U152" s="524"/>
      <c r="V152" s="524"/>
      <c r="W152" s="524"/>
      <c r="X152" s="119"/>
    </row>
    <row r="153" spans="1:24" s="176" customFormat="1" ht="15.6">
      <c r="A153" s="530">
        <v>44293</v>
      </c>
      <c r="B153" s="533" t="s">
        <v>23</v>
      </c>
      <c r="C153" s="533" t="s">
        <v>3630</v>
      </c>
      <c r="D153" s="547" t="s">
        <v>3631</v>
      </c>
      <c r="E153" s="539" t="s">
        <v>3632</v>
      </c>
      <c r="F153" s="540" t="s">
        <v>1425</v>
      </c>
      <c r="G153" s="605">
        <v>1</v>
      </c>
      <c r="H153" s="497">
        <v>54000</v>
      </c>
      <c r="I153" s="524">
        <v>54000</v>
      </c>
      <c r="J153" s="523"/>
      <c r="K153" s="506">
        <v>54000</v>
      </c>
      <c r="L153" s="543">
        <v>45000</v>
      </c>
      <c r="M153" s="543"/>
      <c r="N153" s="524">
        <v>99000</v>
      </c>
      <c r="O153" s="533" t="s">
        <v>23</v>
      </c>
      <c r="P153" s="543"/>
      <c r="Q153" s="533" t="s">
        <v>40</v>
      </c>
      <c r="R153" s="510"/>
      <c r="S153" s="543"/>
      <c r="T153" s="543"/>
      <c r="U153" s="543"/>
      <c r="V153" s="543"/>
      <c r="W153" s="543"/>
      <c r="X153" s="171"/>
    </row>
    <row r="154" spans="1:24" s="176" customFormat="1" ht="15.6">
      <c r="A154" s="530">
        <v>44293</v>
      </c>
      <c r="B154" s="533" t="s">
        <v>23</v>
      </c>
      <c r="C154" s="533" t="s">
        <v>3633</v>
      </c>
      <c r="D154" s="547" t="s">
        <v>3634</v>
      </c>
      <c r="E154" s="539" t="s">
        <v>201</v>
      </c>
      <c r="F154" s="539" t="s">
        <v>202</v>
      </c>
      <c r="G154" s="605">
        <v>1</v>
      </c>
      <c r="H154" s="497">
        <v>131000</v>
      </c>
      <c r="I154" s="524">
        <v>131000</v>
      </c>
      <c r="J154" s="523">
        <v>46500</v>
      </c>
      <c r="K154" s="506">
        <v>84500</v>
      </c>
      <c r="L154" s="543">
        <v>17000</v>
      </c>
      <c r="M154" s="543"/>
      <c r="N154" s="524">
        <v>101500</v>
      </c>
      <c r="O154" s="533" t="s">
        <v>23</v>
      </c>
      <c r="P154" s="546"/>
      <c r="Q154" s="533" t="s">
        <v>40</v>
      </c>
      <c r="R154" s="546"/>
      <c r="S154" s="543"/>
      <c r="T154" s="543"/>
      <c r="U154" s="543"/>
      <c r="V154" s="543"/>
      <c r="W154" s="543"/>
      <c r="X154" s="171"/>
    </row>
    <row r="155" spans="1:24" s="176" customFormat="1" ht="15.6">
      <c r="A155" s="530">
        <v>44293</v>
      </c>
      <c r="B155" s="533" t="s">
        <v>23</v>
      </c>
      <c r="C155" s="533" t="s">
        <v>3635</v>
      </c>
      <c r="D155" s="547" t="s">
        <v>3636</v>
      </c>
      <c r="E155" s="606" t="s">
        <v>3637</v>
      </c>
      <c r="F155" s="606" t="s">
        <v>3638</v>
      </c>
      <c r="G155" s="605">
        <v>1</v>
      </c>
      <c r="H155" s="497">
        <v>64000</v>
      </c>
      <c r="I155" s="524">
        <v>64000</v>
      </c>
      <c r="J155" s="523"/>
      <c r="K155" s="506">
        <v>64000</v>
      </c>
      <c r="L155" s="543">
        <v>37000</v>
      </c>
      <c r="M155" s="543"/>
      <c r="N155" s="524">
        <v>101000</v>
      </c>
      <c r="O155" s="533" t="s">
        <v>23</v>
      </c>
      <c r="P155" s="543"/>
      <c r="Q155" s="533" t="s">
        <v>28</v>
      </c>
      <c r="R155" s="543"/>
      <c r="S155" s="543"/>
      <c r="T155" s="543"/>
      <c r="U155" s="543"/>
      <c r="V155" s="543"/>
      <c r="W155" s="543"/>
      <c r="X155" s="171"/>
    </row>
    <row r="156" spans="1:24" s="176" customFormat="1" ht="15.6">
      <c r="A156" s="530">
        <v>44293</v>
      </c>
      <c r="B156" s="533" t="s">
        <v>23</v>
      </c>
      <c r="C156" s="533" t="s">
        <v>3635</v>
      </c>
      <c r="D156" s="547" t="s">
        <v>3636</v>
      </c>
      <c r="E156" s="606" t="s">
        <v>3639</v>
      </c>
      <c r="F156" s="606" t="s">
        <v>3640</v>
      </c>
      <c r="G156" s="607">
        <v>1</v>
      </c>
      <c r="H156" s="497">
        <v>80000</v>
      </c>
      <c r="I156" s="524">
        <v>80000</v>
      </c>
      <c r="J156" s="523"/>
      <c r="K156" s="506">
        <v>80000</v>
      </c>
      <c r="L156" s="543"/>
      <c r="M156" s="543"/>
      <c r="N156" s="524">
        <v>80000</v>
      </c>
      <c r="O156" s="533" t="s">
        <v>23</v>
      </c>
      <c r="P156" s="543"/>
      <c r="Q156" s="533" t="s">
        <v>28</v>
      </c>
      <c r="R156" s="543"/>
      <c r="S156" s="551"/>
      <c r="T156" s="543"/>
      <c r="U156" s="543"/>
      <c r="V156" s="543"/>
      <c r="W156" s="543"/>
      <c r="X156" s="171"/>
    </row>
    <row r="157" spans="1:24" s="176" customFormat="1" ht="15.6">
      <c r="A157" s="530">
        <v>44293</v>
      </c>
      <c r="B157" s="533" t="s">
        <v>43</v>
      </c>
      <c r="C157" s="533" t="s">
        <v>3641</v>
      </c>
      <c r="D157" s="547" t="s">
        <v>3642</v>
      </c>
      <c r="E157" s="591" t="s">
        <v>3643</v>
      </c>
      <c r="F157" s="591" t="s">
        <v>3644</v>
      </c>
      <c r="G157" s="605">
        <v>1</v>
      </c>
      <c r="H157" s="497">
        <v>215000</v>
      </c>
      <c r="I157" s="524">
        <v>215000</v>
      </c>
      <c r="J157" s="523"/>
      <c r="K157" s="506">
        <v>215000</v>
      </c>
      <c r="L157" s="543"/>
      <c r="M157" s="543">
        <v>-12040</v>
      </c>
      <c r="N157" s="524">
        <v>202960</v>
      </c>
      <c r="O157" s="533" t="s">
        <v>43</v>
      </c>
      <c r="P157" s="543"/>
      <c r="Q157" s="549" t="s">
        <v>54</v>
      </c>
      <c r="R157" s="543"/>
      <c r="S157" s="543"/>
      <c r="T157" s="543"/>
      <c r="U157" s="543"/>
      <c r="V157" s="543"/>
      <c r="W157" s="543"/>
      <c r="X157" s="171"/>
    </row>
    <row r="158" spans="1:24" s="176" customFormat="1" ht="15.6" customHeight="1">
      <c r="A158" s="530">
        <v>44293</v>
      </c>
      <c r="B158" s="533" t="s">
        <v>23</v>
      </c>
      <c r="C158" s="538" t="s">
        <v>3645</v>
      </c>
      <c r="D158" s="1098" t="s">
        <v>9419</v>
      </c>
      <c r="E158" s="539" t="s">
        <v>3646</v>
      </c>
      <c r="F158" s="539" t="s">
        <v>3647</v>
      </c>
      <c r="G158" s="605">
        <v>1</v>
      </c>
      <c r="H158" s="497">
        <v>93000</v>
      </c>
      <c r="I158" s="524">
        <v>93000</v>
      </c>
      <c r="J158" s="523">
        <v>18600</v>
      </c>
      <c r="K158" s="506">
        <v>74400</v>
      </c>
      <c r="L158" s="543">
        <v>57000</v>
      </c>
      <c r="M158" s="543"/>
      <c r="N158" s="524">
        <v>131400</v>
      </c>
      <c r="O158" s="533" t="s">
        <v>23</v>
      </c>
      <c r="P158" s="534"/>
      <c r="Q158" s="549" t="s">
        <v>40</v>
      </c>
      <c r="R158" s="543"/>
      <c r="S158" s="534"/>
      <c r="T158" s="543"/>
      <c r="U158" s="543"/>
      <c r="V158" s="543"/>
      <c r="W158" s="543"/>
      <c r="X158" s="171"/>
    </row>
    <row r="159" spans="1:24" s="176" customFormat="1">
      <c r="A159" s="530">
        <v>44294</v>
      </c>
      <c r="B159" s="549" t="s">
        <v>43</v>
      </c>
      <c r="C159" s="565" t="s">
        <v>3648</v>
      </c>
      <c r="D159" s="547" t="s">
        <v>3649</v>
      </c>
      <c r="E159" s="554" t="s">
        <v>3041</v>
      </c>
      <c r="F159" s="554" t="s">
        <v>3042</v>
      </c>
      <c r="G159" s="605">
        <v>1</v>
      </c>
      <c r="H159" s="497">
        <v>69000</v>
      </c>
      <c r="I159" s="524">
        <v>69000</v>
      </c>
      <c r="J159" s="523"/>
      <c r="K159" s="506">
        <v>69000</v>
      </c>
      <c r="L159" s="543"/>
      <c r="M159" s="543">
        <v>-3864</v>
      </c>
      <c r="N159" s="524">
        <v>65136</v>
      </c>
      <c r="O159" s="549" t="s">
        <v>43</v>
      </c>
      <c r="P159" s="534"/>
      <c r="Q159" s="549" t="s">
        <v>54</v>
      </c>
      <c r="R159" s="543"/>
      <c r="S159" s="534"/>
      <c r="T159" s="543"/>
      <c r="U159" s="543"/>
      <c r="V159" s="543"/>
      <c r="W159" s="543"/>
      <c r="X159" s="171"/>
    </row>
    <row r="160" spans="1:24" s="176" customFormat="1">
      <c r="A160" s="530">
        <v>44294</v>
      </c>
      <c r="B160" s="533" t="s">
        <v>23</v>
      </c>
      <c r="C160" s="538" t="s">
        <v>3650</v>
      </c>
      <c r="D160" s="547" t="s">
        <v>3651</v>
      </c>
      <c r="E160" s="554" t="s">
        <v>3652</v>
      </c>
      <c r="F160" s="554" t="s">
        <v>3653</v>
      </c>
      <c r="G160" s="605">
        <v>1</v>
      </c>
      <c r="H160" s="497">
        <v>54000</v>
      </c>
      <c r="I160" s="524">
        <v>54000</v>
      </c>
      <c r="J160" s="523"/>
      <c r="K160" s="506">
        <v>54000</v>
      </c>
      <c r="L160" s="543">
        <v>40000</v>
      </c>
      <c r="M160" s="543"/>
      <c r="N160" s="524">
        <f>K160+L160</f>
        <v>94000</v>
      </c>
      <c r="O160" s="533" t="s">
        <v>23</v>
      </c>
      <c r="P160" s="543"/>
      <c r="Q160" s="533" t="s">
        <v>54</v>
      </c>
      <c r="R160" s="543"/>
      <c r="S160" s="543"/>
      <c r="T160" s="543"/>
      <c r="U160" s="543"/>
      <c r="V160" s="543"/>
      <c r="W160" s="543"/>
      <c r="X160" s="171"/>
    </row>
    <row r="161" spans="1:24" s="176" customFormat="1">
      <c r="A161" s="530">
        <v>44294</v>
      </c>
      <c r="B161" s="533" t="s">
        <v>23</v>
      </c>
      <c r="C161" s="533" t="s">
        <v>3654</v>
      </c>
      <c r="D161" s="547" t="s">
        <v>3655</v>
      </c>
      <c r="E161" s="554" t="s">
        <v>3643</v>
      </c>
      <c r="F161" s="554" t="s">
        <v>3644</v>
      </c>
      <c r="G161" s="605">
        <v>1</v>
      </c>
      <c r="H161" s="497">
        <v>215000</v>
      </c>
      <c r="I161" s="524">
        <v>215000</v>
      </c>
      <c r="J161" s="523">
        <v>43000</v>
      </c>
      <c r="K161" s="506">
        <v>172000</v>
      </c>
      <c r="L161" s="543">
        <v>37000</v>
      </c>
      <c r="M161" s="543"/>
      <c r="N161" s="524">
        <v>209000</v>
      </c>
      <c r="O161" s="533" t="s">
        <v>23</v>
      </c>
      <c r="P161" s="543"/>
      <c r="Q161" s="533" t="s">
        <v>54</v>
      </c>
      <c r="R161" s="543"/>
      <c r="S161" s="543"/>
      <c r="T161" s="543"/>
      <c r="U161" s="543"/>
      <c r="V161" s="543"/>
      <c r="W161" s="543"/>
      <c r="X161" s="171"/>
    </row>
    <row r="162" spans="1:24" s="176" customFormat="1">
      <c r="A162" s="530">
        <v>44294</v>
      </c>
      <c r="B162" s="533" t="s">
        <v>23</v>
      </c>
      <c r="C162" s="538" t="s">
        <v>3656</v>
      </c>
      <c r="D162" s="547" t="s">
        <v>3657</v>
      </c>
      <c r="E162" s="554" t="s">
        <v>3658</v>
      </c>
      <c r="F162" s="554" t="s">
        <v>307</v>
      </c>
      <c r="G162" s="605">
        <v>1</v>
      </c>
      <c r="H162" s="497">
        <v>90500</v>
      </c>
      <c r="I162" s="524">
        <v>90500</v>
      </c>
      <c r="J162" s="523"/>
      <c r="K162" s="506">
        <v>90500</v>
      </c>
      <c r="L162" s="543">
        <v>57000</v>
      </c>
      <c r="M162" s="543"/>
      <c r="N162" s="524">
        <v>147500</v>
      </c>
      <c r="O162" s="533" t="s">
        <v>23</v>
      </c>
      <c r="P162" s="548"/>
      <c r="Q162" s="533" t="s">
        <v>40</v>
      </c>
      <c r="R162" s="534"/>
      <c r="S162" s="543"/>
      <c r="T162" s="543"/>
      <c r="U162" s="543"/>
      <c r="V162" s="543"/>
      <c r="W162" s="543"/>
      <c r="X162" s="171"/>
    </row>
    <row r="163" spans="1:24" s="176" customFormat="1">
      <c r="A163" s="530">
        <v>44294</v>
      </c>
      <c r="B163" s="533" t="s">
        <v>23</v>
      </c>
      <c r="C163" s="538" t="s">
        <v>3659</v>
      </c>
      <c r="D163" s="547" t="s">
        <v>3660</v>
      </c>
      <c r="E163" s="554" t="s">
        <v>3661</v>
      </c>
      <c r="F163" s="554" t="s">
        <v>2557</v>
      </c>
      <c r="G163" s="605">
        <v>1</v>
      </c>
      <c r="H163" s="497">
        <v>128000</v>
      </c>
      <c r="I163" s="524">
        <v>128000</v>
      </c>
      <c r="J163" s="523"/>
      <c r="K163" s="506">
        <v>128000</v>
      </c>
      <c r="L163" s="543">
        <v>17000</v>
      </c>
      <c r="M163" s="543"/>
      <c r="N163" s="524">
        <v>145000</v>
      </c>
      <c r="O163" s="533" t="s">
        <v>23</v>
      </c>
      <c r="P163" s="534"/>
      <c r="Q163" s="533" t="s">
        <v>40</v>
      </c>
      <c r="R163" s="543"/>
      <c r="S163" s="534"/>
      <c r="T163" s="543"/>
      <c r="U163" s="543"/>
      <c r="V163" s="543"/>
      <c r="W163" s="543"/>
      <c r="X163" s="171"/>
    </row>
    <row r="164" spans="1:24" s="203" customFormat="1">
      <c r="A164" s="530">
        <v>44294</v>
      </c>
      <c r="B164" s="533" t="s">
        <v>23</v>
      </c>
      <c r="C164" s="533" t="s">
        <v>3662</v>
      </c>
      <c r="D164" s="547" t="s">
        <v>3663</v>
      </c>
      <c r="E164" s="554" t="s">
        <v>1060</v>
      </c>
      <c r="F164" s="554" t="s">
        <v>1061</v>
      </c>
      <c r="G164" s="605">
        <v>1</v>
      </c>
      <c r="H164" s="497">
        <v>121500</v>
      </c>
      <c r="I164" s="524">
        <v>121500</v>
      </c>
      <c r="J164" s="523"/>
      <c r="K164" s="506">
        <v>121500</v>
      </c>
      <c r="L164" s="543">
        <v>37000</v>
      </c>
      <c r="M164" s="524"/>
      <c r="N164" s="524">
        <v>158500</v>
      </c>
      <c r="O164" s="533" t="s">
        <v>23</v>
      </c>
      <c r="P164" s="632"/>
      <c r="Q164" s="533" t="s">
        <v>54</v>
      </c>
      <c r="R164" s="524"/>
      <c r="S164" s="534"/>
      <c r="T164" s="524"/>
      <c r="U164" s="524"/>
      <c r="V164" s="524"/>
      <c r="W164" s="524"/>
      <c r="X164" s="119"/>
    </row>
    <row r="165" spans="1:24" s="203" customFormat="1">
      <c r="A165" s="530">
        <v>44294</v>
      </c>
      <c r="B165" s="533" t="s">
        <v>23</v>
      </c>
      <c r="C165" s="533" t="s">
        <v>3664</v>
      </c>
      <c r="D165" s="547" t="s">
        <v>3665</v>
      </c>
      <c r="E165" s="554" t="s">
        <v>67</v>
      </c>
      <c r="F165" s="554" t="s">
        <v>68</v>
      </c>
      <c r="G165" s="605">
        <v>34</v>
      </c>
      <c r="H165" s="497">
        <v>83000</v>
      </c>
      <c r="I165" s="524">
        <v>2822000</v>
      </c>
      <c r="J165" s="523">
        <v>987699.99999999988</v>
      </c>
      <c r="K165" s="506">
        <v>1834300</v>
      </c>
      <c r="L165" s="543">
        <v>38500</v>
      </c>
      <c r="M165" s="524"/>
      <c r="N165" s="524">
        <v>1872800</v>
      </c>
      <c r="O165" s="533" t="s">
        <v>23</v>
      </c>
      <c r="P165" s="548"/>
      <c r="Q165" s="533" t="s">
        <v>40</v>
      </c>
      <c r="R165" s="524"/>
      <c r="S165" s="534"/>
      <c r="T165" s="524"/>
      <c r="U165" s="524"/>
      <c r="V165" s="524"/>
      <c r="W165" s="524"/>
      <c r="X165" s="119"/>
    </row>
    <row r="166" spans="1:24" s="203" customFormat="1">
      <c r="A166" s="530">
        <v>44294</v>
      </c>
      <c r="B166" s="533" t="s">
        <v>43</v>
      </c>
      <c r="C166" s="533" t="s">
        <v>3666</v>
      </c>
      <c r="D166" s="547" t="s">
        <v>3667</v>
      </c>
      <c r="E166" s="554" t="s">
        <v>3668</v>
      </c>
      <c r="F166" s="554" t="s">
        <v>1372</v>
      </c>
      <c r="G166" s="605">
        <v>1</v>
      </c>
      <c r="H166" s="497">
        <v>98000</v>
      </c>
      <c r="I166" s="524">
        <v>98000</v>
      </c>
      <c r="J166" s="523"/>
      <c r="K166" s="506">
        <v>98000</v>
      </c>
      <c r="L166" s="543"/>
      <c r="M166" s="524">
        <v>-5488</v>
      </c>
      <c r="N166" s="524">
        <v>92512</v>
      </c>
      <c r="O166" s="533" t="s">
        <v>43</v>
      </c>
      <c r="P166" s="548"/>
      <c r="Q166" s="533" t="s">
        <v>54</v>
      </c>
      <c r="R166" s="524"/>
      <c r="S166" s="534"/>
      <c r="T166" s="524"/>
      <c r="U166" s="524"/>
      <c r="V166" s="524"/>
      <c r="W166" s="524"/>
      <c r="X166" s="119"/>
    </row>
    <row r="167" spans="1:24" s="203" customFormat="1">
      <c r="A167" s="530">
        <v>44295</v>
      </c>
      <c r="B167" s="533" t="s">
        <v>177</v>
      </c>
      <c r="C167" s="533" t="s">
        <v>3669</v>
      </c>
      <c r="D167" s="547" t="s">
        <v>3670</v>
      </c>
      <c r="E167" s="554" t="s">
        <v>3671</v>
      </c>
      <c r="F167" s="554" t="s">
        <v>3672</v>
      </c>
      <c r="G167" s="607">
        <v>1</v>
      </c>
      <c r="H167" s="497">
        <v>58000</v>
      </c>
      <c r="I167" s="524">
        <v>58000</v>
      </c>
      <c r="J167" s="523"/>
      <c r="K167" s="506">
        <v>58000</v>
      </c>
      <c r="L167" s="543">
        <v>8000</v>
      </c>
      <c r="M167" s="524"/>
      <c r="N167" s="524">
        <v>66000</v>
      </c>
      <c r="O167" s="533" t="s">
        <v>177</v>
      </c>
      <c r="P167" s="548"/>
      <c r="Q167" s="533" t="s">
        <v>54</v>
      </c>
      <c r="R167" s="524"/>
      <c r="S167" s="534"/>
      <c r="T167" s="524"/>
      <c r="U167" s="524"/>
      <c r="V167" s="524"/>
      <c r="W167" s="524"/>
      <c r="X167" s="119"/>
    </row>
    <row r="168" spans="1:24" s="203" customFormat="1">
      <c r="A168" s="530">
        <v>44295</v>
      </c>
      <c r="B168" s="533" t="s">
        <v>177</v>
      </c>
      <c r="C168" s="533" t="s">
        <v>3673</v>
      </c>
      <c r="D168" s="547" t="s">
        <v>3674</v>
      </c>
      <c r="E168" s="554" t="s">
        <v>3675</v>
      </c>
      <c r="F168" s="554" t="s">
        <v>3676</v>
      </c>
      <c r="G168" s="605">
        <v>1</v>
      </c>
      <c r="H168" s="497">
        <v>140000</v>
      </c>
      <c r="I168" s="524">
        <v>140000</v>
      </c>
      <c r="J168" s="523"/>
      <c r="K168" s="506">
        <v>140000</v>
      </c>
      <c r="L168" s="543">
        <v>9000</v>
      </c>
      <c r="M168" s="524"/>
      <c r="N168" s="524">
        <v>149000</v>
      </c>
      <c r="O168" s="533" t="s">
        <v>177</v>
      </c>
      <c r="P168" s="548"/>
      <c r="Q168" s="533" t="s">
        <v>54</v>
      </c>
      <c r="R168" s="524"/>
      <c r="S168" s="534"/>
      <c r="T168" s="524"/>
      <c r="U168" s="524"/>
      <c r="V168" s="524"/>
      <c r="W168" s="524"/>
      <c r="X168" s="119"/>
    </row>
    <row r="169" spans="1:24" s="203" customFormat="1">
      <c r="A169" s="530">
        <v>44295</v>
      </c>
      <c r="B169" s="533" t="s">
        <v>23</v>
      </c>
      <c r="C169" s="538" t="s">
        <v>3677</v>
      </c>
      <c r="D169" s="547" t="s">
        <v>3678</v>
      </c>
      <c r="E169" s="554" t="s">
        <v>3679</v>
      </c>
      <c r="F169" s="554" t="s">
        <v>1759</v>
      </c>
      <c r="G169" s="605">
        <v>1</v>
      </c>
      <c r="H169" s="497">
        <v>55000</v>
      </c>
      <c r="I169" s="524">
        <v>55000</v>
      </c>
      <c r="J169" s="523"/>
      <c r="K169" s="506">
        <v>55000</v>
      </c>
      <c r="L169" s="543">
        <v>15000</v>
      </c>
      <c r="M169" s="524"/>
      <c r="N169" s="524">
        <v>70000</v>
      </c>
      <c r="O169" s="533" t="s">
        <v>23</v>
      </c>
      <c r="P169" s="548"/>
      <c r="Q169" s="533" t="s">
        <v>40</v>
      </c>
      <c r="R169" s="524"/>
      <c r="S169" s="534"/>
      <c r="T169" s="524"/>
      <c r="U169" s="524"/>
      <c r="V169" s="524"/>
      <c r="W169" s="524"/>
      <c r="X169" s="119"/>
    </row>
    <row r="170" spans="1:24" s="203" customFormat="1">
      <c r="A170" s="530">
        <v>44295</v>
      </c>
      <c r="B170" s="533" t="s">
        <v>23</v>
      </c>
      <c r="C170" s="538" t="s">
        <v>3680</v>
      </c>
      <c r="D170" s="547" t="s">
        <v>3681</v>
      </c>
      <c r="E170" s="554" t="s">
        <v>3682</v>
      </c>
      <c r="F170" s="554" t="s">
        <v>3683</v>
      </c>
      <c r="G170" s="605">
        <v>1</v>
      </c>
      <c r="H170" s="497">
        <v>114000</v>
      </c>
      <c r="I170" s="524">
        <v>114000</v>
      </c>
      <c r="J170" s="523"/>
      <c r="K170" s="506">
        <v>114000</v>
      </c>
      <c r="L170" s="543">
        <v>17000</v>
      </c>
      <c r="M170" s="523"/>
      <c r="N170" s="524">
        <v>131000</v>
      </c>
      <c r="O170" s="533" t="s">
        <v>23</v>
      </c>
      <c r="P170" s="548"/>
      <c r="Q170" s="533" t="s">
        <v>40</v>
      </c>
      <c r="R170" s="547"/>
      <c r="S170" s="534"/>
      <c r="T170" s="524"/>
      <c r="U170" s="524"/>
      <c r="V170" s="524"/>
      <c r="W170" s="524"/>
      <c r="X170" s="119"/>
    </row>
    <row r="171" spans="1:24" s="203" customFormat="1">
      <c r="A171" s="530">
        <v>44295</v>
      </c>
      <c r="B171" s="533" t="s">
        <v>23</v>
      </c>
      <c r="C171" s="533" t="s">
        <v>431</v>
      </c>
      <c r="D171" s="547" t="s">
        <v>31</v>
      </c>
      <c r="E171" s="608" t="s">
        <v>3684</v>
      </c>
      <c r="F171" s="608" t="s">
        <v>1053</v>
      </c>
      <c r="G171" s="605">
        <v>1</v>
      </c>
      <c r="H171" s="505">
        <v>87000</v>
      </c>
      <c r="I171" s="524">
        <v>87000</v>
      </c>
      <c r="J171" s="523">
        <v>61750</v>
      </c>
      <c r="K171" s="506">
        <v>25250</v>
      </c>
      <c r="L171" s="543"/>
      <c r="M171" s="524"/>
      <c r="N171" s="524">
        <v>25250</v>
      </c>
      <c r="O171" s="533" t="s">
        <v>23</v>
      </c>
      <c r="P171" s="548"/>
      <c r="Q171" s="533" t="s">
        <v>434</v>
      </c>
      <c r="R171" s="547"/>
      <c r="S171" s="534"/>
      <c r="T171" s="524"/>
      <c r="U171" s="524"/>
      <c r="V171" s="524"/>
      <c r="W171" s="524"/>
      <c r="X171" s="119"/>
    </row>
    <row r="172" spans="1:24" s="203" customFormat="1">
      <c r="A172" s="530">
        <v>44295</v>
      </c>
      <c r="B172" s="533" t="s">
        <v>23</v>
      </c>
      <c r="C172" s="533" t="s">
        <v>431</v>
      </c>
      <c r="D172" s="547" t="s">
        <v>31</v>
      </c>
      <c r="E172" s="608" t="s">
        <v>3348</v>
      </c>
      <c r="F172" s="608" t="s">
        <v>3349</v>
      </c>
      <c r="G172" s="605">
        <v>1</v>
      </c>
      <c r="H172" s="505">
        <v>78000</v>
      </c>
      <c r="I172" s="524">
        <v>78000</v>
      </c>
      <c r="J172" s="523">
        <v>19500</v>
      </c>
      <c r="K172" s="506">
        <v>58500</v>
      </c>
      <c r="L172" s="524"/>
      <c r="M172" s="523"/>
      <c r="N172" s="524">
        <v>58500</v>
      </c>
      <c r="O172" s="533" t="s">
        <v>23</v>
      </c>
      <c r="P172" s="597"/>
      <c r="Q172" s="533" t="s">
        <v>434</v>
      </c>
      <c r="R172" s="547"/>
      <c r="S172" s="543"/>
      <c r="T172" s="524"/>
      <c r="U172" s="524"/>
      <c r="V172" s="524"/>
      <c r="W172" s="524"/>
      <c r="X172" s="119"/>
    </row>
    <row r="173" spans="1:24" s="203" customFormat="1" ht="15" customHeight="1">
      <c r="A173" s="530">
        <v>44295</v>
      </c>
      <c r="B173" s="533" t="s">
        <v>23</v>
      </c>
      <c r="C173" s="533" t="s">
        <v>431</v>
      </c>
      <c r="D173" s="547" t="s">
        <v>31</v>
      </c>
      <c r="E173" s="608" t="s">
        <v>3685</v>
      </c>
      <c r="F173" s="608" t="s">
        <v>3686</v>
      </c>
      <c r="G173" s="609">
        <v>1</v>
      </c>
      <c r="H173" s="505">
        <v>84000</v>
      </c>
      <c r="I173" s="524">
        <v>84000</v>
      </c>
      <c r="J173" s="523">
        <v>21000</v>
      </c>
      <c r="K173" s="506">
        <v>63000</v>
      </c>
      <c r="L173" s="543"/>
      <c r="M173" s="524"/>
      <c r="N173" s="524">
        <v>63000</v>
      </c>
      <c r="O173" s="533" t="s">
        <v>23</v>
      </c>
      <c r="P173" s="640"/>
      <c r="Q173" s="533" t="s">
        <v>434</v>
      </c>
      <c r="R173" s="535"/>
      <c r="S173" s="543"/>
      <c r="T173" s="524"/>
      <c r="U173" s="524"/>
      <c r="V173" s="524"/>
      <c r="W173" s="524"/>
      <c r="X173" s="119"/>
    </row>
    <row r="174" spans="1:24">
      <c r="A174" s="530">
        <v>44298</v>
      </c>
      <c r="B174" s="526" t="s">
        <v>43</v>
      </c>
      <c r="C174" s="526" t="s">
        <v>3687</v>
      </c>
      <c r="D174" s="554" t="s">
        <v>3688</v>
      </c>
      <c r="E174" s="613" t="s">
        <v>3012</v>
      </c>
      <c r="F174" s="614" t="s">
        <v>3013</v>
      </c>
      <c r="G174" s="529">
        <v>1</v>
      </c>
      <c r="H174" s="523">
        <v>69000</v>
      </c>
      <c r="I174" s="524">
        <v>69000</v>
      </c>
      <c r="J174" s="505"/>
      <c r="K174" s="506">
        <v>69000</v>
      </c>
      <c r="L174" s="507"/>
      <c r="M174" s="505">
        <v>-3864</v>
      </c>
      <c r="N174" s="524">
        <v>65136</v>
      </c>
      <c r="O174" s="526" t="s">
        <v>43</v>
      </c>
      <c r="P174" s="554" t="s">
        <v>3689</v>
      </c>
      <c r="Q174" s="526" t="s">
        <v>54</v>
      </c>
      <c r="R174" s="505"/>
      <c r="S174" s="508" t="s">
        <v>3690</v>
      </c>
      <c r="T174" s="505"/>
      <c r="U174" s="505"/>
      <c r="V174" s="505"/>
      <c r="W174" s="505"/>
      <c r="X174" s="521"/>
    </row>
    <row r="175" spans="1:24">
      <c r="A175" s="530">
        <v>44298</v>
      </c>
      <c r="B175" s="526" t="s">
        <v>23</v>
      </c>
      <c r="C175" s="526" t="s">
        <v>3623</v>
      </c>
      <c r="D175" s="554" t="s">
        <v>3691</v>
      </c>
      <c r="E175" s="613" t="s">
        <v>3692</v>
      </c>
      <c r="F175" s="613" t="s">
        <v>3693</v>
      </c>
      <c r="G175" s="529">
        <v>1</v>
      </c>
      <c r="H175" s="523">
        <v>78000</v>
      </c>
      <c r="I175" s="524">
        <v>78000</v>
      </c>
      <c r="J175" s="505">
        <v>15600</v>
      </c>
      <c r="K175" s="506">
        <v>62400</v>
      </c>
      <c r="L175" s="507">
        <v>37037</v>
      </c>
      <c r="M175" s="505"/>
      <c r="N175" s="524">
        <v>99437</v>
      </c>
      <c r="O175" s="526" t="s">
        <v>23</v>
      </c>
      <c r="P175" s="505"/>
      <c r="Q175" s="526" t="s">
        <v>54</v>
      </c>
      <c r="R175" s="505"/>
      <c r="S175" s="505"/>
      <c r="T175" s="505"/>
      <c r="U175" s="505"/>
      <c r="V175" s="505"/>
      <c r="W175" s="505"/>
      <c r="X175" s="521"/>
    </row>
    <row r="176" spans="1:24">
      <c r="A176" s="530">
        <v>44298</v>
      </c>
      <c r="B176" s="526" t="s">
        <v>23</v>
      </c>
      <c r="C176" s="526" t="s">
        <v>431</v>
      </c>
      <c r="D176" s="554" t="s">
        <v>31</v>
      </c>
      <c r="E176" s="613" t="s">
        <v>3694</v>
      </c>
      <c r="F176" s="613" t="s">
        <v>1227</v>
      </c>
      <c r="G176" s="529">
        <v>1</v>
      </c>
      <c r="H176" s="523">
        <v>79000</v>
      </c>
      <c r="I176" s="524">
        <v>79000</v>
      </c>
      <c r="J176" s="505">
        <v>19750</v>
      </c>
      <c r="K176" s="506">
        <v>59250</v>
      </c>
      <c r="L176" s="507"/>
      <c r="M176" s="505"/>
      <c r="N176" s="524">
        <v>59250</v>
      </c>
      <c r="O176" s="526" t="s">
        <v>23</v>
      </c>
      <c r="P176" s="505"/>
      <c r="Q176" s="526" t="s">
        <v>35</v>
      </c>
      <c r="R176" s="505"/>
      <c r="S176" s="505"/>
      <c r="T176" s="505"/>
      <c r="U176" s="505"/>
      <c r="V176" s="505"/>
      <c r="W176" s="505"/>
      <c r="X176" s="521"/>
    </row>
    <row r="177" spans="1:24">
      <c r="A177" s="530">
        <v>44299</v>
      </c>
      <c r="B177" s="526" t="s">
        <v>23</v>
      </c>
      <c r="C177" s="615" t="s">
        <v>3695</v>
      </c>
      <c r="D177" s="554" t="s">
        <v>3696</v>
      </c>
      <c r="E177" s="613" t="s">
        <v>3697</v>
      </c>
      <c r="F177" s="613" t="s">
        <v>482</v>
      </c>
      <c r="G177" s="529">
        <v>1</v>
      </c>
      <c r="H177" s="523">
        <v>111500</v>
      </c>
      <c r="I177" s="524">
        <v>111500</v>
      </c>
      <c r="J177" s="505">
        <v>44600</v>
      </c>
      <c r="K177" s="506">
        <v>66900</v>
      </c>
      <c r="L177" s="507">
        <v>19000</v>
      </c>
      <c r="M177" s="505"/>
      <c r="N177" s="524">
        <v>85900</v>
      </c>
      <c r="O177" s="526" t="s">
        <v>23</v>
      </c>
      <c r="P177" s="505"/>
      <c r="Q177" s="526" t="s">
        <v>54</v>
      </c>
      <c r="R177" s="521"/>
      <c r="S177" s="521"/>
      <c r="T177" s="521"/>
      <c r="U177" s="521"/>
      <c r="V177" s="521"/>
      <c r="W177" s="521"/>
      <c r="X177" s="521"/>
    </row>
    <row r="178" spans="1:24">
      <c r="A178" s="530">
        <v>44299</v>
      </c>
      <c r="B178" s="526" t="s">
        <v>23</v>
      </c>
      <c r="C178" s="526" t="s">
        <v>3698</v>
      </c>
      <c r="D178" s="554" t="s">
        <v>3699</v>
      </c>
      <c r="E178" s="525" t="s">
        <v>3700</v>
      </c>
      <c r="F178" s="525" t="s">
        <v>3701</v>
      </c>
      <c r="G178" s="529">
        <v>1</v>
      </c>
      <c r="H178" s="523">
        <v>282500</v>
      </c>
      <c r="I178" s="524">
        <v>282500</v>
      </c>
      <c r="J178" s="505"/>
      <c r="K178" s="506">
        <v>282500</v>
      </c>
      <c r="L178" s="507">
        <v>37000</v>
      </c>
      <c r="M178" s="505"/>
      <c r="N178" s="524">
        <v>319500</v>
      </c>
      <c r="O178" s="526" t="s">
        <v>23</v>
      </c>
      <c r="P178" s="505"/>
      <c r="Q178" s="526" t="s">
        <v>54</v>
      </c>
      <c r="R178" s="521"/>
      <c r="S178" s="521"/>
      <c r="T178" s="521"/>
      <c r="U178" s="521"/>
      <c r="V178" s="521"/>
      <c r="W178" s="521"/>
      <c r="X178" s="521"/>
    </row>
    <row r="179" spans="1:24">
      <c r="A179" s="530">
        <v>44299</v>
      </c>
      <c r="B179" s="526" t="s">
        <v>23</v>
      </c>
      <c r="C179" s="615" t="s">
        <v>3702</v>
      </c>
      <c r="D179" s="554" t="s">
        <v>3703</v>
      </c>
      <c r="E179" s="613" t="s">
        <v>3704</v>
      </c>
      <c r="F179" s="613" t="s">
        <v>3705</v>
      </c>
      <c r="G179" s="529">
        <v>1</v>
      </c>
      <c r="H179" s="523">
        <v>114000</v>
      </c>
      <c r="I179" s="524">
        <v>114000</v>
      </c>
      <c r="J179" s="505"/>
      <c r="K179" s="506">
        <v>114000</v>
      </c>
      <c r="L179" s="524">
        <v>11000</v>
      </c>
      <c r="M179" s="505"/>
      <c r="N179" s="524">
        <v>125000</v>
      </c>
      <c r="O179" s="526" t="s">
        <v>23</v>
      </c>
      <c r="P179" s="505"/>
      <c r="Q179" s="526" t="s">
        <v>40</v>
      </c>
      <c r="R179" s="521"/>
      <c r="S179" s="521"/>
      <c r="T179" s="521"/>
      <c r="U179" s="521"/>
      <c r="V179" s="521"/>
      <c r="W179" s="521"/>
      <c r="X179" s="521"/>
    </row>
    <row r="180" spans="1:24">
      <c r="A180" s="530">
        <v>44299</v>
      </c>
      <c r="B180" s="526" t="s">
        <v>23</v>
      </c>
      <c r="C180" s="615" t="s">
        <v>3706</v>
      </c>
      <c r="D180" s="554" t="s">
        <v>3707</v>
      </c>
      <c r="E180" s="613" t="s">
        <v>3708</v>
      </c>
      <c r="F180" s="613" t="s">
        <v>3709</v>
      </c>
      <c r="G180" s="529">
        <v>1</v>
      </c>
      <c r="H180" s="523">
        <v>97000</v>
      </c>
      <c r="I180" s="524">
        <v>97000</v>
      </c>
      <c r="J180" s="505"/>
      <c r="K180" s="506">
        <v>97000</v>
      </c>
      <c r="L180" s="524">
        <v>23000</v>
      </c>
      <c r="M180" s="505"/>
      <c r="N180" s="524">
        <v>120000</v>
      </c>
      <c r="O180" s="526" t="s">
        <v>23</v>
      </c>
      <c r="P180" s="505"/>
      <c r="Q180" s="526" t="s">
        <v>54</v>
      </c>
      <c r="R180" s="521"/>
      <c r="S180" s="521"/>
      <c r="T180" s="521"/>
      <c r="U180" s="521"/>
      <c r="V180" s="521"/>
      <c r="W180" s="521"/>
      <c r="X180" s="521"/>
    </row>
    <row r="181" spans="1:24">
      <c r="A181" s="530">
        <v>44299</v>
      </c>
      <c r="B181" s="526" t="s">
        <v>23</v>
      </c>
      <c r="C181" s="615" t="s">
        <v>3710</v>
      </c>
      <c r="D181" s="554" t="s">
        <v>3711</v>
      </c>
      <c r="E181" s="613" t="s">
        <v>3682</v>
      </c>
      <c r="F181" s="613" t="s">
        <v>3683</v>
      </c>
      <c r="G181" s="529">
        <v>1</v>
      </c>
      <c r="H181" s="523">
        <v>114000</v>
      </c>
      <c r="I181" s="524">
        <v>114000</v>
      </c>
      <c r="J181" s="505"/>
      <c r="K181" s="506">
        <v>114000</v>
      </c>
      <c r="L181" s="524">
        <v>17000</v>
      </c>
      <c r="M181" s="505"/>
      <c r="N181" s="524">
        <v>131000</v>
      </c>
      <c r="O181" s="526" t="s">
        <v>23</v>
      </c>
      <c r="P181" s="505"/>
      <c r="Q181" s="526" t="s">
        <v>40</v>
      </c>
      <c r="R181" s="521"/>
      <c r="S181" s="521"/>
      <c r="T181" s="521"/>
      <c r="U181" s="521"/>
      <c r="V181" s="521"/>
      <c r="W181" s="521"/>
      <c r="X181" s="521"/>
    </row>
    <row r="182" spans="1:24">
      <c r="A182" s="530">
        <v>44299</v>
      </c>
      <c r="B182" s="526" t="s">
        <v>43</v>
      </c>
      <c r="C182" s="615" t="s">
        <v>3712</v>
      </c>
      <c r="D182" s="554" t="s">
        <v>3713</v>
      </c>
      <c r="E182" s="613" t="s">
        <v>1260</v>
      </c>
      <c r="F182" s="613" t="s">
        <v>1261</v>
      </c>
      <c r="G182" s="529">
        <v>1</v>
      </c>
      <c r="H182" s="523">
        <v>84000</v>
      </c>
      <c r="I182" s="524">
        <v>84000</v>
      </c>
      <c r="J182" s="505">
        <v>16800</v>
      </c>
      <c r="K182" s="506">
        <v>67200</v>
      </c>
      <c r="L182" s="524">
        <v>52000</v>
      </c>
      <c r="M182" s="505">
        <v>-3763</v>
      </c>
      <c r="N182" s="524">
        <v>115437</v>
      </c>
      <c r="O182" s="526" t="s">
        <v>43</v>
      </c>
      <c r="P182" s="505"/>
      <c r="Q182" s="526" t="s">
        <v>138</v>
      </c>
      <c r="R182" s="521"/>
      <c r="S182" s="521"/>
      <c r="T182" s="521"/>
      <c r="U182" s="521"/>
      <c r="V182" s="521"/>
      <c r="W182" s="521"/>
      <c r="X182" s="521"/>
    </row>
    <row r="183" spans="1:24">
      <c r="A183" s="530">
        <v>44299</v>
      </c>
      <c r="B183" s="526" t="s">
        <v>170</v>
      </c>
      <c r="C183" s="615" t="s">
        <v>3714</v>
      </c>
      <c r="D183" s="554" t="s">
        <v>3715</v>
      </c>
      <c r="E183" s="613" t="s">
        <v>3716</v>
      </c>
      <c r="F183" s="613" t="s">
        <v>3717</v>
      </c>
      <c r="G183" s="529">
        <v>1</v>
      </c>
      <c r="H183" s="523">
        <v>78000</v>
      </c>
      <c r="I183" s="524">
        <v>78000</v>
      </c>
      <c r="J183" s="505">
        <v>15600</v>
      </c>
      <c r="K183" s="506">
        <v>62400</v>
      </c>
      <c r="L183" s="507">
        <v>0</v>
      </c>
      <c r="M183" s="505"/>
      <c r="N183" s="524">
        <v>62400</v>
      </c>
      <c r="O183" s="526" t="s">
        <v>170</v>
      </c>
      <c r="P183" s="505"/>
      <c r="Q183" s="526" t="s">
        <v>176</v>
      </c>
      <c r="R183" s="521"/>
      <c r="S183" s="521"/>
      <c r="T183" s="521"/>
      <c r="U183" s="521"/>
      <c r="V183" s="521"/>
      <c r="W183" s="521"/>
      <c r="X183" s="521"/>
    </row>
    <row r="184" spans="1:24">
      <c r="A184" s="530">
        <v>44299</v>
      </c>
      <c r="B184" s="526" t="s">
        <v>177</v>
      </c>
      <c r="C184" s="615" t="s">
        <v>3718</v>
      </c>
      <c r="D184" s="554" t="s">
        <v>3719</v>
      </c>
      <c r="E184" s="613" t="s">
        <v>3720</v>
      </c>
      <c r="F184" s="613" t="s">
        <v>873</v>
      </c>
      <c r="G184" s="529">
        <v>1</v>
      </c>
      <c r="H184" s="523">
        <v>144000</v>
      </c>
      <c r="I184" s="524">
        <v>144000</v>
      </c>
      <c r="J184" s="505">
        <v>28800</v>
      </c>
      <c r="K184" s="506">
        <v>115200</v>
      </c>
      <c r="L184" s="524">
        <v>9000</v>
      </c>
      <c r="M184" s="505"/>
      <c r="N184" s="524">
        <v>124200</v>
      </c>
      <c r="O184" s="526" t="s">
        <v>177</v>
      </c>
      <c r="P184" s="505"/>
      <c r="Q184" s="526" t="s">
        <v>54</v>
      </c>
      <c r="R184" s="521"/>
      <c r="S184" s="521"/>
      <c r="T184" s="521"/>
      <c r="U184" s="521"/>
      <c r="V184" s="521"/>
      <c r="W184" s="521"/>
      <c r="X184" s="521"/>
    </row>
    <row r="185" spans="1:24">
      <c r="A185" s="530">
        <v>44299</v>
      </c>
      <c r="B185" s="526" t="s">
        <v>177</v>
      </c>
      <c r="C185" s="615" t="s">
        <v>3721</v>
      </c>
      <c r="D185" s="554" t="s">
        <v>3722</v>
      </c>
      <c r="E185" s="613" t="s">
        <v>471</v>
      </c>
      <c r="F185" s="613" t="s">
        <v>472</v>
      </c>
      <c r="G185" s="529">
        <v>1</v>
      </c>
      <c r="H185" s="523">
        <v>111000</v>
      </c>
      <c r="I185" s="524">
        <v>111000</v>
      </c>
      <c r="J185" s="505"/>
      <c r="K185" s="506">
        <v>111000</v>
      </c>
      <c r="L185" s="524">
        <v>46000</v>
      </c>
      <c r="M185" s="505"/>
      <c r="N185" s="524">
        <v>157000</v>
      </c>
      <c r="O185" s="526" t="s">
        <v>177</v>
      </c>
      <c r="P185" s="505"/>
      <c r="Q185" s="526" t="s">
        <v>54</v>
      </c>
      <c r="R185" s="521"/>
      <c r="S185" s="521"/>
      <c r="T185" s="521"/>
      <c r="U185" s="521"/>
      <c r="V185" s="521"/>
      <c r="W185" s="521"/>
      <c r="X185" s="521"/>
    </row>
    <row r="186" spans="1:24">
      <c r="A186" s="530">
        <v>44299</v>
      </c>
      <c r="B186" s="526" t="s">
        <v>313</v>
      </c>
      <c r="C186" s="614" t="s">
        <v>3723</v>
      </c>
      <c r="D186" s="554" t="s">
        <v>3724</v>
      </c>
      <c r="E186" s="613" t="s">
        <v>3725</v>
      </c>
      <c r="F186" s="613" t="s">
        <v>3726</v>
      </c>
      <c r="G186" s="529">
        <v>1</v>
      </c>
      <c r="H186" s="523">
        <v>180000</v>
      </c>
      <c r="I186" s="524">
        <v>180000</v>
      </c>
      <c r="J186" s="505"/>
      <c r="K186" s="506">
        <v>180000</v>
      </c>
      <c r="L186" s="524">
        <v>16052</v>
      </c>
      <c r="M186" s="505"/>
      <c r="N186" s="524">
        <v>196052</v>
      </c>
      <c r="O186" s="526" t="s">
        <v>313</v>
      </c>
      <c r="P186" s="505"/>
      <c r="Q186" s="525" t="s">
        <v>40</v>
      </c>
      <c r="R186" s="521"/>
      <c r="S186" s="521"/>
      <c r="T186" s="521"/>
      <c r="U186" s="521"/>
      <c r="V186" s="521"/>
      <c r="W186" s="521"/>
      <c r="X186" s="521"/>
    </row>
    <row r="187" spans="1:24">
      <c r="A187" s="530">
        <v>44299</v>
      </c>
      <c r="B187" s="525" t="s">
        <v>23</v>
      </c>
      <c r="C187" s="525" t="s">
        <v>431</v>
      </c>
      <c r="D187" s="554" t="s">
        <v>31</v>
      </c>
      <c r="E187" s="616" t="s">
        <v>3727</v>
      </c>
      <c r="F187" s="616" t="s">
        <v>3728</v>
      </c>
      <c r="G187" s="617">
        <v>1</v>
      </c>
      <c r="H187" s="505">
        <v>61000</v>
      </c>
      <c r="I187" s="524">
        <v>61000</v>
      </c>
      <c r="J187" s="505">
        <v>55250</v>
      </c>
      <c r="K187" s="506">
        <v>5750</v>
      </c>
      <c r="L187" s="507"/>
      <c r="M187" s="505"/>
      <c r="N187" s="524">
        <v>5750</v>
      </c>
      <c r="O187" s="525" t="s">
        <v>23</v>
      </c>
      <c r="P187" s="505"/>
      <c r="Q187" s="525" t="s">
        <v>434</v>
      </c>
      <c r="R187" s="521"/>
      <c r="S187" s="521"/>
      <c r="T187" s="521"/>
      <c r="U187" s="521"/>
      <c r="V187" s="521"/>
      <c r="W187" s="521"/>
      <c r="X187" s="521"/>
    </row>
    <row r="188" spans="1:24">
      <c r="A188" s="530">
        <v>44299</v>
      </c>
      <c r="B188" s="525" t="s">
        <v>23</v>
      </c>
      <c r="C188" s="525" t="s">
        <v>431</v>
      </c>
      <c r="D188" s="554" t="s">
        <v>31</v>
      </c>
      <c r="E188" s="616" t="s">
        <v>3177</v>
      </c>
      <c r="F188" s="616" t="s">
        <v>3178</v>
      </c>
      <c r="G188" s="617">
        <v>2</v>
      </c>
      <c r="H188" s="505">
        <v>74000</v>
      </c>
      <c r="I188" s="524">
        <v>148000</v>
      </c>
      <c r="J188" s="505">
        <v>37000</v>
      </c>
      <c r="K188" s="506">
        <v>111000</v>
      </c>
      <c r="L188" s="507"/>
      <c r="M188" s="505"/>
      <c r="N188" s="524">
        <v>111000</v>
      </c>
      <c r="O188" s="525" t="s">
        <v>23</v>
      </c>
      <c r="P188" s="505"/>
      <c r="Q188" s="525" t="s">
        <v>434</v>
      </c>
      <c r="R188" s="521"/>
      <c r="S188" s="521"/>
      <c r="T188" s="521"/>
      <c r="U188" s="521"/>
      <c r="V188" s="521"/>
      <c r="W188" s="521"/>
      <c r="X188" s="521"/>
    </row>
    <row r="189" spans="1:24">
      <c r="A189" s="530">
        <v>44299</v>
      </c>
      <c r="B189" s="525" t="s">
        <v>23</v>
      </c>
      <c r="C189" s="525" t="s">
        <v>431</v>
      </c>
      <c r="D189" s="554" t="s">
        <v>31</v>
      </c>
      <c r="E189" s="616" t="s">
        <v>1012</v>
      </c>
      <c r="F189" s="616" t="s">
        <v>1013</v>
      </c>
      <c r="G189" s="617">
        <v>2</v>
      </c>
      <c r="H189" s="505">
        <v>84000</v>
      </c>
      <c r="I189" s="524">
        <v>168000</v>
      </c>
      <c r="J189" s="505">
        <v>42000</v>
      </c>
      <c r="K189" s="506">
        <v>126000</v>
      </c>
      <c r="L189" s="507"/>
      <c r="M189" s="505"/>
      <c r="N189" s="524">
        <v>126000</v>
      </c>
      <c r="O189" s="525" t="s">
        <v>23</v>
      </c>
      <c r="P189" s="505"/>
      <c r="Q189" s="525" t="s">
        <v>434</v>
      </c>
      <c r="R189" s="521"/>
      <c r="S189" s="521"/>
      <c r="T189" s="521"/>
      <c r="U189" s="521"/>
      <c r="V189" s="521"/>
      <c r="W189" s="521"/>
      <c r="X189" s="521"/>
    </row>
    <row r="190" spans="1:24">
      <c r="A190" s="530">
        <v>44299</v>
      </c>
      <c r="B190" s="525" t="s">
        <v>23</v>
      </c>
      <c r="C190" s="525" t="s">
        <v>431</v>
      </c>
      <c r="D190" s="554" t="s">
        <v>31</v>
      </c>
      <c r="E190" s="616" t="s">
        <v>3729</v>
      </c>
      <c r="F190" s="616" t="s">
        <v>3730</v>
      </c>
      <c r="G190" s="617">
        <v>2</v>
      </c>
      <c r="H190" s="505">
        <v>84000</v>
      </c>
      <c r="I190" s="524">
        <v>168000</v>
      </c>
      <c r="J190" s="505">
        <v>42000</v>
      </c>
      <c r="K190" s="506">
        <v>126000</v>
      </c>
      <c r="L190" s="507"/>
      <c r="M190" s="505"/>
      <c r="N190" s="524">
        <v>126000</v>
      </c>
      <c r="O190" s="525" t="s">
        <v>23</v>
      </c>
      <c r="P190" s="505"/>
      <c r="Q190" s="525" t="s">
        <v>434</v>
      </c>
      <c r="R190" s="521"/>
      <c r="S190" s="521"/>
      <c r="T190" s="521"/>
      <c r="U190" s="521"/>
      <c r="V190" s="521"/>
      <c r="W190" s="521"/>
      <c r="X190" s="521"/>
    </row>
    <row r="191" spans="1:24">
      <c r="A191" s="530">
        <v>44299</v>
      </c>
      <c r="B191" s="525" t="s">
        <v>23</v>
      </c>
      <c r="C191" s="525" t="s">
        <v>431</v>
      </c>
      <c r="D191" s="554" t="s">
        <v>31</v>
      </c>
      <c r="E191" s="616" t="s">
        <v>3731</v>
      </c>
      <c r="F191" s="616" t="s">
        <v>3732</v>
      </c>
      <c r="G191" s="617">
        <v>2</v>
      </c>
      <c r="H191" s="505">
        <v>89000</v>
      </c>
      <c r="I191" s="524">
        <v>178000</v>
      </c>
      <c r="J191" s="505">
        <v>44500</v>
      </c>
      <c r="K191" s="506">
        <v>133500</v>
      </c>
      <c r="L191" s="507"/>
      <c r="M191" s="505"/>
      <c r="N191" s="524">
        <v>133500</v>
      </c>
      <c r="O191" s="525" t="s">
        <v>23</v>
      </c>
      <c r="P191" s="505"/>
      <c r="Q191" s="525" t="s">
        <v>434</v>
      </c>
      <c r="R191" s="521"/>
      <c r="S191" s="521"/>
      <c r="T191" s="521"/>
      <c r="U191" s="521"/>
      <c r="V191" s="521"/>
      <c r="W191" s="521"/>
      <c r="X191" s="521"/>
    </row>
    <row r="192" spans="1:24">
      <c r="A192" s="530">
        <v>44299</v>
      </c>
      <c r="B192" s="525" t="s">
        <v>23</v>
      </c>
      <c r="C192" s="525" t="s">
        <v>431</v>
      </c>
      <c r="D192" s="554" t="s">
        <v>31</v>
      </c>
      <c r="E192" s="616" t="s">
        <v>3733</v>
      </c>
      <c r="F192" s="616" t="s">
        <v>3734</v>
      </c>
      <c r="G192" s="617">
        <v>2</v>
      </c>
      <c r="H192" s="505">
        <v>99000</v>
      </c>
      <c r="I192" s="524">
        <v>198000</v>
      </c>
      <c r="J192" s="505">
        <v>49500</v>
      </c>
      <c r="K192" s="506">
        <v>148500</v>
      </c>
      <c r="L192" s="507"/>
      <c r="M192" s="505"/>
      <c r="N192" s="524">
        <v>148500</v>
      </c>
      <c r="O192" s="525" t="s">
        <v>23</v>
      </c>
      <c r="P192" s="505"/>
      <c r="Q192" s="525" t="s">
        <v>434</v>
      </c>
      <c r="R192" s="521"/>
      <c r="S192" s="521"/>
      <c r="T192" s="521"/>
      <c r="U192" s="521"/>
      <c r="V192" s="521"/>
      <c r="W192" s="521"/>
      <c r="X192" s="521"/>
    </row>
    <row r="193" spans="1:24">
      <c r="A193" s="530">
        <v>44299</v>
      </c>
      <c r="B193" s="525" t="s">
        <v>23</v>
      </c>
      <c r="C193" s="525" t="s">
        <v>431</v>
      </c>
      <c r="D193" s="554" t="s">
        <v>31</v>
      </c>
      <c r="E193" s="616" t="s">
        <v>3735</v>
      </c>
      <c r="F193" s="616" t="s">
        <v>3736</v>
      </c>
      <c r="G193" s="618">
        <v>2</v>
      </c>
      <c r="H193" s="505">
        <v>110000</v>
      </c>
      <c r="I193" s="524">
        <v>220000</v>
      </c>
      <c r="J193" s="505">
        <v>55000</v>
      </c>
      <c r="K193" s="506">
        <v>165000</v>
      </c>
      <c r="L193" s="507"/>
      <c r="M193" s="505"/>
      <c r="N193" s="524">
        <v>165000</v>
      </c>
      <c r="O193" s="525" t="s">
        <v>23</v>
      </c>
      <c r="P193" s="505"/>
      <c r="Q193" s="525" t="s">
        <v>434</v>
      </c>
      <c r="R193" s="505"/>
      <c r="S193" s="505"/>
      <c r="T193" s="505"/>
      <c r="U193" s="505"/>
      <c r="V193" s="505"/>
      <c r="W193" s="505"/>
      <c r="X193" s="521"/>
    </row>
    <row r="194" spans="1:24">
      <c r="A194" s="530">
        <v>44299</v>
      </c>
      <c r="B194" s="525" t="s">
        <v>23</v>
      </c>
      <c r="C194" s="525" t="s">
        <v>431</v>
      </c>
      <c r="D194" s="547" t="s">
        <v>31</v>
      </c>
      <c r="E194" s="616" t="s">
        <v>3737</v>
      </c>
      <c r="F194" s="616" t="s">
        <v>1854</v>
      </c>
      <c r="G194" s="617">
        <v>2</v>
      </c>
      <c r="H194" s="505">
        <v>199000</v>
      </c>
      <c r="I194" s="524">
        <v>398000</v>
      </c>
      <c r="J194" s="505">
        <v>99500</v>
      </c>
      <c r="K194" s="506">
        <v>298500</v>
      </c>
      <c r="L194" s="610"/>
      <c r="M194" s="524"/>
      <c r="N194" s="524">
        <v>298500</v>
      </c>
      <c r="O194" s="525" t="s">
        <v>23</v>
      </c>
      <c r="P194" s="548"/>
      <c r="Q194" s="525" t="s">
        <v>434</v>
      </c>
      <c r="R194" s="524"/>
      <c r="S194" s="547"/>
      <c r="T194" s="524"/>
      <c r="U194" s="524"/>
      <c r="V194" s="524"/>
      <c r="W194" s="524"/>
      <c r="X194" s="521"/>
    </row>
    <row r="195" spans="1:24">
      <c r="A195" s="530">
        <v>44299</v>
      </c>
      <c r="B195" s="525" t="s">
        <v>23</v>
      </c>
      <c r="C195" s="525" t="s">
        <v>431</v>
      </c>
      <c r="D195" s="547" t="s">
        <v>31</v>
      </c>
      <c r="E195" s="616" t="s">
        <v>3685</v>
      </c>
      <c r="F195" s="616" t="s">
        <v>3686</v>
      </c>
      <c r="G195" s="617">
        <v>1</v>
      </c>
      <c r="H195" s="505">
        <v>84000</v>
      </c>
      <c r="I195" s="524">
        <v>84000</v>
      </c>
      <c r="J195" s="505">
        <v>21000</v>
      </c>
      <c r="K195" s="506">
        <v>63000</v>
      </c>
      <c r="L195" s="580"/>
      <c r="M195" s="524"/>
      <c r="N195" s="524">
        <v>63000</v>
      </c>
      <c r="O195" s="525" t="s">
        <v>23</v>
      </c>
      <c r="P195" s="547"/>
      <c r="Q195" s="525" t="s">
        <v>434</v>
      </c>
      <c r="R195" s="524"/>
      <c r="S195" s="547"/>
      <c r="T195" s="524"/>
      <c r="U195" s="524"/>
      <c r="V195" s="524"/>
      <c r="W195" s="524"/>
      <c r="X195" s="521"/>
    </row>
    <row r="196" spans="1:24">
      <c r="A196" s="530">
        <v>44299</v>
      </c>
      <c r="B196" s="526" t="s">
        <v>313</v>
      </c>
      <c r="C196" s="615" t="s">
        <v>3738</v>
      </c>
      <c r="D196" s="547" t="s">
        <v>3739</v>
      </c>
      <c r="E196" s="613" t="s">
        <v>3740</v>
      </c>
      <c r="F196" s="613" t="s">
        <v>3653</v>
      </c>
      <c r="G196" s="529">
        <v>1</v>
      </c>
      <c r="H196" s="523">
        <v>108000</v>
      </c>
      <c r="I196" s="524">
        <v>108000</v>
      </c>
      <c r="J196" s="523">
        <v>21600</v>
      </c>
      <c r="K196" s="506">
        <v>86400</v>
      </c>
      <c r="L196" s="610">
        <v>7000</v>
      </c>
      <c r="M196" s="524"/>
      <c r="N196" s="524">
        <v>93400</v>
      </c>
      <c r="O196" s="526" t="s">
        <v>23</v>
      </c>
      <c r="P196" s="547"/>
      <c r="Q196" s="526" t="s">
        <v>28</v>
      </c>
      <c r="R196" s="524"/>
      <c r="S196" s="534"/>
      <c r="T196" s="524"/>
      <c r="U196" s="524"/>
      <c r="V196" s="524"/>
      <c r="W196" s="524"/>
      <c r="X196" s="521"/>
    </row>
    <row r="197" spans="1:24">
      <c r="A197" s="530">
        <v>44299</v>
      </c>
      <c r="B197" s="526" t="s">
        <v>23</v>
      </c>
      <c r="C197" s="615" t="s">
        <v>3741</v>
      </c>
      <c r="D197" s="547" t="s">
        <v>3742</v>
      </c>
      <c r="E197" s="613" t="s">
        <v>3743</v>
      </c>
      <c r="F197" s="613" t="s">
        <v>3709</v>
      </c>
      <c r="G197" s="529">
        <v>1</v>
      </c>
      <c r="H197" s="523">
        <v>51000</v>
      </c>
      <c r="I197" s="524">
        <v>51000</v>
      </c>
      <c r="J197" s="523"/>
      <c r="K197" s="506">
        <v>51000</v>
      </c>
      <c r="L197" s="523">
        <v>23000</v>
      </c>
      <c r="M197" s="523"/>
      <c r="N197" s="524">
        <v>74000</v>
      </c>
      <c r="O197" s="526" t="s">
        <v>23</v>
      </c>
      <c r="P197" s="509"/>
      <c r="Q197" s="526" t="s">
        <v>54</v>
      </c>
      <c r="R197" s="524"/>
      <c r="S197" s="553"/>
      <c r="T197" s="524"/>
      <c r="U197" s="524"/>
      <c r="V197" s="524"/>
      <c r="W197" s="524"/>
      <c r="X197" s="521"/>
    </row>
    <row r="198" spans="1:24">
      <c r="A198" s="530">
        <v>44299</v>
      </c>
      <c r="B198" s="526" t="s">
        <v>23</v>
      </c>
      <c r="C198" s="615" t="s">
        <v>3744</v>
      </c>
      <c r="D198" s="547" t="s">
        <v>3745</v>
      </c>
      <c r="E198" s="613" t="s">
        <v>3743</v>
      </c>
      <c r="F198" s="613" t="s">
        <v>3709</v>
      </c>
      <c r="G198" s="529">
        <v>1</v>
      </c>
      <c r="H198" s="523">
        <v>51000</v>
      </c>
      <c r="I198" s="524">
        <v>51000</v>
      </c>
      <c r="J198" s="523"/>
      <c r="K198" s="506">
        <v>51000</v>
      </c>
      <c r="L198" s="523">
        <v>23000</v>
      </c>
      <c r="M198" s="523"/>
      <c r="N198" s="524">
        <v>74000</v>
      </c>
      <c r="O198" s="526" t="s">
        <v>23</v>
      </c>
      <c r="P198" s="548"/>
      <c r="Q198" s="526" t="s">
        <v>54</v>
      </c>
      <c r="R198" s="524"/>
      <c r="S198" s="534"/>
      <c r="T198" s="524"/>
      <c r="U198" s="524"/>
      <c r="V198" s="524"/>
      <c r="W198" s="524"/>
      <c r="X198" s="521"/>
    </row>
    <row r="199" spans="1:24">
      <c r="A199" s="530">
        <v>44299</v>
      </c>
      <c r="B199" s="526" t="s">
        <v>23</v>
      </c>
      <c r="C199" s="615" t="s">
        <v>3746</v>
      </c>
      <c r="D199" s="547" t="s">
        <v>3747</v>
      </c>
      <c r="E199" s="613" t="s">
        <v>3682</v>
      </c>
      <c r="F199" s="613" t="s">
        <v>3683</v>
      </c>
      <c r="G199" s="529">
        <v>1</v>
      </c>
      <c r="H199" s="523">
        <v>114000</v>
      </c>
      <c r="I199" s="524">
        <v>114000</v>
      </c>
      <c r="J199" s="523"/>
      <c r="K199" s="506">
        <v>114000</v>
      </c>
      <c r="L199" s="523">
        <v>17000</v>
      </c>
      <c r="M199" s="523"/>
      <c r="N199" s="524">
        <v>131000</v>
      </c>
      <c r="O199" s="526" t="s">
        <v>23</v>
      </c>
      <c r="P199" s="548"/>
      <c r="Q199" s="525" t="s">
        <v>40</v>
      </c>
      <c r="R199" s="524"/>
      <c r="S199" s="534"/>
      <c r="T199" s="524"/>
      <c r="U199" s="524"/>
      <c r="V199" s="524"/>
      <c r="W199" s="524"/>
      <c r="X199" s="521"/>
    </row>
    <row r="200" spans="1:24">
      <c r="A200" s="530">
        <v>44299</v>
      </c>
      <c r="B200" s="526" t="s">
        <v>23</v>
      </c>
      <c r="C200" s="526" t="s">
        <v>3748</v>
      </c>
      <c r="D200" s="547" t="s">
        <v>3749</v>
      </c>
      <c r="E200" s="613" t="s">
        <v>2355</v>
      </c>
      <c r="F200" s="613" t="s">
        <v>2356</v>
      </c>
      <c r="G200" s="529">
        <v>1</v>
      </c>
      <c r="H200" s="523">
        <v>132000</v>
      </c>
      <c r="I200" s="524">
        <v>132000</v>
      </c>
      <c r="J200" s="523"/>
      <c r="K200" s="506">
        <v>132000</v>
      </c>
      <c r="L200" s="523">
        <v>55000</v>
      </c>
      <c r="M200" s="523"/>
      <c r="N200" s="524">
        <v>187000</v>
      </c>
      <c r="O200" s="526" t="s">
        <v>23</v>
      </c>
      <c r="P200" s="548"/>
      <c r="Q200" s="525" t="s">
        <v>40</v>
      </c>
      <c r="R200" s="524"/>
      <c r="S200" s="534"/>
      <c r="T200" s="524"/>
      <c r="U200" s="524"/>
      <c r="V200" s="524"/>
      <c r="W200" s="524"/>
      <c r="X200" s="521"/>
    </row>
    <row r="201" spans="1:24">
      <c r="A201" s="530">
        <v>44300</v>
      </c>
      <c r="B201" s="526" t="s">
        <v>43</v>
      </c>
      <c r="C201" s="526" t="s">
        <v>3750</v>
      </c>
      <c r="D201" s="547" t="s">
        <v>3751</v>
      </c>
      <c r="E201" s="619" t="s">
        <v>3752</v>
      </c>
      <c r="F201" s="619" t="s">
        <v>3753</v>
      </c>
      <c r="G201" s="529">
        <v>1</v>
      </c>
      <c r="H201" s="523">
        <v>87000</v>
      </c>
      <c r="I201" s="524">
        <v>87000</v>
      </c>
      <c r="J201" s="523">
        <v>17400</v>
      </c>
      <c r="K201" s="527">
        <v>69600</v>
      </c>
      <c r="L201" s="523"/>
      <c r="M201" s="523">
        <v>-11375</v>
      </c>
      <c r="N201" s="524">
        <v>58225</v>
      </c>
      <c r="O201" s="526" t="s">
        <v>43</v>
      </c>
      <c r="P201" s="547"/>
      <c r="Q201" s="526" t="s">
        <v>54</v>
      </c>
      <c r="R201" s="524"/>
      <c r="S201" s="510"/>
      <c r="T201" s="524"/>
      <c r="U201" s="524"/>
      <c r="V201" s="524"/>
      <c r="W201" s="524"/>
      <c r="X201" s="521"/>
    </row>
    <row r="202" spans="1:24" ht="15.6">
      <c r="A202" s="530">
        <v>44300</v>
      </c>
      <c r="B202" s="526" t="s">
        <v>43</v>
      </c>
      <c r="C202" s="526" t="s">
        <v>3750</v>
      </c>
      <c r="D202" s="547" t="s">
        <v>3754</v>
      </c>
      <c r="E202" s="619" t="s">
        <v>3755</v>
      </c>
      <c r="F202" s="619" t="s">
        <v>3756</v>
      </c>
      <c r="G202" s="529">
        <v>1</v>
      </c>
      <c r="H202" s="523">
        <v>87500</v>
      </c>
      <c r="I202" s="524">
        <v>87500</v>
      </c>
      <c r="J202" s="523">
        <v>17500</v>
      </c>
      <c r="K202" s="527">
        <v>70000</v>
      </c>
      <c r="L202" s="523"/>
      <c r="M202" s="523"/>
      <c r="N202" s="524">
        <v>70000</v>
      </c>
      <c r="O202" s="526" t="s">
        <v>43</v>
      </c>
      <c r="P202" s="523"/>
      <c r="Q202" s="526" t="s">
        <v>54</v>
      </c>
      <c r="R202" s="524"/>
      <c r="S202" s="511"/>
      <c r="T202" s="524"/>
      <c r="U202" s="524"/>
      <c r="V202" s="524"/>
      <c r="W202" s="524"/>
      <c r="X202" s="521"/>
    </row>
    <row r="203" spans="1:24">
      <c r="A203" s="530">
        <v>44300</v>
      </c>
      <c r="B203" s="526" t="s">
        <v>43</v>
      </c>
      <c r="C203" s="526" t="s">
        <v>3750</v>
      </c>
      <c r="D203" s="547" t="s">
        <v>3757</v>
      </c>
      <c r="E203" s="619" t="s">
        <v>2981</v>
      </c>
      <c r="F203" s="619" t="s">
        <v>2982</v>
      </c>
      <c r="G203" s="529">
        <v>1</v>
      </c>
      <c r="H203" s="523">
        <v>79000</v>
      </c>
      <c r="I203" s="524">
        <v>79000</v>
      </c>
      <c r="J203" s="523">
        <v>15800</v>
      </c>
      <c r="K203" s="527">
        <v>63200</v>
      </c>
      <c r="L203" s="523"/>
      <c r="M203" s="523"/>
      <c r="N203" s="524">
        <v>63200</v>
      </c>
      <c r="O203" s="526" t="s">
        <v>43</v>
      </c>
      <c r="P203" s="523"/>
      <c r="Q203" s="526" t="s">
        <v>54</v>
      </c>
      <c r="R203" s="524"/>
      <c r="S203" s="524"/>
      <c r="T203" s="524"/>
      <c r="U203" s="524"/>
      <c r="V203" s="524"/>
      <c r="W203" s="524"/>
      <c r="X203" s="521"/>
    </row>
    <row r="204" spans="1:24">
      <c r="A204" s="530">
        <v>44300</v>
      </c>
      <c r="B204" s="526" t="s">
        <v>43</v>
      </c>
      <c r="C204" s="615" t="s">
        <v>3758</v>
      </c>
      <c r="D204" s="547" t="s">
        <v>3759</v>
      </c>
      <c r="E204" s="613" t="s">
        <v>1889</v>
      </c>
      <c r="F204" s="613" t="s">
        <v>1890</v>
      </c>
      <c r="G204" s="529">
        <v>1</v>
      </c>
      <c r="H204" s="523">
        <v>155000</v>
      </c>
      <c r="I204" s="524">
        <v>155000</v>
      </c>
      <c r="J204" s="523"/>
      <c r="K204" s="527">
        <v>155000</v>
      </c>
      <c r="L204" s="523">
        <v>11000</v>
      </c>
      <c r="M204" s="523">
        <v>-8680</v>
      </c>
      <c r="N204" s="524">
        <v>157320</v>
      </c>
      <c r="O204" s="526" t="s">
        <v>43</v>
      </c>
      <c r="P204" s="512"/>
      <c r="Q204" s="526" t="s">
        <v>54</v>
      </c>
      <c r="R204" s="524"/>
      <c r="S204" s="534"/>
      <c r="T204" s="524"/>
      <c r="U204" s="524"/>
      <c r="V204" s="524"/>
      <c r="W204" s="524"/>
      <c r="X204" s="521"/>
    </row>
    <row r="205" spans="1:24">
      <c r="A205" s="530">
        <v>44300</v>
      </c>
      <c r="B205" s="526" t="s">
        <v>206</v>
      </c>
      <c r="C205" s="615" t="s">
        <v>3760</v>
      </c>
      <c r="D205" s="547" t="s">
        <v>3761</v>
      </c>
      <c r="E205" s="613" t="s">
        <v>773</v>
      </c>
      <c r="F205" s="613" t="s">
        <v>774</v>
      </c>
      <c r="G205" s="620">
        <v>1</v>
      </c>
      <c r="H205" s="523">
        <v>96000</v>
      </c>
      <c r="I205" s="524">
        <v>96000</v>
      </c>
      <c r="J205" s="523"/>
      <c r="K205" s="527">
        <v>96000</v>
      </c>
      <c r="L205" s="523">
        <v>16000</v>
      </c>
      <c r="M205" s="523"/>
      <c r="N205" s="524">
        <v>112000</v>
      </c>
      <c r="O205" s="526" t="s">
        <v>206</v>
      </c>
      <c r="P205" s="523"/>
      <c r="Q205" s="526" t="s">
        <v>328</v>
      </c>
      <c r="R205" s="524"/>
      <c r="S205" s="513"/>
      <c r="T205" s="524"/>
      <c r="U205" s="524"/>
      <c r="V205" s="524"/>
      <c r="W205" s="524"/>
      <c r="X205" s="521"/>
    </row>
    <row r="206" spans="1:24">
      <c r="A206" s="530">
        <v>44300</v>
      </c>
      <c r="B206" s="525" t="s">
        <v>23</v>
      </c>
      <c r="C206" s="525" t="s">
        <v>431</v>
      </c>
      <c r="D206" s="554" t="s">
        <v>31</v>
      </c>
      <c r="E206" s="613" t="s">
        <v>3727</v>
      </c>
      <c r="F206" s="613" t="s">
        <v>3728</v>
      </c>
      <c r="G206" s="529">
        <v>2</v>
      </c>
      <c r="H206" s="523">
        <v>61000</v>
      </c>
      <c r="I206" s="524">
        <v>122000</v>
      </c>
      <c r="J206" s="523">
        <v>30500</v>
      </c>
      <c r="K206" s="527">
        <v>91500</v>
      </c>
      <c r="L206" s="523"/>
      <c r="M206" s="523"/>
      <c r="N206" s="524">
        <v>91500</v>
      </c>
      <c r="O206" s="525" t="s">
        <v>23</v>
      </c>
      <c r="P206" s="523"/>
      <c r="Q206" s="525" t="s">
        <v>732</v>
      </c>
      <c r="R206" s="524"/>
      <c r="S206" s="524"/>
      <c r="T206" s="524"/>
      <c r="U206" s="524"/>
      <c r="V206" s="524"/>
      <c r="W206" s="524"/>
      <c r="X206" s="521"/>
    </row>
    <row r="207" spans="1:24">
      <c r="A207" s="530">
        <v>44300</v>
      </c>
      <c r="B207" s="526" t="s">
        <v>23</v>
      </c>
      <c r="C207" s="615" t="s">
        <v>3762</v>
      </c>
      <c r="D207" s="547" t="s">
        <v>3763</v>
      </c>
      <c r="E207" s="616" t="s">
        <v>3764</v>
      </c>
      <c r="F207" s="616" t="s">
        <v>3765</v>
      </c>
      <c r="G207" s="529">
        <v>1</v>
      </c>
      <c r="H207" s="523">
        <v>87000</v>
      </c>
      <c r="I207" s="524">
        <v>87000</v>
      </c>
      <c r="J207" s="523"/>
      <c r="K207" s="527">
        <v>87000</v>
      </c>
      <c r="L207" s="523">
        <v>35000</v>
      </c>
      <c r="M207" s="523"/>
      <c r="N207" s="524">
        <v>122000</v>
      </c>
      <c r="O207" s="526" t="s">
        <v>23</v>
      </c>
      <c r="P207" s="535"/>
      <c r="Q207" s="526" t="s">
        <v>54</v>
      </c>
      <c r="R207" s="524"/>
      <c r="S207" s="535"/>
      <c r="T207" s="524"/>
      <c r="U207" s="524"/>
      <c r="V207" s="524"/>
      <c r="W207" s="524"/>
      <c r="X207" s="521"/>
    </row>
    <row r="208" spans="1:24">
      <c r="A208" s="530">
        <v>44300</v>
      </c>
      <c r="B208" s="526" t="s">
        <v>23</v>
      </c>
      <c r="C208" s="615" t="s">
        <v>3762</v>
      </c>
      <c r="D208" s="547" t="s">
        <v>3763</v>
      </c>
      <c r="E208" s="616" t="s">
        <v>3766</v>
      </c>
      <c r="F208" s="616" t="s">
        <v>3767</v>
      </c>
      <c r="G208" s="529">
        <v>1</v>
      </c>
      <c r="H208" s="523">
        <v>149000</v>
      </c>
      <c r="I208" s="524">
        <v>149000</v>
      </c>
      <c r="J208" s="523"/>
      <c r="K208" s="527">
        <v>149000</v>
      </c>
      <c r="L208" s="523"/>
      <c r="M208" s="523"/>
      <c r="N208" s="524">
        <v>149000</v>
      </c>
      <c r="O208" s="526" t="s">
        <v>23</v>
      </c>
      <c r="P208" s="523"/>
      <c r="Q208" s="526" t="s">
        <v>54</v>
      </c>
      <c r="R208" s="524"/>
      <c r="S208" s="510"/>
      <c r="T208" s="524"/>
      <c r="U208" s="524"/>
      <c r="V208" s="524"/>
      <c r="W208" s="524"/>
      <c r="X208" s="521"/>
    </row>
    <row r="209" spans="1:24">
      <c r="A209" s="530">
        <v>44300</v>
      </c>
      <c r="B209" s="526" t="s">
        <v>23</v>
      </c>
      <c r="C209" s="615" t="s">
        <v>3762</v>
      </c>
      <c r="D209" s="547" t="s">
        <v>3763</v>
      </c>
      <c r="E209" s="616" t="s">
        <v>3768</v>
      </c>
      <c r="F209" s="616" t="s">
        <v>3769</v>
      </c>
      <c r="G209" s="529">
        <v>1</v>
      </c>
      <c r="H209" s="523">
        <v>121500</v>
      </c>
      <c r="I209" s="524">
        <v>121500</v>
      </c>
      <c r="J209" s="523">
        <v>24300</v>
      </c>
      <c r="K209" s="527">
        <v>97200</v>
      </c>
      <c r="L209" s="523"/>
      <c r="M209" s="523"/>
      <c r="N209" s="524">
        <v>97200</v>
      </c>
      <c r="O209" s="526" t="s">
        <v>23</v>
      </c>
      <c r="P209" s="523"/>
      <c r="Q209" s="526" t="s">
        <v>54</v>
      </c>
      <c r="R209" s="524"/>
      <c r="S209" s="524"/>
      <c r="T209" s="524"/>
      <c r="U209" s="524"/>
      <c r="V209" s="524"/>
      <c r="W209" s="524"/>
      <c r="X209" s="521"/>
    </row>
    <row r="210" spans="1:24">
      <c r="A210" s="530">
        <v>44300</v>
      </c>
      <c r="B210" s="525" t="s">
        <v>23</v>
      </c>
      <c r="C210" s="615" t="s">
        <v>3770</v>
      </c>
      <c r="D210" s="547" t="s">
        <v>3771</v>
      </c>
      <c r="E210" s="613" t="s">
        <v>3772</v>
      </c>
      <c r="F210" s="613" t="s">
        <v>1785</v>
      </c>
      <c r="G210" s="529">
        <v>10</v>
      </c>
      <c r="H210" s="523">
        <v>54000</v>
      </c>
      <c r="I210" s="524">
        <v>540000</v>
      </c>
      <c r="J210" s="523"/>
      <c r="K210" s="527">
        <v>540000</v>
      </c>
      <c r="L210" s="523">
        <v>210000</v>
      </c>
      <c r="M210" s="523"/>
      <c r="N210" s="524">
        <v>750000</v>
      </c>
      <c r="O210" s="525" t="s">
        <v>23</v>
      </c>
      <c r="P210" s="523"/>
      <c r="Q210" s="525" t="s">
        <v>40</v>
      </c>
      <c r="R210" s="524"/>
      <c r="S210" s="524"/>
      <c r="T210" s="524"/>
      <c r="U210" s="524"/>
      <c r="V210" s="524"/>
      <c r="W210" s="524"/>
      <c r="X210" s="521"/>
    </row>
    <row r="211" spans="1:24">
      <c r="A211" s="530">
        <v>44300</v>
      </c>
      <c r="B211" s="526" t="s">
        <v>23</v>
      </c>
      <c r="C211" s="615" t="s">
        <v>3773</v>
      </c>
      <c r="D211" s="547" t="s">
        <v>3774</v>
      </c>
      <c r="E211" s="613" t="s">
        <v>3775</v>
      </c>
      <c r="F211" s="613" t="s">
        <v>3776</v>
      </c>
      <c r="G211" s="529">
        <v>1</v>
      </c>
      <c r="H211" s="523">
        <v>115500</v>
      </c>
      <c r="I211" s="543">
        <v>115500</v>
      </c>
      <c r="J211" s="523"/>
      <c r="K211" s="527">
        <v>115500</v>
      </c>
      <c r="L211" s="523">
        <v>10000</v>
      </c>
      <c r="M211" s="523"/>
      <c r="N211" s="524">
        <v>125500</v>
      </c>
      <c r="O211" s="526" t="s">
        <v>23</v>
      </c>
      <c r="P211" s="547"/>
      <c r="Q211" s="525" t="s">
        <v>40</v>
      </c>
      <c r="R211" s="524"/>
      <c r="S211" s="534"/>
      <c r="T211" s="524"/>
      <c r="U211" s="524"/>
      <c r="V211" s="524"/>
      <c r="W211" s="524"/>
      <c r="X211" s="521"/>
    </row>
    <row r="212" spans="1:24" ht="13.8" customHeight="1">
      <c r="A212" s="530">
        <v>44301</v>
      </c>
      <c r="B212" s="526" t="s">
        <v>23</v>
      </c>
      <c r="C212" s="615" t="s">
        <v>3777</v>
      </c>
      <c r="D212" s="547" t="s">
        <v>3778</v>
      </c>
      <c r="E212" s="614" t="s">
        <v>3704</v>
      </c>
      <c r="F212" s="614" t="s">
        <v>3705</v>
      </c>
      <c r="G212" s="529">
        <v>1</v>
      </c>
      <c r="H212" s="523">
        <v>114000</v>
      </c>
      <c r="I212" s="543">
        <v>114000</v>
      </c>
      <c r="J212" s="523"/>
      <c r="K212" s="514">
        <v>114000</v>
      </c>
      <c r="L212" s="524">
        <v>17000</v>
      </c>
      <c r="M212" s="524"/>
      <c r="N212" s="524">
        <v>131000</v>
      </c>
      <c r="O212" s="526" t="s">
        <v>23</v>
      </c>
      <c r="P212" s="512"/>
      <c r="Q212" s="526" t="s">
        <v>40</v>
      </c>
      <c r="R212" s="524"/>
      <c r="S212" s="534"/>
      <c r="T212" s="524"/>
      <c r="U212" s="524"/>
      <c r="V212" s="524"/>
      <c r="W212" s="524"/>
      <c r="X212" s="521"/>
    </row>
    <row r="213" spans="1:24">
      <c r="A213" s="530">
        <v>44301</v>
      </c>
      <c r="B213" s="526" t="s">
        <v>313</v>
      </c>
      <c r="C213" s="615" t="s">
        <v>3779</v>
      </c>
      <c r="D213" s="547" t="s">
        <v>3780</v>
      </c>
      <c r="E213" s="614" t="s">
        <v>3781</v>
      </c>
      <c r="F213" s="614" t="s">
        <v>3782</v>
      </c>
      <c r="G213" s="621">
        <v>1</v>
      </c>
      <c r="H213" s="523">
        <v>211000</v>
      </c>
      <c r="I213" s="543">
        <v>211000</v>
      </c>
      <c r="J213" s="523">
        <v>42200</v>
      </c>
      <c r="K213" s="527">
        <v>168800</v>
      </c>
      <c r="L213" s="524">
        <v>16032</v>
      </c>
      <c r="M213" s="524"/>
      <c r="N213" s="524">
        <v>184832</v>
      </c>
      <c r="O213" s="526" t="s">
        <v>313</v>
      </c>
      <c r="P213" s="513"/>
      <c r="Q213" s="526" t="s">
        <v>40</v>
      </c>
      <c r="R213" s="524"/>
      <c r="S213" s="510"/>
      <c r="T213" s="524"/>
      <c r="U213" s="524"/>
      <c r="V213" s="524"/>
      <c r="W213" s="524"/>
      <c r="X213" s="521"/>
    </row>
    <row r="214" spans="1:24">
      <c r="A214" s="530">
        <v>44301</v>
      </c>
      <c r="B214" s="526" t="s">
        <v>23</v>
      </c>
      <c r="C214" s="526" t="s">
        <v>3783</v>
      </c>
      <c r="D214" s="547" t="s">
        <v>3784</v>
      </c>
      <c r="E214" s="614" t="s">
        <v>3785</v>
      </c>
      <c r="F214" s="614" t="s">
        <v>3471</v>
      </c>
      <c r="G214" s="529">
        <v>1</v>
      </c>
      <c r="H214" s="523">
        <v>59000</v>
      </c>
      <c r="I214" s="543">
        <v>59000</v>
      </c>
      <c r="J214" s="523"/>
      <c r="K214" s="527">
        <v>59000</v>
      </c>
      <c r="L214" s="524">
        <v>51000</v>
      </c>
      <c r="M214" s="524"/>
      <c r="N214" s="524">
        <v>110000</v>
      </c>
      <c r="O214" s="526" t="s">
        <v>23</v>
      </c>
      <c r="P214" s="513"/>
      <c r="Q214" s="526" t="s">
        <v>40</v>
      </c>
      <c r="R214" s="524"/>
      <c r="S214" s="510"/>
      <c r="T214" s="524"/>
      <c r="U214" s="524"/>
      <c r="V214" s="524"/>
      <c r="W214" s="524"/>
      <c r="X214" s="521"/>
    </row>
    <row r="215" spans="1:24">
      <c r="A215" s="530">
        <v>44301</v>
      </c>
      <c r="B215" s="526" t="s">
        <v>43</v>
      </c>
      <c r="C215" s="615" t="s">
        <v>3786</v>
      </c>
      <c r="D215" s="547" t="s">
        <v>3787</v>
      </c>
      <c r="E215" s="614" t="s">
        <v>345</v>
      </c>
      <c r="F215" s="614" t="s">
        <v>346</v>
      </c>
      <c r="G215" s="620">
        <v>1</v>
      </c>
      <c r="H215" s="523">
        <v>66000</v>
      </c>
      <c r="I215" s="543">
        <v>66000</v>
      </c>
      <c r="J215" s="523"/>
      <c r="K215" s="527">
        <v>66000</v>
      </c>
      <c r="L215" s="524"/>
      <c r="M215" s="523">
        <v>-3696</v>
      </c>
      <c r="N215" s="524">
        <v>62304</v>
      </c>
      <c r="O215" s="526" t="s">
        <v>43</v>
      </c>
      <c r="P215" s="513"/>
      <c r="Q215" s="526" t="s">
        <v>54</v>
      </c>
      <c r="R215" s="523"/>
      <c r="S215" s="510"/>
      <c r="T215" s="523"/>
      <c r="U215" s="523"/>
      <c r="V215" s="523"/>
      <c r="W215" s="523"/>
      <c r="X215" s="521"/>
    </row>
    <row r="216" spans="1:24" ht="13.8" customHeight="1">
      <c r="A216" s="1090">
        <v>44302</v>
      </c>
      <c r="B216" s="516" t="s">
        <v>23</v>
      </c>
      <c r="C216" s="622" t="s">
        <v>3788</v>
      </c>
      <c r="D216" s="543" t="s">
        <v>3789</v>
      </c>
      <c r="E216" s="516" t="s">
        <v>3790</v>
      </c>
      <c r="F216" s="622" t="s">
        <v>3791</v>
      </c>
      <c r="G216" s="515">
        <v>1</v>
      </c>
      <c r="H216" s="543">
        <v>115000</v>
      </c>
      <c r="I216" s="543">
        <v>115000</v>
      </c>
      <c r="J216" s="543"/>
      <c r="K216" s="543">
        <v>115000</v>
      </c>
      <c r="L216" s="543">
        <v>72000</v>
      </c>
      <c r="M216" s="543"/>
      <c r="N216" s="524">
        <v>187000</v>
      </c>
      <c r="O216" s="516" t="s">
        <v>23</v>
      </c>
      <c r="P216" s="517"/>
      <c r="Q216" s="516" t="s">
        <v>54</v>
      </c>
      <c r="R216" s="517"/>
      <c r="S216" s="517"/>
      <c r="T216" s="543"/>
      <c r="U216" s="543"/>
      <c r="V216" s="543"/>
      <c r="W216" s="543"/>
      <c r="X216" s="521"/>
    </row>
    <row r="217" spans="1:24">
      <c r="A217" s="1090">
        <v>44302</v>
      </c>
      <c r="B217" s="516" t="s">
        <v>313</v>
      </c>
      <c r="C217" s="622" t="s">
        <v>3792</v>
      </c>
      <c r="D217" s="543" t="s">
        <v>3793</v>
      </c>
      <c r="E217" s="516" t="s">
        <v>403</v>
      </c>
      <c r="F217" s="516" t="s">
        <v>404</v>
      </c>
      <c r="G217" s="515">
        <v>1</v>
      </c>
      <c r="H217" s="543">
        <v>101500</v>
      </c>
      <c r="I217" s="543">
        <v>101500</v>
      </c>
      <c r="J217" s="543"/>
      <c r="K217" s="543">
        <v>101500</v>
      </c>
      <c r="L217" s="543">
        <v>14066</v>
      </c>
      <c r="M217" s="543"/>
      <c r="N217" s="524">
        <v>115566</v>
      </c>
      <c r="O217" s="516" t="s">
        <v>313</v>
      </c>
      <c r="P217" s="534"/>
      <c r="Q217" s="516" t="s">
        <v>40</v>
      </c>
      <c r="R217" s="517"/>
      <c r="S217" s="543"/>
      <c r="T217" s="543"/>
      <c r="U217" s="543"/>
      <c r="V217" s="543"/>
      <c r="W217" s="543"/>
      <c r="X217" s="521"/>
    </row>
    <row r="218" spans="1:24" ht="15.6">
      <c r="A218" s="530">
        <v>44305</v>
      </c>
      <c r="B218" s="526" t="s">
        <v>43</v>
      </c>
      <c r="C218" s="615" t="s">
        <v>3794</v>
      </c>
      <c r="D218" s="547" t="s">
        <v>3795</v>
      </c>
      <c r="E218" s="614" t="s">
        <v>3796</v>
      </c>
      <c r="F218" s="614" t="s">
        <v>1025</v>
      </c>
      <c r="G218" s="529">
        <v>1</v>
      </c>
      <c r="H218" s="523">
        <v>58500</v>
      </c>
      <c r="I218" s="612">
        <v>58500</v>
      </c>
      <c r="J218" s="523">
        <v>11700</v>
      </c>
      <c r="K218" s="543">
        <v>46800</v>
      </c>
      <c r="L218" s="524"/>
      <c r="M218" s="523">
        <v>-2621</v>
      </c>
      <c r="N218" s="524">
        <v>44179</v>
      </c>
      <c r="O218" s="526" t="s">
        <v>43</v>
      </c>
      <c r="P218" s="548"/>
      <c r="Q218" s="526" t="s">
        <v>54</v>
      </c>
      <c r="R218" s="523"/>
      <c r="S218" s="534"/>
      <c r="T218" s="523"/>
      <c r="U218" s="523"/>
      <c r="V218" s="523"/>
      <c r="W218" s="523"/>
      <c r="X218" s="521"/>
    </row>
    <row r="219" spans="1:24" ht="15.6">
      <c r="A219" s="530">
        <v>44305</v>
      </c>
      <c r="B219" s="526" t="s">
        <v>43</v>
      </c>
      <c r="C219" s="615" t="s">
        <v>3797</v>
      </c>
      <c r="D219" s="547" t="s">
        <v>3798</v>
      </c>
      <c r="E219" s="614" t="s">
        <v>1493</v>
      </c>
      <c r="F219" s="614" t="s">
        <v>1494</v>
      </c>
      <c r="G219" s="529">
        <v>1</v>
      </c>
      <c r="H219" s="523">
        <v>84500</v>
      </c>
      <c r="I219" s="612">
        <v>84500</v>
      </c>
      <c r="J219" s="523">
        <v>16900</v>
      </c>
      <c r="K219" s="543">
        <v>67600</v>
      </c>
      <c r="L219" s="524"/>
      <c r="M219" s="523">
        <v>-3786</v>
      </c>
      <c r="N219" s="524">
        <v>63814</v>
      </c>
      <c r="O219" s="526" t="s">
        <v>43</v>
      </c>
      <c r="P219" s="548"/>
      <c r="Q219" s="526" t="s">
        <v>54</v>
      </c>
      <c r="R219" s="523"/>
      <c r="S219" s="534"/>
      <c r="T219" s="523"/>
      <c r="U219" s="523"/>
      <c r="V219" s="523"/>
      <c r="W219" s="523"/>
      <c r="X219" s="521"/>
    </row>
    <row r="220" spans="1:24" ht="15.6">
      <c r="A220" s="530">
        <v>44305</v>
      </c>
      <c r="B220" s="526" t="s">
        <v>170</v>
      </c>
      <c r="C220" s="615" t="s">
        <v>3799</v>
      </c>
      <c r="D220" s="547" t="s">
        <v>3800</v>
      </c>
      <c r="E220" s="623" t="s">
        <v>3220</v>
      </c>
      <c r="F220" s="623" t="s">
        <v>3221</v>
      </c>
      <c r="G220" s="529">
        <v>1</v>
      </c>
      <c r="H220" s="523">
        <v>98000</v>
      </c>
      <c r="I220" s="612">
        <v>98000</v>
      </c>
      <c r="J220" s="523">
        <v>40000</v>
      </c>
      <c r="K220" s="543">
        <v>58000</v>
      </c>
      <c r="L220" s="524">
        <v>0</v>
      </c>
      <c r="M220" s="523"/>
      <c r="N220" s="524">
        <v>58000</v>
      </c>
      <c r="O220" s="526" t="s">
        <v>170</v>
      </c>
      <c r="P220" s="548"/>
      <c r="Q220" s="526" t="s">
        <v>176</v>
      </c>
      <c r="R220" s="523"/>
      <c r="S220" s="534"/>
      <c r="T220" s="523"/>
      <c r="U220" s="523"/>
      <c r="V220" s="523"/>
      <c r="W220" s="523"/>
      <c r="X220" s="521"/>
    </row>
    <row r="221" spans="1:24" ht="15.6">
      <c r="A221" s="530">
        <v>44305</v>
      </c>
      <c r="B221" s="526" t="s">
        <v>170</v>
      </c>
      <c r="C221" s="615" t="s">
        <v>3799</v>
      </c>
      <c r="D221" s="547" t="s">
        <v>3801</v>
      </c>
      <c r="E221" s="623" t="s">
        <v>1742</v>
      </c>
      <c r="F221" s="623" t="s">
        <v>1743</v>
      </c>
      <c r="G221" s="529">
        <v>1</v>
      </c>
      <c r="H221" s="523">
        <v>64000</v>
      </c>
      <c r="I221" s="612">
        <v>64000</v>
      </c>
      <c r="J221" s="523"/>
      <c r="K221" s="543">
        <v>64000</v>
      </c>
      <c r="L221" s="524"/>
      <c r="M221" s="523"/>
      <c r="N221" s="524">
        <v>64000</v>
      </c>
      <c r="O221" s="526" t="s">
        <v>170</v>
      </c>
      <c r="P221" s="548"/>
      <c r="Q221" s="526" t="s">
        <v>176</v>
      </c>
      <c r="R221" s="523"/>
      <c r="S221" s="534"/>
      <c r="T221" s="523"/>
      <c r="U221" s="523"/>
      <c r="V221" s="523"/>
      <c r="W221" s="523"/>
      <c r="X221" s="521"/>
    </row>
    <row r="222" spans="1:24" ht="15.6">
      <c r="A222" s="530">
        <v>44305</v>
      </c>
      <c r="B222" s="526" t="s">
        <v>170</v>
      </c>
      <c r="C222" s="615" t="s">
        <v>3799</v>
      </c>
      <c r="D222" s="547" t="s">
        <v>3802</v>
      </c>
      <c r="E222" s="623" t="s">
        <v>2288</v>
      </c>
      <c r="F222" s="623" t="s">
        <v>2289</v>
      </c>
      <c r="G222" s="529">
        <v>1</v>
      </c>
      <c r="H222" s="523">
        <v>69000</v>
      </c>
      <c r="I222" s="612">
        <v>69000</v>
      </c>
      <c r="J222" s="523"/>
      <c r="K222" s="543">
        <v>69000</v>
      </c>
      <c r="L222" s="524"/>
      <c r="M222" s="523"/>
      <c r="N222" s="524">
        <v>69000</v>
      </c>
      <c r="O222" s="526" t="s">
        <v>170</v>
      </c>
      <c r="P222" s="547"/>
      <c r="Q222" s="526" t="s">
        <v>176</v>
      </c>
      <c r="R222" s="523"/>
      <c r="S222" s="547"/>
      <c r="T222" s="523"/>
      <c r="U222" s="523"/>
      <c r="V222" s="523"/>
      <c r="W222" s="523"/>
      <c r="X222" s="521"/>
    </row>
    <row r="223" spans="1:24" ht="15.6">
      <c r="A223" s="530">
        <v>44305</v>
      </c>
      <c r="B223" s="526" t="s">
        <v>177</v>
      </c>
      <c r="C223" s="615" t="s">
        <v>3803</v>
      </c>
      <c r="D223" s="547" t="s">
        <v>3804</v>
      </c>
      <c r="E223" s="614" t="s">
        <v>471</v>
      </c>
      <c r="F223" s="614" t="s">
        <v>472</v>
      </c>
      <c r="G223" s="529">
        <v>1</v>
      </c>
      <c r="H223" s="523">
        <v>111000</v>
      </c>
      <c r="I223" s="612">
        <v>111000</v>
      </c>
      <c r="J223" s="523">
        <v>22200</v>
      </c>
      <c r="K223" s="543">
        <v>88800</v>
      </c>
      <c r="L223" s="524">
        <v>9000</v>
      </c>
      <c r="M223" s="523"/>
      <c r="N223" s="524">
        <v>97800</v>
      </c>
      <c r="O223" s="526" t="s">
        <v>177</v>
      </c>
      <c r="P223" s="548"/>
      <c r="Q223" s="526" t="s">
        <v>54</v>
      </c>
      <c r="R223" s="523"/>
      <c r="S223" s="534"/>
      <c r="T223" s="523"/>
      <c r="U223" s="523"/>
      <c r="V223" s="523"/>
      <c r="W223" s="523"/>
      <c r="X223" s="521"/>
    </row>
    <row r="224" spans="1:24" ht="15.6">
      <c r="A224" s="530">
        <v>44305</v>
      </c>
      <c r="B224" s="526" t="s">
        <v>43</v>
      </c>
      <c r="C224" s="526" t="s">
        <v>3805</v>
      </c>
      <c r="D224" s="547" t="s">
        <v>3806</v>
      </c>
      <c r="E224" s="614" t="s">
        <v>345</v>
      </c>
      <c r="F224" s="614" t="s">
        <v>1352</v>
      </c>
      <c r="G224" s="529">
        <v>1</v>
      </c>
      <c r="H224" s="523">
        <v>66000</v>
      </c>
      <c r="I224" s="612">
        <v>66000</v>
      </c>
      <c r="J224" s="523">
        <v>13200</v>
      </c>
      <c r="K224" s="543">
        <v>52800</v>
      </c>
      <c r="L224" s="523"/>
      <c r="M224" s="523">
        <v>-2957</v>
      </c>
      <c r="N224" s="524">
        <v>49843</v>
      </c>
      <c r="O224" s="526" t="s">
        <v>43</v>
      </c>
      <c r="P224" s="535"/>
      <c r="Q224" s="526" t="s">
        <v>54</v>
      </c>
      <c r="R224" s="523"/>
      <c r="S224" s="535"/>
      <c r="T224" s="523"/>
      <c r="U224" s="523"/>
      <c r="V224" s="523"/>
      <c r="W224" s="523"/>
      <c r="X224" s="521"/>
    </row>
    <row r="225" spans="1:24" ht="15.6">
      <c r="A225" s="530">
        <v>44305</v>
      </c>
      <c r="B225" s="526" t="s">
        <v>43</v>
      </c>
      <c r="C225" s="526" t="s">
        <v>3807</v>
      </c>
      <c r="D225" s="547" t="s">
        <v>3808</v>
      </c>
      <c r="E225" s="614" t="s">
        <v>1784</v>
      </c>
      <c r="F225" s="614" t="s">
        <v>1785</v>
      </c>
      <c r="G225" s="529">
        <v>1</v>
      </c>
      <c r="H225" s="523">
        <v>72000</v>
      </c>
      <c r="I225" s="612">
        <v>72000</v>
      </c>
      <c r="J225" s="523">
        <v>14400</v>
      </c>
      <c r="K225" s="543">
        <v>57600</v>
      </c>
      <c r="L225" s="523"/>
      <c r="M225" s="523">
        <v>-3226</v>
      </c>
      <c r="N225" s="524">
        <v>54374</v>
      </c>
      <c r="O225" s="526" t="s">
        <v>43</v>
      </c>
      <c r="P225" s="523"/>
      <c r="Q225" s="526" t="s">
        <v>54</v>
      </c>
      <c r="R225" s="523"/>
      <c r="S225" s="523"/>
      <c r="T225" s="521"/>
      <c r="U225" s="521"/>
      <c r="V225" s="521"/>
      <c r="W225" s="521"/>
      <c r="X225" s="521"/>
    </row>
    <row r="226" spans="1:24" ht="15.6">
      <c r="A226" s="530">
        <v>44305</v>
      </c>
      <c r="B226" s="526" t="s">
        <v>43</v>
      </c>
      <c r="C226" s="615" t="s">
        <v>3809</v>
      </c>
      <c r="D226" s="523" t="s">
        <v>3810</v>
      </c>
      <c r="E226" s="614" t="s">
        <v>489</v>
      </c>
      <c r="F226" s="614" t="s">
        <v>490</v>
      </c>
      <c r="G226" s="529">
        <v>1</v>
      </c>
      <c r="H226" s="523">
        <v>72000</v>
      </c>
      <c r="I226" s="612">
        <v>72000</v>
      </c>
      <c r="J226" s="523">
        <v>14400</v>
      </c>
      <c r="K226" s="543">
        <v>57600</v>
      </c>
      <c r="L226" s="523"/>
      <c r="M226" s="523">
        <v>-3226</v>
      </c>
      <c r="N226" s="524">
        <v>54374</v>
      </c>
      <c r="O226" s="526" t="s">
        <v>43</v>
      </c>
      <c r="P226" s="548"/>
      <c r="Q226" s="526" t="s">
        <v>54</v>
      </c>
      <c r="R226" s="523"/>
      <c r="S226" s="534"/>
      <c r="T226" s="521"/>
      <c r="U226" s="521"/>
      <c r="V226" s="521"/>
      <c r="W226" s="521"/>
      <c r="X226" s="521"/>
    </row>
    <row r="227" spans="1:24" ht="15.6">
      <c r="A227" s="530">
        <v>44305</v>
      </c>
      <c r="B227" s="526" t="s">
        <v>313</v>
      </c>
      <c r="C227" s="526" t="s">
        <v>3811</v>
      </c>
      <c r="D227" s="523" t="s">
        <v>3812</v>
      </c>
      <c r="E227" s="614" t="s">
        <v>3813</v>
      </c>
      <c r="F227" s="614" t="s">
        <v>1204</v>
      </c>
      <c r="G227" s="529">
        <v>1</v>
      </c>
      <c r="H227" s="523">
        <v>128000</v>
      </c>
      <c r="I227" s="612">
        <v>128000</v>
      </c>
      <c r="J227" s="523"/>
      <c r="K227" s="543">
        <v>128000</v>
      </c>
      <c r="L227" s="523">
        <v>17030</v>
      </c>
      <c r="M227" s="523"/>
      <c r="N227" s="524">
        <v>145030</v>
      </c>
      <c r="O227" s="526" t="s">
        <v>313</v>
      </c>
      <c r="P227" s="548"/>
      <c r="Q227" s="526" t="s">
        <v>40</v>
      </c>
      <c r="R227" s="523"/>
      <c r="S227" s="534"/>
      <c r="T227" s="521"/>
      <c r="U227" s="521"/>
      <c r="V227" s="521"/>
      <c r="W227" s="521"/>
      <c r="X227" s="521"/>
    </row>
    <row r="228" spans="1:24" ht="15.6">
      <c r="A228" s="530">
        <v>44305</v>
      </c>
      <c r="B228" s="526" t="s">
        <v>313</v>
      </c>
      <c r="C228" s="615" t="s">
        <v>3814</v>
      </c>
      <c r="D228" s="523" t="s">
        <v>3815</v>
      </c>
      <c r="E228" s="614" t="s">
        <v>3816</v>
      </c>
      <c r="F228" s="614" t="s">
        <v>3817</v>
      </c>
      <c r="G228" s="529">
        <v>1</v>
      </c>
      <c r="H228" s="523">
        <v>81000</v>
      </c>
      <c r="I228" s="612">
        <v>81000</v>
      </c>
      <c r="J228" s="523"/>
      <c r="K228" s="543">
        <v>81000</v>
      </c>
      <c r="L228" s="523">
        <v>13052</v>
      </c>
      <c r="M228" s="523"/>
      <c r="N228" s="524">
        <v>94052</v>
      </c>
      <c r="O228" s="526" t="s">
        <v>313</v>
      </c>
      <c r="P228" s="548"/>
      <c r="Q228" s="526" t="s">
        <v>40</v>
      </c>
      <c r="R228" s="523"/>
      <c r="S228" s="534"/>
      <c r="T228" s="521"/>
      <c r="U228" s="521"/>
      <c r="V228" s="521"/>
      <c r="W228" s="521"/>
      <c r="X228" s="521"/>
    </row>
    <row r="229" spans="1:24" ht="15.6">
      <c r="A229" s="530">
        <v>44305</v>
      </c>
      <c r="B229" s="526" t="s">
        <v>313</v>
      </c>
      <c r="C229" s="615" t="s">
        <v>3818</v>
      </c>
      <c r="D229" s="523" t="s">
        <v>3819</v>
      </c>
      <c r="E229" s="614" t="s">
        <v>2901</v>
      </c>
      <c r="F229" s="614" t="s">
        <v>2902</v>
      </c>
      <c r="G229" s="529">
        <v>1</v>
      </c>
      <c r="H229" s="523">
        <v>225000</v>
      </c>
      <c r="I229" s="612">
        <v>225000</v>
      </c>
      <c r="J229" s="523"/>
      <c r="K229" s="543">
        <v>225000</v>
      </c>
      <c r="L229" s="524">
        <v>7074</v>
      </c>
      <c r="M229" s="523"/>
      <c r="N229" s="524">
        <v>232074</v>
      </c>
      <c r="O229" s="526" t="s">
        <v>313</v>
      </c>
      <c r="P229" s="548"/>
      <c r="Q229" s="526" t="s">
        <v>28</v>
      </c>
      <c r="R229" s="523"/>
      <c r="S229" s="534"/>
      <c r="T229" s="521"/>
      <c r="U229" s="521"/>
      <c r="V229" s="521"/>
      <c r="W229" s="521"/>
      <c r="X229" s="521"/>
    </row>
    <row r="230" spans="1:24" ht="15.6">
      <c r="A230" s="530">
        <v>44306</v>
      </c>
      <c r="B230" s="526" t="s">
        <v>43</v>
      </c>
      <c r="C230" s="526" t="s">
        <v>3820</v>
      </c>
      <c r="D230" s="547" t="s">
        <v>3821</v>
      </c>
      <c r="E230" s="614" t="s">
        <v>3822</v>
      </c>
      <c r="F230" s="614" t="s">
        <v>3823</v>
      </c>
      <c r="G230" s="529">
        <v>1</v>
      </c>
      <c r="H230" s="523">
        <v>85000</v>
      </c>
      <c r="I230" s="612">
        <v>85000</v>
      </c>
      <c r="J230" s="523"/>
      <c r="K230" s="543">
        <v>85000</v>
      </c>
      <c r="L230" s="524"/>
      <c r="M230" s="523">
        <v>-4760</v>
      </c>
      <c r="N230" s="524">
        <v>80240</v>
      </c>
      <c r="O230" s="526" t="s">
        <v>43</v>
      </c>
      <c r="P230" s="548"/>
      <c r="Q230" s="526" t="s">
        <v>54</v>
      </c>
      <c r="R230" s="523"/>
      <c r="S230" s="534"/>
      <c r="T230" s="521"/>
      <c r="U230" s="521"/>
      <c r="V230" s="521"/>
      <c r="W230" s="521"/>
      <c r="X230" s="521"/>
    </row>
    <row r="231" spans="1:24" ht="15.6">
      <c r="A231" s="530">
        <v>44306</v>
      </c>
      <c r="B231" s="526" t="s">
        <v>177</v>
      </c>
      <c r="C231" s="526" t="s">
        <v>3824</v>
      </c>
      <c r="D231" s="547" t="s">
        <v>3825</v>
      </c>
      <c r="E231" s="614" t="s">
        <v>1387</v>
      </c>
      <c r="F231" s="614" t="s">
        <v>1388</v>
      </c>
      <c r="G231" s="529">
        <v>1</v>
      </c>
      <c r="H231" s="523">
        <v>79000</v>
      </c>
      <c r="I231" s="612">
        <v>79000</v>
      </c>
      <c r="J231" s="523"/>
      <c r="K231" s="543">
        <v>79000</v>
      </c>
      <c r="L231" s="524">
        <v>9500</v>
      </c>
      <c r="M231" s="523"/>
      <c r="N231" s="524">
        <v>88500</v>
      </c>
      <c r="O231" s="526" t="s">
        <v>177</v>
      </c>
      <c r="P231" s="523"/>
      <c r="Q231" s="526" t="s">
        <v>54</v>
      </c>
      <c r="R231" s="523"/>
      <c r="S231" s="523"/>
      <c r="T231" s="521"/>
      <c r="U231" s="521"/>
      <c r="V231" s="521"/>
      <c r="W231" s="521"/>
      <c r="X231" s="521"/>
    </row>
    <row r="232" spans="1:24" ht="15.6">
      <c r="A232" s="530">
        <v>44306</v>
      </c>
      <c r="B232" s="526" t="s">
        <v>177</v>
      </c>
      <c r="C232" s="615" t="s">
        <v>3826</v>
      </c>
      <c r="D232" s="547" t="s">
        <v>3827</v>
      </c>
      <c r="E232" s="614" t="s">
        <v>3035</v>
      </c>
      <c r="F232" s="614" t="s">
        <v>3036</v>
      </c>
      <c r="G232" s="529">
        <v>1</v>
      </c>
      <c r="H232" s="523">
        <v>84000</v>
      </c>
      <c r="I232" s="612">
        <v>84000</v>
      </c>
      <c r="J232" s="523"/>
      <c r="K232" s="543">
        <v>84000</v>
      </c>
      <c r="L232" s="524">
        <v>5000</v>
      </c>
      <c r="M232" s="523"/>
      <c r="N232" s="524">
        <v>89000</v>
      </c>
      <c r="O232" s="526" t="s">
        <v>177</v>
      </c>
      <c r="P232" s="523"/>
      <c r="Q232" s="526" t="s">
        <v>54</v>
      </c>
      <c r="R232" s="523"/>
      <c r="S232" s="518"/>
      <c r="T232" s="521"/>
      <c r="U232" s="521"/>
      <c r="V232" s="521"/>
      <c r="W232" s="521"/>
      <c r="X232" s="521"/>
    </row>
    <row r="233" spans="1:24" ht="15.6">
      <c r="A233" s="530">
        <v>44306</v>
      </c>
      <c r="B233" s="526" t="s">
        <v>177</v>
      </c>
      <c r="C233" s="615" t="s">
        <v>3828</v>
      </c>
      <c r="D233" s="580" t="s">
        <v>3829</v>
      </c>
      <c r="E233" s="614" t="s">
        <v>3830</v>
      </c>
      <c r="F233" s="614" t="s">
        <v>3831</v>
      </c>
      <c r="G233" s="529">
        <v>1</v>
      </c>
      <c r="H233" s="528">
        <v>68000</v>
      </c>
      <c r="I233" s="612">
        <v>68000</v>
      </c>
      <c r="J233" s="523">
        <v>13600</v>
      </c>
      <c r="K233" s="543">
        <v>54400</v>
      </c>
      <c r="L233" s="524">
        <v>9500</v>
      </c>
      <c r="M233" s="523"/>
      <c r="N233" s="524">
        <v>63900</v>
      </c>
      <c r="O233" s="526" t="s">
        <v>177</v>
      </c>
      <c r="P233" s="548"/>
      <c r="Q233" s="526" t="s">
        <v>54</v>
      </c>
      <c r="R233" s="523"/>
      <c r="S233" s="534"/>
      <c r="T233" s="521"/>
      <c r="U233" s="521"/>
      <c r="V233" s="521"/>
      <c r="W233" s="521"/>
      <c r="X233" s="521"/>
    </row>
    <row r="234" spans="1:24" ht="15.6">
      <c r="A234" s="530">
        <v>44306</v>
      </c>
      <c r="B234" s="526" t="s">
        <v>313</v>
      </c>
      <c r="C234" s="615" t="s">
        <v>3832</v>
      </c>
      <c r="D234" s="580" t="s">
        <v>3833</v>
      </c>
      <c r="E234" s="614" t="s">
        <v>3834</v>
      </c>
      <c r="F234" s="614" t="s">
        <v>3835</v>
      </c>
      <c r="G234" s="529">
        <v>1</v>
      </c>
      <c r="H234" s="528">
        <v>122000</v>
      </c>
      <c r="I234" s="612">
        <v>122000</v>
      </c>
      <c r="J234" s="523">
        <v>24400</v>
      </c>
      <c r="K234" s="543">
        <v>97600</v>
      </c>
      <c r="L234" s="524">
        <v>14050</v>
      </c>
      <c r="M234" s="523"/>
      <c r="N234" s="524">
        <v>111650</v>
      </c>
      <c r="O234" s="526" t="s">
        <v>313</v>
      </c>
      <c r="P234" s="523"/>
      <c r="Q234" s="526" t="s">
        <v>40</v>
      </c>
      <c r="R234" s="523"/>
      <c r="S234" s="534"/>
      <c r="T234" s="521"/>
      <c r="U234" s="521"/>
      <c r="V234" s="521"/>
      <c r="W234" s="521"/>
      <c r="X234" s="521"/>
    </row>
    <row r="235" spans="1:24" ht="15.6">
      <c r="A235" s="530">
        <v>44306</v>
      </c>
      <c r="B235" s="526" t="s">
        <v>23</v>
      </c>
      <c r="C235" s="615" t="s">
        <v>3836</v>
      </c>
      <c r="D235" s="580" t="s">
        <v>3837</v>
      </c>
      <c r="E235" s="614" t="s">
        <v>3838</v>
      </c>
      <c r="F235" s="614" t="s">
        <v>3839</v>
      </c>
      <c r="G235" s="529">
        <v>1</v>
      </c>
      <c r="H235" s="528">
        <v>122000</v>
      </c>
      <c r="I235" s="612">
        <v>122000</v>
      </c>
      <c r="J235" s="523"/>
      <c r="K235" s="543">
        <v>122000</v>
      </c>
      <c r="L235" s="524">
        <v>24000</v>
      </c>
      <c r="M235" s="523"/>
      <c r="N235" s="524">
        <v>146000</v>
      </c>
      <c r="O235" s="526" t="s">
        <v>23</v>
      </c>
      <c r="P235" s="523"/>
      <c r="Q235" s="526" t="s">
        <v>40</v>
      </c>
      <c r="R235" s="523"/>
      <c r="S235" s="523"/>
      <c r="T235" s="521"/>
      <c r="U235" s="521"/>
      <c r="V235" s="521"/>
      <c r="W235" s="521"/>
      <c r="X235" s="521"/>
    </row>
    <row r="236" spans="1:24" ht="15.6">
      <c r="A236" s="530">
        <v>44306</v>
      </c>
      <c r="B236" s="526" t="s">
        <v>23</v>
      </c>
      <c r="C236" s="615" t="s">
        <v>3840</v>
      </c>
      <c r="D236" s="580" t="s">
        <v>3841</v>
      </c>
      <c r="E236" s="614" t="s">
        <v>3842</v>
      </c>
      <c r="F236" s="614" t="s">
        <v>3843</v>
      </c>
      <c r="G236" s="529">
        <v>1</v>
      </c>
      <c r="H236" s="528">
        <v>168000</v>
      </c>
      <c r="I236" s="612">
        <v>168000</v>
      </c>
      <c r="J236" s="523"/>
      <c r="K236" s="543">
        <v>168000</v>
      </c>
      <c r="L236" s="524">
        <v>19000</v>
      </c>
      <c r="M236" s="523"/>
      <c r="N236" s="524">
        <v>187000</v>
      </c>
      <c r="O236" s="526" t="s">
        <v>23</v>
      </c>
      <c r="P236" s="523"/>
      <c r="Q236" s="526" t="s">
        <v>54</v>
      </c>
      <c r="R236" s="523"/>
      <c r="S236" s="510"/>
      <c r="T236" s="521"/>
      <c r="U236" s="521"/>
      <c r="V236" s="521"/>
      <c r="W236" s="521"/>
      <c r="X236" s="521"/>
    </row>
    <row r="237" spans="1:24" ht="15.6">
      <c r="A237" s="530">
        <v>44306</v>
      </c>
      <c r="B237" s="526" t="s">
        <v>23</v>
      </c>
      <c r="C237" s="526" t="s">
        <v>431</v>
      </c>
      <c r="D237" s="580" t="s">
        <v>31</v>
      </c>
      <c r="E237" s="625" t="s">
        <v>3844</v>
      </c>
      <c r="F237" s="625" t="s">
        <v>1217</v>
      </c>
      <c r="G237" s="529">
        <v>1</v>
      </c>
      <c r="H237" s="528">
        <v>94000</v>
      </c>
      <c r="I237" s="612">
        <v>94000</v>
      </c>
      <c r="J237" s="523">
        <v>63500</v>
      </c>
      <c r="K237" s="543">
        <v>30500</v>
      </c>
      <c r="L237" s="523"/>
      <c r="M237" s="523"/>
      <c r="N237" s="524">
        <v>30500</v>
      </c>
      <c r="O237" s="526" t="s">
        <v>23</v>
      </c>
      <c r="P237" s="523"/>
      <c r="Q237" s="526" t="s">
        <v>434</v>
      </c>
      <c r="R237" s="523"/>
      <c r="S237" s="523"/>
      <c r="T237" s="521"/>
      <c r="U237" s="521"/>
      <c r="V237" s="521"/>
      <c r="W237" s="521"/>
      <c r="X237" s="521"/>
    </row>
    <row r="238" spans="1:24" ht="15.6">
      <c r="A238" s="530">
        <v>44306</v>
      </c>
      <c r="B238" s="526" t="s">
        <v>23</v>
      </c>
      <c r="C238" s="526" t="s">
        <v>431</v>
      </c>
      <c r="D238" s="547" t="s">
        <v>31</v>
      </c>
      <c r="E238" s="625" t="s">
        <v>3451</v>
      </c>
      <c r="F238" s="625" t="s">
        <v>3452</v>
      </c>
      <c r="G238" s="529">
        <v>1</v>
      </c>
      <c r="H238" s="528">
        <v>68000</v>
      </c>
      <c r="I238" s="612">
        <v>68000</v>
      </c>
      <c r="J238" s="523">
        <v>17000</v>
      </c>
      <c r="K238" s="543">
        <v>51000</v>
      </c>
      <c r="L238" s="524"/>
      <c r="M238" s="523"/>
      <c r="N238" s="524">
        <v>51000</v>
      </c>
      <c r="O238" s="526" t="s">
        <v>23</v>
      </c>
      <c r="P238" s="547"/>
      <c r="Q238" s="526" t="s">
        <v>434</v>
      </c>
      <c r="R238" s="523"/>
      <c r="S238" s="547"/>
      <c r="T238" s="521"/>
      <c r="U238" s="521"/>
      <c r="V238" s="521"/>
      <c r="W238" s="521"/>
      <c r="X238" s="521"/>
    </row>
    <row r="239" spans="1:24" ht="15.6">
      <c r="A239" s="530">
        <v>44306</v>
      </c>
      <c r="B239" s="526" t="s">
        <v>23</v>
      </c>
      <c r="C239" s="526" t="s">
        <v>431</v>
      </c>
      <c r="D239" s="547" t="s">
        <v>31</v>
      </c>
      <c r="E239" s="625" t="s">
        <v>3845</v>
      </c>
      <c r="F239" s="625" t="s">
        <v>3846</v>
      </c>
      <c r="G239" s="529">
        <v>1</v>
      </c>
      <c r="H239" s="528">
        <v>99500</v>
      </c>
      <c r="I239" s="612">
        <v>99500</v>
      </c>
      <c r="J239" s="523">
        <v>24875</v>
      </c>
      <c r="K239" s="543">
        <v>74625</v>
      </c>
      <c r="L239" s="524"/>
      <c r="M239" s="523"/>
      <c r="N239" s="524">
        <v>74625</v>
      </c>
      <c r="O239" s="526" t="s">
        <v>23</v>
      </c>
      <c r="P239" s="548"/>
      <c r="Q239" s="526" t="s">
        <v>434</v>
      </c>
      <c r="R239" s="523"/>
      <c r="S239" s="547"/>
      <c r="T239" s="521"/>
      <c r="U239" s="521"/>
      <c r="V239" s="521"/>
      <c r="W239" s="521"/>
      <c r="X239" s="521"/>
    </row>
    <row r="240" spans="1:24" ht="15.6">
      <c r="A240" s="530">
        <v>44306</v>
      </c>
      <c r="B240" s="526" t="s">
        <v>313</v>
      </c>
      <c r="C240" s="615" t="s">
        <v>3847</v>
      </c>
      <c r="D240" s="547" t="s">
        <v>3848</v>
      </c>
      <c r="E240" s="614" t="s">
        <v>38</v>
      </c>
      <c r="F240" s="614" t="s">
        <v>39</v>
      </c>
      <c r="G240" s="529">
        <v>1</v>
      </c>
      <c r="H240" s="528">
        <v>140000</v>
      </c>
      <c r="I240" s="612">
        <v>140000</v>
      </c>
      <c r="J240" s="523"/>
      <c r="K240" s="543">
        <v>140000</v>
      </c>
      <c r="L240" s="524">
        <v>13013</v>
      </c>
      <c r="M240" s="523"/>
      <c r="N240" s="524">
        <v>153013</v>
      </c>
      <c r="O240" s="526" t="s">
        <v>313</v>
      </c>
      <c r="P240" s="523"/>
      <c r="Q240" s="526" t="s">
        <v>40</v>
      </c>
      <c r="R240" s="523"/>
      <c r="S240" s="523"/>
      <c r="T240" s="521"/>
      <c r="U240" s="521"/>
      <c r="V240" s="521"/>
      <c r="W240" s="521"/>
      <c r="X240" s="521"/>
    </row>
    <row r="241" spans="1:24" ht="15.6">
      <c r="A241" s="530">
        <v>44306</v>
      </c>
      <c r="B241" s="526" t="s">
        <v>23</v>
      </c>
      <c r="C241" s="615" t="s">
        <v>3849</v>
      </c>
      <c r="D241" s="547" t="s">
        <v>3850</v>
      </c>
      <c r="E241" s="614" t="s">
        <v>3851</v>
      </c>
      <c r="F241" s="614" t="s">
        <v>3852</v>
      </c>
      <c r="G241" s="529">
        <v>1</v>
      </c>
      <c r="H241" s="528">
        <v>110000</v>
      </c>
      <c r="I241" s="612">
        <v>110000</v>
      </c>
      <c r="J241" s="523"/>
      <c r="K241" s="543">
        <v>110000</v>
      </c>
      <c r="L241" s="524">
        <v>23000</v>
      </c>
      <c r="M241" s="523"/>
      <c r="N241" s="524">
        <v>133000</v>
      </c>
      <c r="O241" s="526" t="s">
        <v>23</v>
      </c>
      <c r="P241" s="548"/>
      <c r="Q241" s="526" t="s">
        <v>54</v>
      </c>
      <c r="R241" s="523"/>
      <c r="S241" s="534"/>
      <c r="T241" s="521"/>
      <c r="U241" s="521"/>
      <c r="V241" s="521"/>
      <c r="W241" s="521"/>
      <c r="X241" s="521"/>
    </row>
    <row r="242" spans="1:24" ht="15.6">
      <c r="A242" s="530">
        <v>44306</v>
      </c>
      <c r="B242" s="526" t="s">
        <v>313</v>
      </c>
      <c r="C242" s="615" t="s">
        <v>3853</v>
      </c>
      <c r="D242" s="547" t="s">
        <v>3854</v>
      </c>
      <c r="E242" s="614" t="s">
        <v>3855</v>
      </c>
      <c r="F242" s="614" t="s">
        <v>3686</v>
      </c>
      <c r="G242" s="529">
        <v>1</v>
      </c>
      <c r="H242" s="528">
        <v>88000</v>
      </c>
      <c r="I242" s="612">
        <v>88000</v>
      </c>
      <c r="J242" s="523"/>
      <c r="K242" s="543">
        <v>88000</v>
      </c>
      <c r="L242" s="524">
        <v>37016</v>
      </c>
      <c r="M242" s="523"/>
      <c r="N242" s="524">
        <v>125016</v>
      </c>
      <c r="O242" s="526" t="s">
        <v>313</v>
      </c>
      <c r="P242" s="512"/>
      <c r="Q242" s="526" t="s">
        <v>54</v>
      </c>
      <c r="R242" s="523"/>
      <c r="S242" s="547"/>
      <c r="T242" s="521"/>
      <c r="U242" s="521"/>
      <c r="V242" s="521"/>
      <c r="W242" s="521"/>
      <c r="X242" s="521"/>
    </row>
    <row r="243" spans="1:24" ht="15.6">
      <c r="A243" s="530">
        <v>44306</v>
      </c>
      <c r="B243" s="526" t="s">
        <v>23</v>
      </c>
      <c r="C243" s="615" t="s">
        <v>3856</v>
      </c>
      <c r="D243" s="547" t="s">
        <v>3857</v>
      </c>
      <c r="E243" s="614" t="s">
        <v>1784</v>
      </c>
      <c r="F243" s="614" t="s">
        <v>3858</v>
      </c>
      <c r="G243" s="529">
        <v>1</v>
      </c>
      <c r="H243" s="528">
        <v>72000</v>
      </c>
      <c r="I243" s="612">
        <v>72000</v>
      </c>
      <c r="J243" s="523">
        <v>18000</v>
      </c>
      <c r="K243" s="543">
        <v>54000</v>
      </c>
      <c r="L243" s="524">
        <v>80000</v>
      </c>
      <c r="M243" s="523"/>
      <c r="N243" s="524">
        <v>134000</v>
      </c>
      <c r="O243" s="526" t="s">
        <v>23</v>
      </c>
      <c r="P243" s="547"/>
      <c r="Q243" s="526" t="s">
        <v>40</v>
      </c>
      <c r="R243" s="523"/>
      <c r="S243" s="534"/>
      <c r="T243" s="521"/>
      <c r="U243" s="521"/>
      <c r="V243" s="521"/>
      <c r="W243" s="521"/>
      <c r="X243" s="521"/>
    </row>
    <row r="244" spans="1:24" ht="15.6">
      <c r="A244" s="530">
        <v>44306</v>
      </c>
      <c r="B244" s="526" t="s">
        <v>313</v>
      </c>
      <c r="C244" s="526" t="s">
        <v>3859</v>
      </c>
      <c r="D244" s="547" t="s">
        <v>3860</v>
      </c>
      <c r="E244" s="614" t="s">
        <v>3781</v>
      </c>
      <c r="F244" s="614" t="s">
        <v>3782</v>
      </c>
      <c r="G244" s="621">
        <v>1</v>
      </c>
      <c r="H244" s="528">
        <v>211000</v>
      </c>
      <c r="I244" s="612">
        <v>211000</v>
      </c>
      <c r="J244" s="523">
        <v>44200</v>
      </c>
      <c r="K244" s="543">
        <f>I244-J244</f>
        <v>166800</v>
      </c>
      <c r="L244" s="524">
        <v>6012</v>
      </c>
      <c r="M244" s="523"/>
      <c r="N244" s="524">
        <v>182812</v>
      </c>
      <c r="O244" s="526" t="s">
        <v>313</v>
      </c>
      <c r="P244" s="512"/>
      <c r="Q244" s="526" t="s">
        <v>28</v>
      </c>
      <c r="R244" s="523"/>
      <c r="S244" s="547"/>
      <c r="T244" s="521"/>
      <c r="U244" s="521"/>
      <c r="V244" s="521"/>
      <c r="W244" s="521"/>
      <c r="X244" s="521"/>
    </row>
    <row r="245" spans="1:24" ht="15.6">
      <c r="A245" s="530">
        <v>44306</v>
      </c>
      <c r="B245" s="526" t="s">
        <v>313</v>
      </c>
      <c r="C245" s="615" t="s">
        <v>3861</v>
      </c>
      <c r="D245" s="547" t="s">
        <v>3862</v>
      </c>
      <c r="E245" s="623" t="s">
        <v>3863</v>
      </c>
      <c r="F245" s="623" t="s">
        <v>3864</v>
      </c>
      <c r="G245" s="626">
        <v>1</v>
      </c>
      <c r="H245" s="528">
        <v>177000</v>
      </c>
      <c r="I245" s="612">
        <v>177000</v>
      </c>
      <c r="J245" s="523"/>
      <c r="K245" s="543">
        <v>177000</v>
      </c>
      <c r="L245" s="524">
        <v>17070</v>
      </c>
      <c r="M245" s="523"/>
      <c r="N245" s="524">
        <v>194070</v>
      </c>
      <c r="O245" s="526" t="s">
        <v>313</v>
      </c>
      <c r="P245" s="547"/>
      <c r="Q245" s="526" t="s">
        <v>40</v>
      </c>
      <c r="R245" s="523"/>
      <c r="S245" s="547"/>
      <c r="T245" s="521"/>
      <c r="U245" s="521"/>
      <c r="V245" s="521"/>
      <c r="W245" s="521"/>
      <c r="X245" s="521"/>
    </row>
    <row r="246" spans="1:24" ht="15.6">
      <c r="A246" s="530">
        <v>44306</v>
      </c>
      <c r="B246" s="526" t="s">
        <v>313</v>
      </c>
      <c r="C246" s="615" t="s">
        <v>3861</v>
      </c>
      <c r="D246" s="547" t="s">
        <v>3862</v>
      </c>
      <c r="E246" s="623" t="s">
        <v>1644</v>
      </c>
      <c r="F246" s="623" t="s">
        <v>3865</v>
      </c>
      <c r="G246" s="529">
        <v>1</v>
      </c>
      <c r="H246" s="528">
        <v>102000</v>
      </c>
      <c r="I246" s="612">
        <v>102000</v>
      </c>
      <c r="J246" s="523"/>
      <c r="K246" s="543">
        <v>102000</v>
      </c>
      <c r="L246" s="524"/>
      <c r="M246" s="523"/>
      <c r="N246" s="524">
        <v>102000</v>
      </c>
      <c r="O246" s="526" t="s">
        <v>313</v>
      </c>
      <c r="P246" s="547"/>
      <c r="Q246" s="526" t="s">
        <v>40</v>
      </c>
      <c r="R246" s="523"/>
      <c r="S246" s="547"/>
      <c r="T246" s="521"/>
      <c r="U246" s="521"/>
      <c r="V246" s="521"/>
      <c r="W246" s="521"/>
      <c r="X246" s="521"/>
    </row>
    <row r="247" spans="1:24" ht="15.6">
      <c r="A247" s="530">
        <v>44306</v>
      </c>
      <c r="B247" s="526" t="s">
        <v>43</v>
      </c>
      <c r="C247" s="615" t="s">
        <v>3866</v>
      </c>
      <c r="D247" s="547" t="s">
        <v>3867</v>
      </c>
      <c r="E247" s="614" t="s">
        <v>3322</v>
      </c>
      <c r="F247" s="614" t="s">
        <v>3323</v>
      </c>
      <c r="G247" s="529">
        <v>1</v>
      </c>
      <c r="H247" s="528">
        <v>195000</v>
      </c>
      <c r="I247" s="612">
        <v>195000</v>
      </c>
      <c r="J247" s="523">
        <v>39000</v>
      </c>
      <c r="K247" s="543">
        <v>156000</v>
      </c>
      <c r="L247" s="524"/>
      <c r="M247" s="523">
        <v>-8736</v>
      </c>
      <c r="N247" s="524">
        <v>147264</v>
      </c>
      <c r="O247" s="526" t="s">
        <v>43</v>
      </c>
      <c r="P247" s="547"/>
      <c r="Q247" s="525" t="s">
        <v>54</v>
      </c>
      <c r="R247" s="523"/>
      <c r="S247" s="547"/>
      <c r="T247" s="521"/>
      <c r="U247" s="521"/>
      <c r="V247" s="521"/>
      <c r="W247" s="521"/>
      <c r="X247" s="521"/>
    </row>
    <row r="248" spans="1:24" ht="15.6">
      <c r="A248" s="530">
        <v>44306</v>
      </c>
      <c r="B248" s="526" t="s">
        <v>23</v>
      </c>
      <c r="C248" s="526" t="s">
        <v>3868</v>
      </c>
      <c r="D248" s="1097" t="s">
        <v>9418</v>
      </c>
      <c r="E248" s="614" t="s">
        <v>3869</v>
      </c>
      <c r="F248" s="614" t="s">
        <v>3870</v>
      </c>
      <c r="G248" s="529">
        <v>1</v>
      </c>
      <c r="H248" s="528">
        <v>190000</v>
      </c>
      <c r="I248" s="612">
        <v>190000</v>
      </c>
      <c r="J248" s="523"/>
      <c r="K248" s="543">
        <v>190000</v>
      </c>
      <c r="L248" s="524">
        <v>17000</v>
      </c>
      <c r="M248" s="523"/>
      <c r="N248" s="524">
        <v>207000</v>
      </c>
      <c r="O248" s="526" t="s">
        <v>23</v>
      </c>
      <c r="P248" s="547"/>
      <c r="Q248" s="525" t="s">
        <v>40</v>
      </c>
      <c r="R248" s="523"/>
      <c r="S248" s="547"/>
      <c r="T248" s="521"/>
      <c r="U248" s="521"/>
      <c r="V248" s="521"/>
      <c r="W248" s="521"/>
      <c r="X248" s="521"/>
    </row>
    <row r="249" spans="1:24" ht="15.6">
      <c r="A249" s="530">
        <v>44306</v>
      </c>
      <c r="B249" s="526" t="s">
        <v>313</v>
      </c>
      <c r="C249" s="526" t="s">
        <v>3871</v>
      </c>
      <c r="D249" s="547" t="s">
        <v>3872</v>
      </c>
      <c r="E249" s="614" t="s">
        <v>2855</v>
      </c>
      <c r="F249" s="614" t="s">
        <v>2856</v>
      </c>
      <c r="G249" s="529">
        <v>1</v>
      </c>
      <c r="H249" s="528">
        <v>166000</v>
      </c>
      <c r="I249" s="612">
        <v>166000</v>
      </c>
      <c r="J249" s="523"/>
      <c r="K249" s="543">
        <v>166000</v>
      </c>
      <c r="L249" s="524">
        <v>7003</v>
      </c>
      <c r="M249" s="523"/>
      <c r="N249" s="524">
        <v>173003</v>
      </c>
      <c r="O249" s="526" t="s">
        <v>313</v>
      </c>
      <c r="P249" s="547"/>
      <c r="Q249" s="526" t="s">
        <v>28</v>
      </c>
      <c r="R249" s="523"/>
      <c r="S249" s="534"/>
      <c r="T249" s="521"/>
      <c r="U249" s="521"/>
      <c r="V249" s="521"/>
      <c r="W249" s="521"/>
      <c r="X249" s="521"/>
    </row>
    <row r="250" spans="1:24" ht="15.6">
      <c r="A250" s="530">
        <v>44307</v>
      </c>
      <c r="B250" s="526" t="s">
        <v>177</v>
      </c>
      <c r="C250" s="615" t="s">
        <v>3873</v>
      </c>
      <c r="D250" s="547" t="s">
        <v>3874</v>
      </c>
      <c r="E250" s="614" t="s">
        <v>3875</v>
      </c>
      <c r="F250" s="614" t="s">
        <v>3876</v>
      </c>
      <c r="G250" s="529">
        <v>1</v>
      </c>
      <c r="H250" s="519">
        <v>108000</v>
      </c>
      <c r="I250" s="612">
        <v>108000</v>
      </c>
      <c r="J250" s="523">
        <v>21600</v>
      </c>
      <c r="K250" s="543">
        <v>86400</v>
      </c>
      <c r="L250" s="524"/>
      <c r="M250" s="523"/>
      <c r="N250" s="524">
        <v>86400</v>
      </c>
      <c r="O250" s="526" t="s">
        <v>177</v>
      </c>
      <c r="P250" s="547"/>
      <c r="Q250" s="526" t="s">
        <v>54</v>
      </c>
      <c r="R250" s="523"/>
      <c r="S250" s="547"/>
      <c r="T250" s="521"/>
      <c r="U250" s="521"/>
      <c r="V250" s="521"/>
      <c r="W250" s="521"/>
      <c r="X250" s="521"/>
    </row>
    <row r="251" spans="1:24" ht="15.6">
      <c r="A251" s="530">
        <v>44307</v>
      </c>
      <c r="B251" s="526" t="s">
        <v>177</v>
      </c>
      <c r="C251" s="615" t="s">
        <v>3877</v>
      </c>
      <c r="D251" s="547" t="s">
        <v>3878</v>
      </c>
      <c r="E251" s="614" t="s">
        <v>213</v>
      </c>
      <c r="F251" s="614" t="s">
        <v>191</v>
      </c>
      <c r="G251" s="529">
        <v>1</v>
      </c>
      <c r="H251" s="519">
        <v>92500</v>
      </c>
      <c r="I251" s="612">
        <v>92500</v>
      </c>
      <c r="J251" s="523">
        <v>18500</v>
      </c>
      <c r="K251" s="543">
        <v>74000</v>
      </c>
      <c r="L251" s="524"/>
      <c r="M251" s="523"/>
      <c r="N251" s="524">
        <v>74000</v>
      </c>
      <c r="O251" s="526" t="s">
        <v>177</v>
      </c>
      <c r="P251" s="547"/>
      <c r="Q251" s="526" t="s">
        <v>54</v>
      </c>
      <c r="R251" s="523"/>
      <c r="S251" s="547"/>
      <c r="T251" s="521"/>
      <c r="U251" s="521"/>
      <c r="V251" s="521"/>
      <c r="W251" s="521"/>
      <c r="X251" s="521"/>
    </row>
    <row r="252" spans="1:24" ht="15.6">
      <c r="A252" s="530">
        <v>44307</v>
      </c>
      <c r="B252" s="526" t="s">
        <v>23</v>
      </c>
      <c r="C252" s="615" t="s">
        <v>3879</v>
      </c>
      <c r="D252" s="547" t="s">
        <v>3880</v>
      </c>
      <c r="E252" s="627" t="s">
        <v>3881</v>
      </c>
      <c r="F252" s="627" t="s">
        <v>3882</v>
      </c>
      <c r="G252" s="529">
        <v>1</v>
      </c>
      <c r="H252" s="519">
        <v>59000</v>
      </c>
      <c r="I252" s="612">
        <v>59000</v>
      </c>
      <c r="J252" s="523">
        <v>11800</v>
      </c>
      <c r="K252" s="543">
        <v>47200</v>
      </c>
      <c r="L252" s="523">
        <v>17000</v>
      </c>
      <c r="M252" s="523"/>
      <c r="N252" s="524">
        <v>64200</v>
      </c>
      <c r="O252" s="526" t="s">
        <v>23</v>
      </c>
      <c r="P252" s="547"/>
      <c r="Q252" s="526" t="s">
        <v>40</v>
      </c>
      <c r="R252" s="523"/>
      <c r="S252" s="547"/>
      <c r="T252" s="521"/>
      <c r="U252" s="521"/>
      <c r="V252" s="521"/>
      <c r="W252" s="521"/>
      <c r="X252" s="521"/>
    </row>
    <row r="253" spans="1:24" ht="15.6">
      <c r="A253" s="530">
        <v>44307</v>
      </c>
      <c r="B253" s="526" t="s">
        <v>23</v>
      </c>
      <c r="C253" s="615" t="s">
        <v>3879</v>
      </c>
      <c r="D253" s="547" t="s">
        <v>3880</v>
      </c>
      <c r="E253" s="627" t="s">
        <v>1001</v>
      </c>
      <c r="F253" s="627" t="s">
        <v>999</v>
      </c>
      <c r="G253" s="529">
        <v>1</v>
      </c>
      <c r="H253" s="519">
        <v>84500</v>
      </c>
      <c r="I253" s="612">
        <v>84500</v>
      </c>
      <c r="J253" s="523">
        <v>16900</v>
      </c>
      <c r="K253" s="543">
        <v>67600</v>
      </c>
      <c r="L253" s="523"/>
      <c r="M253" s="523"/>
      <c r="N253" s="524">
        <v>67600</v>
      </c>
      <c r="O253" s="526" t="s">
        <v>23</v>
      </c>
      <c r="P253" s="547"/>
      <c r="Q253" s="526" t="s">
        <v>40</v>
      </c>
      <c r="R253" s="523"/>
      <c r="S253" s="534"/>
      <c r="T253" s="521"/>
      <c r="U253" s="521"/>
      <c r="V253" s="521"/>
      <c r="W253" s="521"/>
      <c r="X253" s="521"/>
    </row>
    <row r="254" spans="1:24" ht="15.6">
      <c r="A254" s="530">
        <v>44307</v>
      </c>
      <c r="B254" s="526" t="s">
        <v>23</v>
      </c>
      <c r="C254" s="615" t="s">
        <v>3879</v>
      </c>
      <c r="D254" s="547" t="s">
        <v>3880</v>
      </c>
      <c r="E254" s="627" t="s">
        <v>3883</v>
      </c>
      <c r="F254" s="627"/>
      <c r="G254" s="529">
        <v>1</v>
      </c>
      <c r="H254" s="519">
        <v>94500</v>
      </c>
      <c r="I254" s="612">
        <v>94500</v>
      </c>
      <c r="J254" s="523">
        <v>18900</v>
      </c>
      <c r="K254" s="543">
        <v>75600</v>
      </c>
      <c r="L254" s="523"/>
      <c r="M254" s="523"/>
      <c r="N254" s="524">
        <v>75600</v>
      </c>
      <c r="O254" s="526" t="s">
        <v>23</v>
      </c>
      <c r="P254" s="547"/>
      <c r="Q254" s="526" t="s">
        <v>40</v>
      </c>
      <c r="R254" s="523"/>
      <c r="S254" s="534"/>
      <c r="T254" s="521"/>
      <c r="U254" s="521"/>
      <c r="V254" s="521"/>
      <c r="W254" s="521"/>
      <c r="X254" s="521"/>
    </row>
    <row r="255" spans="1:24" ht="15.6">
      <c r="A255" s="530">
        <v>44307</v>
      </c>
      <c r="B255" s="525" t="s">
        <v>23</v>
      </c>
      <c r="C255" s="615" t="s">
        <v>3777</v>
      </c>
      <c r="D255" s="547" t="s">
        <v>3884</v>
      </c>
      <c r="E255" s="614" t="s">
        <v>201</v>
      </c>
      <c r="F255" s="614" t="s">
        <v>202</v>
      </c>
      <c r="G255" s="529">
        <v>1</v>
      </c>
      <c r="H255" s="519">
        <v>131000</v>
      </c>
      <c r="I255" s="612">
        <v>131000</v>
      </c>
      <c r="J255" s="523">
        <v>46500</v>
      </c>
      <c r="K255" s="543">
        <v>84500</v>
      </c>
      <c r="L255" s="523">
        <v>17000</v>
      </c>
      <c r="M255" s="523"/>
      <c r="N255" s="524">
        <v>101500</v>
      </c>
      <c r="O255" s="525" t="s">
        <v>23</v>
      </c>
      <c r="P255" s="547"/>
      <c r="Q255" s="526" t="s">
        <v>40</v>
      </c>
      <c r="R255" s="523"/>
      <c r="S255" s="547"/>
      <c r="T255" s="521"/>
      <c r="U255" s="521"/>
      <c r="V255" s="521"/>
      <c r="W255" s="521"/>
      <c r="X255" s="521"/>
    </row>
    <row r="256" spans="1:24" ht="15.6">
      <c r="A256" s="530">
        <v>44307</v>
      </c>
      <c r="B256" s="525" t="s">
        <v>23</v>
      </c>
      <c r="C256" s="615" t="s">
        <v>3879</v>
      </c>
      <c r="D256" s="547" t="s">
        <v>3880</v>
      </c>
      <c r="E256" s="614" t="s">
        <v>3885</v>
      </c>
      <c r="F256" s="614" t="s">
        <v>3886</v>
      </c>
      <c r="G256" s="529">
        <v>1</v>
      </c>
      <c r="H256" s="519">
        <v>61000</v>
      </c>
      <c r="I256" s="612">
        <v>61000</v>
      </c>
      <c r="J256" s="523">
        <v>12200</v>
      </c>
      <c r="K256" s="543">
        <v>48800</v>
      </c>
      <c r="L256" s="523"/>
      <c r="M256" s="523"/>
      <c r="N256" s="524">
        <v>48800</v>
      </c>
      <c r="O256" s="525" t="s">
        <v>23</v>
      </c>
      <c r="P256" s="547"/>
      <c r="Q256" s="525" t="s">
        <v>40</v>
      </c>
      <c r="R256" s="523"/>
      <c r="S256" s="547"/>
      <c r="T256" s="521"/>
      <c r="U256" s="521"/>
      <c r="V256" s="521"/>
      <c r="W256" s="521"/>
      <c r="X256" s="521"/>
    </row>
    <row r="257" spans="1:24" ht="15.6">
      <c r="A257" s="530">
        <v>44308</v>
      </c>
      <c r="B257" s="526" t="s">
        <v>43</v>
      </c>
      <c r="C257" s="526" t="s">
        <v>3887</v>
      </c>
      <c r="D257" s="547" t="s">
        <v>3888</v>
      </c>
      <c r="E257" s="614" t="s">
        <v>1302</v>
      </c>
      <c r="F257" s="614" t="s">
        <v>1303</v>
      </c>
      <c r="G257" s="529">
        <v>1</v>
      </c>
      <c r="H257" s="519">
        <v>219500</v>
      </c>
      <c r="I257" s="612">
        <v>219500</v>
      </c>
      <c r="J257" s="523">
        <v>43900</v>
      </c>
      <c r="K257" s="543">
        <v>175600</v>
      </c>
      <c r="L257" s="523">
        <v>4000</v>
      </c>
      <c r="M257" s="523">
        <v>-9834</v>
      </c>
      <c r="N257" s="524">
        <v>169766</v>
      </c>
      <c r="O257" s="580" t="s">
        <v>43</v>
      </c>
      <c r="P257" s="547"/>
      <c r="Q257" s="526" t="s">
        <v>649</v>
      </c>
      <c r="R257" s="523"/>
      <c r="S257" s="523"/>
      <c r="T257" s="521"/>
      <c r="U257" s="521"/>
      <c r="V257" s="521"/>
      <c r="W257" s="521"/>
      <c r="X257" s="521"/>
    </row>
    <row r="258" spans="1:24" ht="15.6">
      <c r="A258" s="530">
        <v>44308</v>
      </c>
      <c r="B258" s="525" t="s">
        <v>23</v>
      </c>
      <c r="C258" s="525" t="s">
        <v>431</v>
      </c>
      <c r="D258" s="547" t="s">
        <v>31</v>
      </c>
      <c r="E258" s="614" t="s">
        <v>3889</v>
      </c>
      <c r="F258" s="614" t="s">
        <v>3890</v>
      </c>
      <c r="G258" s="529">
        <v>1</v>
      </c>
      <c r="H258" s="519">
        <v>87000</v>
      </c>
      <c r="I258" s="612">
        <v>87000</v>
      </c>
      <c r="J258" s="523">
        <v>21750</v>
      </c>
      <c r="K258" s="543">
        <v>65250</v>
      </c>
      <c r="L258" s="523"/>
      <c r="M258" s="523"/>
      <c r="N258" s="524">
        <v>65250</v>
      </c>
      <c r="O258" s="580" t="s">
        <v>23</v>
      </c>
      <c r="P258" s="547"/>
      <c r="Q258" s="525" t="s">
        <v>35</v>
      </c>
      <c r="R258" s="523"/>
      <c r="S258" s="523"/>
      <c r="T258" s="521"/>
      <c r="U258" s="521"/>
      <c r="V258" s="521"/>
      <c r="W258" s="521"/>
      <c r="X258" s="521"/>
    </row>
    <row r="259" spans="1:24">
      <c r="G259" s="520">
        <f>SUM(G2:G258)</f>
        <v>396</v>
      </c>
      <c r="K259" s="641">
        <f>SUBTOTAL(9,K2:K258)</f>
        <v>31346300</v>
      </c>
    </row>
  </sheetData>
  <autoFilter ref="A1:X258" xr:uid="{00000000-0009-0000-0000-000003000000}">
    <filterColumn colId="1">
      <filters>
        <filter val="wa"/>
      </filters>
    </filterColumn>
  </autoFilter>
  <conditionalFormatting sqref="E17">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8"/>
  <sheetViews>
    <sheetView topLeftCell="A77" workbookViewId="0">
      <selection activeCell="D87" sqref="D87"/>
    </sheetView>
  </sheetViews>
  <sheetFormatPr defaultRowHeight="14.4"/>
  <sheetData>
    <row r="1" spans="1:24" s="522" customFormat="1">
      <c r="A1" s="411" t="s">
        <v>0</v>
      </c>
      <c r="B1" s="412" t="s">
        <v>1</v>
      </c>
      <c r="C1" s="412" t="s">
        <v>2</v>
      </c>
      <c r="D1" s="413" t="s">
        <v>3</v>
      </c>
      <c r="E1" s="412" t="s">
        <v>4</v>
      </c>
      <c r="F1" s="412" t="s">
        <v>5</v>
      </c>
      <c r="G1" s="414" t="s">
        <v>4668</v>
      </c>
      <c r="H1" s="412" t="s">
        <v>7</v>
      </c>
      <c r="I1" s="415" t="s">
        <v>8</v>
      </c>
      <c r="J1" s="416" t="s">
        <v>9</v>
      </c>
      <c r="K1" s="417" t="s">
        <v>10</v>
      </c>
      <c r="L1" s="416" t="s">
        <v>11</v>
      </c>
      <c r="M1" s="416" t="s">
        <v>12</v>
      </c>
      <c r="N1" s="416" t="s">
        <v>13</v>
      </c>
      <c r="O1" s="418" t="s">
        <v>14</v>
      </c>
      <c r="P1" s="419" t="s">
        <v>15</v>
      </c>
      <c r="Q1" s="412" t="s">
        <v>16</v>
      </c>
      <c r="R1" s="412" t="s">
        <v>17</v>
      </c>
      <c r="S1" s="414" t="s">
        <v>18</v>
      </c>
      <c r="T1" s="416" t="s">
        <v>19</v>
      </c>
      <c r="U1" s="416" t="s">
        <v>20</v>
      </c>
      <c r="V1" s="416" t="s">
        <v>21</v>
      </c>
      <c r="W1" s="418" t="s">
        <v>22</v>
      </c>
    </row>
    <row r="2" spans="1:24" s="119" customFormat="1">
      <c r="A2" s="9">
        <v>44309</v>
      </c>
      <c r="B2" s="91" t="s">
        <v>43</v>
      </c>
      <c r="C2" s="123" t="s">
        <v>3891</v>
      </c>
      <c r="D2" s="642" t="s">
        <v>3892</v>
      </c>
      <c r="E2" s="644" t="s">
        <v>3893</v>
      </c>
      <c r="F2" s="644" t="s">
        <v>2372</v>
      </c>
      <c r="G2" s="30">
        <v>1</v>
      </c>
      <c r="H2" s="86">
        <v>79500</v>
      </c>
      <c r="I2" s="86">
        <f>H2*G2</f>
        <v>79500</v>
      </c>
      <c r="J2" s="86"/>
      <c r="K2" s="86">
        <f>I2-J2</f>
        <v>79500</v>
      </c>
      <c r="L2" s="86"/>
      <c r="M2" s="86"/>
      <c r="N2" s="86">
        <f>K2+L2+M2</f>
        <v>79500</v>
      </c>
      <c r="O2" s="91" t="s">
        <v>43</v>
      </c>
      <c r="P2" s="649"/>
      <c r="Q2" s="91" t="s">
        <v>54</v>
      </c>
      <c r="S2" s="642"/>
      <c r="U2" s="86"/>
      <c r="V2" s="86"/>
      <c r="W2" s="86"/>
      <c r="X2" s="86"/>
    </row>
    <row r="3" spans="1:24" s="119" customFormat="1">
      <c r="A3" s="9">
        <v>44309</v>
      </c>
      <c r="B3" s="91" t="s">
        <v>170</v>
      </c>
      <c r="C3" s="123" t="s">
        <v>3894</v>
      </c>
      <c r="D3" s="642" t="s">
        <v>3895</v>
      </c>
      <c r="E3" s="644" t="s">
        <v>2641</v>
      </c>
      <c r="F3" s="644" t="s">
        <v>2642</v>
      </c>
      <c r="G3" s="30">
        <v>1</v>
      </c>
      <c r="H3" s="86">
        <v>91000</v>
      </c>
      <c r="I3" s="86">
        <f t="shared" ref="I3:I64" si="0">H3*G3</f>
        <v>91000</v>
      </c>
      <c r="J3" s="86"/>
      <c r="K3" s="86">
        <f t="shared" ref="K3:K64" si="1">I3-J3</f>
        <v>91000</v>
      </c>
      <c r="L3" s="86">
        <f>23000-23000</f>
        <v>0</v>
      </c>
      <c r="M3" s="86">
        <v>-455</v>
      </c>
      <c r="N3" s="86">
        <f t="shared" ref="N3:N64" si="2">K3+L3+M3</f>
        <v>90545</v>
      </c>
      <c r="O3" s="91" t="s">
        <v>170</v>
      </c>
      <c r="P3" s="663"/>
      <c r="Q3" s="91" t="s">
        <v>176</v>
      </c>
      <c r="S3" s="642"/>
      <c r="U3" s="86"/>
      <c r="V3" s="86"/>
      <c r="W3" s="86"/>
      <c r="X3" s="86"/>
    </row>
    <row r="4" spans="1:24" s="119" customFormat="1">
      <c r="A4" s="9">
        <v>44309</v>
      </c>
      <c r="B4" s="91" t="s">
        <v>313</v>
      </c>
      <c r="C4" s="123" t="s">
        <v>3896</v>
      </c>
      <c r="D4" s="642" t="s">
        <v>3897</v>
      </c>
      <c r="E4" s="644" t="s">
        <v>325</v>
      </c>
      <c r="F4" s="644" t="s">
        <v>326</v>
      </c>
      <c r="G4" s="645">
        <v>1</v>
      </c>
      <c r="H4" s="119">
        <v>141000</v>
      </c>
      <c r="I4" s="86">
        <f t="shared" si="0"/>
        <v>141000</v>
      </c>
      <c r="J4" s="86"/>
      <c r="K4" s="86">
        <f t="shared" si="1"/>
        <v>141000</v>
      </c>
      <c r="L4" s="86">
        <v>13054</v>
      </c>
      <c r="M4" s="86"/>
      <c r="N4" s="86">
        <f t="shared" si="2"/>
        <v>154054</v>
      </c>
      <c r="O4" s="91" t="s">
        <v>313</v>
      </c>
      <c r="P4" s="171"/>
      <c r="Q4" s="91" t="s">
        <v>40</v>
      </c>
      <c r="S4" s="171"/>
      <c r="U4" s="86"/>
      <c r="V4" s="86"/>
      <c r="W4" s="86"/>
      <c r="X4" s="86"/>
    </row>
    <row r="5" spans="1:24" s="119" customFormat="1">
      <c r="A5" s="9">
        <v>44309</v>
      </c>
      <c r="B5" s="91" t="s">
        <v>43</v>
      </c>
      <c r="C5" s="91" t="s">
        <v>3898</v>
      </c>
      <c r="D5" s="642" t="s">
        <v>3899</v>
      </c>
      <c r="E5" s="646" t="s">
        <v>2598</v>
      </c>
      <c r="F5" s="646" t="s">
        <v>2599</v>
      </c>
      <c r="G5" s="30">
        <v>1</v>
      </c>
      <c r="H5" s="86">
        <v>121000</v>
      </c>
      <c r="I5" s="86">
        <f t="shared" si="0"/>
        <v>121000</v>
      </c>
      <c r="J5" s="86"/>
      <c r="K5" s="86">
        <f t="shared" si="1"/>
        <v>121000</v>
      </c>
      <c r="L5" s="86"/>
      <c r="M5" s="86">
        <v>-21672</v>
      </c>
      <c r="N5" s="86">
        <f t="shared" si="2"/>
        <v>99328</v>
      </c>
      <c r="O5" s="91" t="s">
        <v>43</v>
      </c>
      <c r="P5" s="647"/>
      <c r="Q5" s="91" t="s">
        <v>54</v>
      </c>
      <c r="S5" s="648"/>
      <c r="U5" s="86"/>
      <c r="V5" s="86"/>
      <c r="W5" s="86"/>
      <c r="X5" s="86"/>
    </row>
    <row r="6" spans="1:24" s="119" customFormat="1" ht="16.8">
      <c r="A6" s="9">
        <v>44309</v>
      </c>
      <c r="B6" s="91" t="s">
        <v>43</v>
      </c>
      <c r="C6" s="91" t="s">
        <v>3898</v>
      </c>
      <c r="D6" s="642" t="s">
        <v>3900</v>
      </c>
      <c r="E6" s="646" t="s">
        <v>3766</v>
      </c>
      <c r="F6" s="646" t="s">
        <v>3767</v>
      </c>
      <c r="G6" s="30">
        <v>1</v>
      </c>
      <c r="H6" s="86">
        <v>149000</v>
      </c>
      <c r="I6" s="86">
        <f t="shared" si="0"/>
        <v>149000</v>
      </c>
      <c r="J6" s="86"/>
      <c r="K6" s="86">
        <f t="shared" si="1"/>
        <v>149000</v>
      </c>
      <c r="L6" s="86"/>
      <c r="M6" s="86"/>
      <c r="N6" s="86">
        <f t="shared" si="2"/>
        <v>149000</v>
      </c>
      <c r="O6" s="91" t="s">
        <v>43</v>
      </c>
      <c r="P6" s="664"/>
      <c r="Q6" s="91" t="s">
        <v>54</v>
      </c>
      <c r="S6" s="642"/>
      <c r="U6" s="86"/>
      <c r="V6" s="86"/>
      <c r="W6" s="86"/>
      <c r="X6" s="86"/>
    </row>
    <row r="7" spans="1:24" s="119" customFormat="1">
      <c r="A7" s="9">
        <v>44309</v>
      </c>
      <c r="B7" s="91" t="s">
        <v>43</v>
      </c>
      <c r="C7" s="91" t="s">
        <v>3898</v>
      </c>
      <c r="D7" s="642" t="s">
        <v>3901</v>
      </c>
      <c r="E7" s="646" t="s">
        <v>931</v>
      </c>
      <c r="F7" s="646" t="s">
        <v>932</v>
      </c>
      <c r="G7" s="30">
        <v>1</v>
      </c>
      <c r="H7" s="86">
        <v>117000</v>
      </c>
      <c r="I7" s="86">
        <f t="shared" si="0"/>
        <v>117000</v>
      </c>
      <c r="J7" s="86"/>
      <c r="K7" s="86">
        <f t="shared" si="1"/>
        <v>117000</v>
      </c>
      <c r="L7" s="86"/>
      <c r="M7" s="86"/>
      <c r="N7" s="86">
        <f t="shared" si="2"/>
        <v>117000</v>
      </c>
      <c r="O7" s="91" t="s">
        <v>43</v>
      </c>
      <c r="P7" s="649"/>
      <c r="Q7" s="91" t="s">
        <v>54</v>
      </c>
      <c r="S7" s="642"/>
      <c r="U7" s="86"/>
      <c r="V7" s="86"/>
      <c r="W7" s="86"/>
      <c r="X7" s="86"/>
    </row>
    <row r="8" spans="1:24" s="119" customFormat="1">
      <c r="A8" s="9">
        <v>44312</v>
      </c>
      <c r="B8" s="91" t="s">
        <v>170</v>
      </c>
      <c r="C8" s="123" t="s">
        <v>3902</v>
      </c>
      <c r="D8" s="650" t="s">
        <v>3903</v>
      </c>
      <c r="E8" s="644" t="s">
        <v>3904</v>
      </c>
      <c r="F8" s="644" t="s">
        <v>3905</v>
      </c>
      <c r="G8" s="30">
        <v>1</v>
      </c>
      <c r="H8" s="86">
        <v>115000</v>
      </c>
      <c r="I8" s="86">
        <f t="shared" si="0"/>
        <v>115000</v>
      </c>
      <c r="J8" s="86"/>
      <c r="K8" s="86">
        <f t="shared" si="1"/>
        <v>115000</v>
      </c>
      <c r="L8" s="86">
        <f>30000-30000</f>
        <v>0</v>
      </c>
      <c r="M8" s="86"/>
      <c r="N8" s="86">
        <f t="shared" si="2"/>
        <v>115000</v>
      </c>
      <c r="O8" s="91" t="s">
        <v>170</v>
      </c>
      <c r="P8" s="649"/>
      <c r="Q8" s="10" t="s">
        <v>176</v>
      </c>
      <c r="S8" s="642"/>
      <c r="U8" s="86"/>
      <c r="V8" s="86"/>
      <c r="W8" s="86"/>
      <c r="X8" s="86"/>
    </row>
    <row r="9" spans="1:24" s="119" customFormat="1">
      <c r="A9" s="9">
        <v>44313</v>
      </c>
      <c r="B9" s="91" t="s">
        <v>313</v>
      </c>
      <c r="C9" s="91" t="s">
        <v>3906</v>
      </c>
      <c r="D9" s="650" t="s">
        <v>3907</v>
      </c>
      <c r="E9" s="651" t="s">
        <v>96</v>
      </c>
      <c r="F9" s="651" t="s">
        <v>118</v>
      </c>
      <c r="G9" s="30">
        <v>1</v>
      </c>
      <c r="H9" s="86">
        <v>71000</v>
      </c>
      <c r="I9" s="86">
        <f t="shared" si="0"/>
        <v>71000</v>
      </c>
      <c r="J9" s="86"/>
      <c r="K9" s="86">
        <f t="shared" si="1"/>
        <v>71000</v>
      </c>
      <c r="L9" s="86">
        <v>95005</v>
      </c>
      <c r="M9" s="86"/>
      <c r="N9" s="86">
        <f t="shared" si="2"/>
        <v>166005</v>
      </c>
      <c r="O9" s="91" t="s">
        <v>313</v>
      </c>
      <c r="P9" s="649"/>
      <c r="Q9" s="91" t="s">
        <v>40</v>
      </c>
      <c r="S9" s="642"/>
      <c r="U9" s="86"/>
      <c r="V9" s="86"/>
      <c r="W9" s="86"/>
      <c r="X9" s="86"/>
    </row>
    <row r="10" spans="1:24" s="119" customFormat="1">
      <c r="A10" s="9">
        <v>44313</v>
      </c>
      <c r="B10" s="91" t="s">
        <v>313</v>
      </c>
      <c r="C10" s="91" t="s">
        <v>3906</v>
      </c>
      <c r="D10" s="650" t="s">
        <v>3908</v>
      </c>
      <c r="E10" s="651" t="s">
        <v>3909</v>
      </c>
      <c r="F10" s="651" t="s">
        <v>3910</v>
      </c>
      <c r="G10" s="30">
        <v>1</v>
      </c>
      <c r="H10" s="86">
        <v>97500</v>
      </c>
      <c r="I10" s="86">
        <f t="shared" si="0"/>
        <v>97500</v>
      </c>
      <c r="J10" s="86"/>
      <c r="K10" s="86">
        <f t="shared" si="1"/>
        <v>97500</v>
      </c>
      <c r="L10" s="86"/>
      <c r="M10" s="86"/>
      <c r="N10" s="86">
        <f t="shared" si="2"/>
        <v>97500</v>
      </c>
      <c r="O10" s="91" t="s">
        <v>313</v>
      </c>
      <c r="P10" s="86"/>
      <c r="Q10" s="91" t="s">
        <v>40</v>
      </c>
      <c r="S10" s="86"/>
      <c r="U10" s="86"/>
      <c r="V10" s="86"/>
      <c r="W10" s="86"/>
      <c r="X10" s="86"/>
    </row>
    <row r="11" spans="1:24" s="119" customFormat="1">
      <c r="A11" s="9">
        <v>44313</v>
      </c>
      <c r="B11" s="91" t="s">
        <v>313</v>
      </c>
      <c r="C11" s="91" t="s">
        <v>3906</v>
      </c>
      <c r="D11" s="650" t="s">
        <v>3911</v>
      </c>
      <c r="E11" s="651" t="s">
        <v>3912</v>
      </c>
      <c r="F11" s="651" t="s">
        <v>3913</v>
      </c>
      <c r="G11" s="30">
        <v>1</v>
      </c>
      <c r="H11" s="86">
        <v>62000</v>
      </c>
      <c r="I11" s="86">
        <f t="shared" si="0"/>
        <v>62000</v>
      </c>
      <c r="J11" s="86"/>
      <c r="K11" s="86">
        <f t="shared" si="1"/>
        <v>62000</v>
      </c>
      <c r="L11" s="86"/>
      <c r="M11" s="86"/>
      <c r="N11" s="86">
        <f t="shared" si="2"/>
        <v>62000</v>
      </c>
      <c r="O11" s="91" t="s">
        <v>313</v>
      </c>
      <c r="P11" s="652"/>
      <c r="Q11" s="91" t="s">
        <v>40</v>
      </c>
      <c r="S11" s="642"/>
      <c r="U11" s="86"/>
      <c r="V11" s="86"/>
      <c r="W11" s="86"/>
      <c r="X11" s="86"/>
    </row>
    <row r="12" spans="1:24" s="119" customFormat="1" ht="16.8">
      <c r="A12" s="9">
        <v>44313</v>
      </c>
      <c r="B12" s="91" t="s">
        <v>313</v>
      </c>
      <c r="C12" s="91" t="s">
        <v>3906</v>
      </c>
      <c r="D12" s="650" t="s">
        <v>3914</v>
      </c>
      <c r="E12" s="651" t="s">
        <v>3915</v>
      </c>
      <c r="F12" s="651" t="s">
        <v>3916</v>
      </c>
      <c r="G12" s="30">
        <v>1</v>
      </c>
      <c r="H12" s="86">
        <v>83000</v>
      </c>
      <c r="I12" s="86">
        <f t="shared" si="0"/>
        <v>83000</v>
      </c>
      <c r="J12" s="86"/>
      <c r="K12" s="86">
        <f t="shared" si="1"/>
        <v>83000</v>
      </c>
      <c r="L12" s="86"/>
      <c r="M12" s="86"/>
      <c r="N12" s="86">
        <f t="shared" si="2"/>
        <v>83000</v>
      </c>
      <c r="O12" s="91" t="s">
        <v>313</v>
      </c>
      <c r="P12" s="664"/>
      <c r="Q12" s="91" t="s">
        <v>40</v>
      </c>
      <c r="S12" s="642"/>
      <c r="U12" s="86"/>
      <c r="V12" s="86"/>
      <c r="W12" s="86"/>
      <c r="X12" s="86"/>
    </row>
    <row r="13" spans="1:24" s="203" customFormat="1">
      <c r="A13" s="9">
        <v>44313</v>
      </c>
      <c r="B13" s="91" t="s">
        <v>313</v>
      </c>
      <c r="C13" s="91" t="s">
        <v>3906</v>
      </c>
      <c r="D13" s="650" t="s">
        <v>3917</v>
      </c>
      <c r="E13" s="651" t="s">
        <v>3918</v>
      </c>
      <c r="F13" s="651" t="s">
        <v>384</v>
      </c>
      <c r="G13" s="30">
        <v>1</v>
      </c>
      <c r="H13" s="86">
        <v>85000</v>
      </c>
      <c r="I13" s="86">
        <f t="shared" si="0"/>
        <v>85000</v>
      </c>
      <c r="J13" s="86"/>
      <c r="K13" s="86">
        <f t="shared" si="1"/>
        <v>85000</v>
      </c>
      <c r="L13" s="86"/>
      <c r="M13" s="86"/>
      <c r="N13" s="86">
        <f t="shared" si="2"/>
        <v>85000</v>
      </c>
      <c r="O13" s="91" t="s">
        <v>313</v>
      </c>
      <c r="P13" s="665"/>
      <c r="Q13" s="91" t="s">
        <v>40</v>
      </c>
      <c r="R13" s="119"/>
      <c r="S13" s="653"/>
      <c r="T13" s="119"/>
      <c r="U13" s="86"/>
      <c r="V13" s="86"/>
      <c r="W13" s="86"/>
      <c r="X13" s="18"/>
    </row>
    <row r="14" spans="1:24" s="203" customFormat="1">
      <c r="A14" s="9">
        <v>44313</v>
      </c>
      <c r="B14" s="91" t="s">
        <v>313</v>
      </c>
      <c r="C14" s="91" t="s">
        <v>3906</v>
      </c>
      <c r="D14" s="650" t="s">
        <v>3919</v>
      </c>
      <c r="E14" s="651" t="s">
        <v>1453</v>
      </c>
      <c r="F14" s="651" t="s">
        <v>1454</v>
      </c>
      <c r="G14" s="30">
        <v>1</v>
      </c>
      <c r="H14" s="86">
        <v>79500</v>
      </c>
      <c r="I14" s="86">
        <f t="shared" si="0"/>
        <v>79500</v>
      </c>
      <c r="J14" s="86"/>
      <c r="K14" s="86">
        <f t="shared" si="1"/>
        <v>79500</v>
      </c>
      <c r="L14" s="86"/>
      <c r="M14" s="86"/>
      <c r="N14" s="86">
        <f t="shared" si="2"/>
        <v>79500</v>
      </c>
      <c r="O14" s="91" t="s">
        <v>313</v>
      </c>
      <c r="P14" s="666"/>
      <c r="Q14" s="91" t="s">
        <v>40</v>
      </c>
      <c r="R14" s="119"/>
      <c r="S14" s="666"/>
      <c r="T14" s="119"/>
      <c r="U14" s="86"/>
      <c r="V14" s="86"/>
      <c r="W14" s="86"/>
      <c r="X14" s="18"/>
    </row>
    <row r="15" spans="1:24" s="203" customFormat="1">
      <c r="A15" s="9">
        <v>44313</v>
      </c>
      <c r="B15" s="91" t="s">
        <v>313</v>
      </c>
      <c r="C15" s="91" t="s">
        <v>3906</v>
      </c>
      <c r="D15" s="650" t="s">
        <v>3920</v>
      </c>
      <c r="E15" s="651" t="s">
        <v>3921</v>
      </c>
      <c r="F15" s="651" t="s">
        <v>384</v>
      </c>
      <c r="G15" s="30">
        <v>1</v>
      </c>
      <c r="H15" s="86">
        <v>110000</v>
      </c>
      <c r="I15" s="86">
        <f t="shared" si="0"/>
        <v>110000</v>
      </c>
      <c r="J15" s="86"/>
      <c r="K15" s="86">
        <f t="shared" si="1"/>
        <v>110000</v>
      </c>
      <c r="L15" s="86"/>
      <c r="M15" s="86"/>
      <c r="N15" s="86">
        <f t="shared" si="2"/>
        <v>110000</v>
      </c>
      <c r="O15" s="91" t="s">
        <v>313</v>
      </c>
      <c r="P15" s="666"/>
      <c r="Q15" s="91" t="s">
        <v>40</v>
      </c>
      <c r="R15" s="119"/>
      <c r="S15" s="666"/>
      <c r="T15" s="119"/>
      <c r="U15" s="86"/>
      <c r="V15" s="86"/>
      <c r="W15" s="86"/>
      <c r="X15" s="18"/>
    </row>
    <row r="16" spans="1:24" s="203" customFormat="1">
      <c r="A16" s="9">
        <v>44313</v>
      </c>
      <c r="B16" s="91" t="s">
        <v>23</v>
      </c>
      <c r="C16" s="123" t="s">
        <v>3922</v>
      </c>
      <c r="D16" s="650" t="s">
        <v>3923</v>
      </c>
      <c r="E16" s="644" t="s">
        <v>325</v>
      </c>
      <c r="F16" s="644" t="s">
        <v>326</v>
      </c>
      <c r="G16" s="30">
        <v>1</v>
      </c>
      <c r="H16" s="86">
        <v>129000</v>
      </c>
      <c r="I16" s="86">
        <f t="shared" si="0"/>
        <v>129000</v>
      </c>
      <c r="J16" s="86">
        <f>I16*20%</f>
        <v>25800</v>
      </c>
      <c r="K16" s="86">
        <f t="shared" si="1"/>
        <v>103200</v>
      </c>
      <c r="L16" s="86">
        <v>63000</v>
      </c>
      <c r="M16" s="86"/>
      <c r="N16" s="86">
        <f t="shared" si="2"/>
        <v>166200</v>
      </c>
      <c r="O16" s="91" t="s">
        <v>23</v>
      </c>
      <c r="P16" s="647"/>
      <c r="Q16" s="91" t="s">
        <v>40</v>
      </c>
      <c r="R16" s="119"/>
      <c r="S16" s="653"/>
      <c r="T16" s="119"/>
      <c r="U16" s="86"/>
      <c r="V16" s="86"/>
      <c r="W16" s="86"/>
      <c r="X16" s="18"/>
    </row>
    <row r="17" spans="1:24" s="203" customFormat="1" ht="16.8">
      <c r="A17" s="9">
        <v>44313</v>
      </c>
      <c r="B17" s="91" t="s">
        <v>23</v>
      </c>
      <c r="C17" s="123" t="s">
        <v>3924</v>
      </c>
      <c r="D17" s="650" t="s">
        <v>3925</v>
      </c>
      <c r="E17" s="644" t="s">
        <v>2820</v>
      </c>
      <c r="F17" s="644" t="s">
        <v>2821</v>
      </c>
      <c r="G17" s="645">
        <v>1</v>
      </c>
      <c r="H17" s="86">
        <v>340000</v>
      </c>
      <c r="I17" s="86">
        <f t="shared" si="0"/>
        <v>340000</v>
      </c>
      <c r="J17" s="86"/>
      <c r="K17" s="86">
        <f t="shared" si="1"/>
        <v>340000</v>
      </c>
      <c r="L17" s="86">
        <v>17000</v>
      </c>
      <c r="M17" s="86"/>
      <c r="N17" s="86">
        <f t="shared" si="2"/>
        <v>357000</v>
      </c>
      <c r="O17" s="91" t="s">
        <v>23</v>
      </c>
      <c r="P17" s="664"/>
      <c r="Q17" s="91" t="s">
        <v>40</v>
      </c>
      <c r="R17" s="119"/>
      <c r="S17" s="654"/>
      <c r="T17" s="119"/>
      <c r="U17" s="86"/>
      <c r="V17" s="86"/>
      <c r="W17" s="86"/>
      <c r="X17" s="18"/>
    </row>
    <row r="18" spans="1:24" s="203" customFormat="1">
      <c r="A18" s="9">
        <v>44313</v>
      </c>
      <c r="B18" s="91" t="s">
        <v>23</v>
      </c>
      <c r="C18" s="91" t="s">
        <v>3926</v>
      </c>
      <c r="D18" s="650" t="s">
        <v>3927</v>
      </c>
      <c r="E18" s="644" t="s">
        <v>2820</v>
      </c>
      <c r="F18" s="644" t="s">
        <v>2821</v>
      </c>
      <c r="G18" s="645">
        <v>1</v>
      </c>
      <c r="H18" s="86">
        <v>340000</v>
      </c>
      <c r="I18" s="86">
        <f t="shared" si="0"/>
        <v>340000</v>
      </c>
      <c r="J18" s="86"/>
      <c r="K18" s="86">
        <f t="shared" si="1"/>
        <v>340000</v>
      </c>
      <c r="L18" s="86">
        <v>17000</v>
      </c>
      <c r="M18" s="86"/>
      <c r="N18" s="86">
        <f t="shared" si="2"/>
        <v>357000</v>
      </c>
      <c r="O18" s="91" t="s">
        <v>23</v>
      </c>
      <c r="P18" s="649"/>
      <c r="Q18" s="91" t="s">
        <v>40</v>
      </c>
      <c r="R18" s="119"/>
      <c r="S18" s="642"/>
      <c r="T18" s="119"/>
      <c r="U18" s="86"/>
      <c r="V18" s="86"/>
      <c r="W18" s="86"/>
      <c r="X18" s="18"/>
    </row>
    <row r="19" spans="1:24" s="203" customFormat="1">
      <c r="A19" s="9">
        <v>44313</v>
      </c>
      <c r="B19" s="91" t="s">
        <v>23</v>
      </c>
      <c r="C19" s="91" t="s">
        <v>431</v>
      </c>
      <c r="D19" s="650" t="s">
        <v>31</v>
      </c>
      <c r="E19" s="655" t="s">
        <v>1514</v>
      </c>
      <c r="F19" s="655" t="s">
        <v>1515</v>
      </c>
      <c r="G19" s="30">
        <v>1</v>
      </c>
      <c r="H19" s="86">
        <v>84000</v>
      </c>
      <c r="I19" s="86">
        <f t="shared" si="0"/>
        <v>84000</v>
      </c>
      <c r="J19" s="86">
        <f>I19*25%</f>
        <v>21000</v>
      </c>
      <c r="K19" s="86">
        <f t="shared" si="1"/>
        <v>63000</v>
      </c>
      <c r="L19" s="86"/>
      <c r="M19" s="86"/>
      <c r="N19" s="86">
        <f t="shared" si="2"/>
        <v>63000</v>
      </c>
      <c r="O19" s="91" t="s">
        <v>23</v>
      </c>
      <c r="P19" s="667"/>
      <c r="Q19" s="91" t="s">
        <v>434</v>
      </c>
      <c r="R19" s="119"/>
      <c r="S19" s="171"/>
      <c r="T19" s="119"/>
      <c r="U19" s="86"/>
      <c r="V19" s="86"/>
      <c r="W19" s="86"/>
      <c r="X19" s="18"/>
    </row>
    <row r="20" spans="1:24" s="203" customFormat="1">
      <c r="A20" s="9">
        <v>44313</v>
      </c>
      <c r="B20" s="91" t="s">
        <v>23</v>
      </c>
      <c r="C20" s="91" t="s">
        <v>431</v>
      </c>
      <c r="D20" s="650" t="s">
        <v>31</v>
      </c>
      <c r="E20" s="655" t="s">
        <v>3928</v>
      </c>
      <c r="F20" s="655" t="s">
        <v>3929</v>
      </c>
      <c r="G20" s="30">
        <v>2</v>
      </c>
      <c r="H20" s="86">
        <v>154000</v>
      </c>
      <c r="I20" s="86">
        <f t="shared" si="0"/>
        <v>308000</v>
      </c>
      <c r="J20" s="86">
        <f>I20*25%+40000</f>
        <v>117000</v>
      </c>
      <c r="K20" s="86">
        <f t="shared" si="1"/>
        <v>191000</v>
      </c>
      <c r="L20" s="86"/>
      <c r="M20" s="86"/>
      <c r="N20" s="86">
        <f t="shared" si="2"/>
        <v>191000</v>
      </c>
      <c r="O20" s="91" t="s">
        <v>23</v>
      </c>
      <c r="P20" s="649"/>
      <c r="Q20" s="91" t="s">
        <v>434</v>
      </c>
      <c r="R20" s="119"/>
      <c r="S20" s="642"/>
      <c r="T20" s="119"/>
      <c r="U20" s="86"/>
      <c r="V20" s="86"/>
      <c r="W20" s="86"/>
      <c r="X20" s="18"/>
    </row>
    <row r="21" spans="1:24" s="203" customFormat="1">
      <c r="A21" s="9">
        <v>44313</v>
      </c>
      <c r="B21" s="91" t="s">
        <v>23</v>
      </c>
      <c r="C21" s="91" t="s">
        <v>431</v>
      </c>
      <c r="D21" s="650" t="s">
        <v>31</v>
      </c>
      <c r="E21" s="655" t="s">
        <v>1224</v>
      </c>
      <c r="F21" s="655" t="s">
        <v>1225</v>
      </c>
      <c r="G21" s="30">
        <v>1</v>
      </c>
      <c r="H21" s="86">
        <v>100000</v>
      </c>
      <c r="I21" s="86">
        <f t="shared" si="0"/>
        <v>100000</v>
      </c>
      <c r="J21" s="86">
        <f t="shared" ref="J21" si="3">I21*25%</f>
        <v>25000</v>
      </c>
      <c r="K21" s="86">
        <f t="shared" si="1"/>
        <v>75000</v>
      </c>
      <c r="L21" s="86"/>
      <c r="M21" s="86"/>
      <c r="N21" s="86">
        <f t="shared" si="2"/>
        <v>75000</v>
      </c>
      <c r="O21" s="91" t="s">
        <v>23</v>
      </c>
      <c r="P21" s="667"/>
      <c r="Q21" s="91" t="s">
        <v>434</v>
      </c>
      <c r="R21" s="119"/>
      <c r="S21" s="171"/>
      <c r="T21" s="119"/>
      <c r="U21" s="86"/>
      <c r="V21" s="86"/>
      <c r="W21" s="86"/>
      <c r="X21" s="18"/>
    </row>
    <row r="22" spans="1:24" s="203" customFormat="1">
      <c r="A22" s="9">
        <v>44313</v>
      </c>
      <c r="B22" s="91" t="s">
        <v>23</v>
      </c>
      <c r="C22" s="123" t="s">
        <v>3930</v>
      </c>
      <c r="D22" s="650" t="s">
        <v>3931</v>
      </c>
      <c r="E22" s="644" t="s">
        <v>3932</v>
      </c>
      <c r="F22" s="644" t="s">
        <v>3933</v>
      </c>
      <c r="G22" s="656">
        <v>1</v>
      </c>
      <c r="H22" s="86">
        <v>105000</v>
      </c>
      <c r="I22" s="86">
        <f t="shared" si="0"/>
        <v>105000</v>
      </c>
      <c r="J22" s="86"/>
      <c r="K22" s="86">
        <f t="shared" si="1"/>
        <v>105000</v>
      </c>
      <c r="L22" s="86">
        <v>17000</v>
      </c>
      <c r="M22" s="86"/>
      <c r="N22" s="86">
        <f t="shared" si="2"/>
        <v>122000</v>
      </c>
      <c r="O22" s="91" t="s">
        <v>23</v>
      </c>
      <c r="P22" s="649"/>
      <c r="Q22" s="91" t="s">
        <v>40</v>
      </c>
      <c r="R22" s="119"/>
      <c r="S22" s="642"/>
      <c r="T22" s="119"/>
      <c r="U22" s="86"/>
      <c r="V22" s="86"/>
      <c r="W22" s="86"/>
      <c r="X22" s="18"/>
    </row>
    <row r="23" spans="1:24" s="203" customFormat="1">
      <c r="A23" s="9">
        <v>44313</v>
      </c>
      <c r="B23" s="91" t="s">
        <v>23</v>
      </c>
      <c r="C23" s="123" t="s">
        <v>3934</v>
      </c>
      <c r="D23" s="650" t="s">
        <v>3935</v>
      </c>
      <c r="E23" s="644" t="s">
        <v>3932</v>
      </c>
      <c r="F23" s="644" t="s">
        <v>3933</v>
      </c>
      <c r="G23" s="656">
        <v>1</v>
      </c>
      <c r="H23" s="86">
        <v>105000</v>
      </c>
      <c r="I23" s="86">
        <f t="shared" si="0"/>
        <v>105000</v>
      </c>
      <c r="J23" s="86"/>
      <c r="K23" s="86">
        <f t="shared" si="1"/>
        <v>105000</v>
      </c>
      <c r="L23" s="86">
        <v>23000</v>
      </c>
      <c r="M23" s="86"/>
      <c r="N23" s="86">
        <f t="shared" si="2"/>
        <v>128000</v>
      </c>
      <c r="O23" s="91" t="s">
        <v>23</v>
      </c>
      <c r="P23" s="657"/>
      <c r="Q23" s="91" t="s">
        <v>54</v>
      </c>
      <c r="R23" s="119"/>
      <c r="S23" s="668"/>
      <c r="T23" s="119"/>
      <c r="U23" s="86"/>
      <c r="V23" s="86"/>
      <c r="W23" s="86"/>
      <c r="X23" s="18"/>
    </row>
    <row r="24" spans="1:24" s="203" customFormat="1">
      <c r="A24" s="9">
        <v>44313</v>
      </c>
      <c r="B24" s="91" t="s">
        <v>23</v>
      </c>
      <c r="C24" s="91" t="s">
        <v>3936</v>
      </c>
      <c r="D24" s="650" t="s">
        <v>3937</v>
      </c>
      <c r="E24" s="644" t="s">
        <v>3932</v>
      </c>
      <c r="F24" s="644" t="s">
        <v>3933</v>
      </c>
      <c r="G24" s="656">
        <v>1</v>
      </c>
      <c r="H24" s="86">
        <v>105000</v>
      </c>
      <c r="I24" s="86">
        <f t="shared" si="0"/>
        <v>105000</v>
      </c>
      <c r="J24" s="86"/>
      <c r="K24" s="86">
        <f t="shared" si="1"/>
        <v>105000</v>
      </c>
      <c r="L24" s="86">
        <v>45000</v>
      </c>
      <c r="M24" s="86"/>
      <c r="N24" s="86">
        <f t="shared" si="2"/>
        <v>150000</v>
      </c>
      <c r="O24" s="91" t="s">
        <v>23</v>
      </c>
      <c r="P24" s="657"/>
      <c r="Q24" s="91" t="s">
        <v>40</v>
      </c>
      <c r="R24" s="119"/>
      <c r="S24" s="668"/>
      <c r="T24" s="119"/>
      <c r="U24" s="86"/>
      <c r="V24" s="86"/>
      <c r="W24" s="86"/>
      <c r="X24" s="18"/>
    </row>
    <row r="25" spans="1:24" s="203" customFormat="1" ht="16.8">
      <c r="A25" s="9">
        <v>44313</v>
      </c>
      <c r="B25" s="91" t="s">
        <v>23</v>
      </c>
      <c r="C25" s="123" t="s">
        <v>2511</v>
      </c>
      <c r="D25" s="650" t="s">
        <v>2512</v>
      </c>
      <c r="E25" s="644" t="s">
        <v>3938</v>
      </c>
      <c r="F25" s="644" t="s">
        <v>3939</v>
      </c>
      <c r="G25" s="30">
        <v>1</v>
      </c>
      <c r="H25" s="86">
        <v>60000</v>
      </c>
      <c r="I25" s="86">
        <f t="shared" si="0"/>
        <v>60000</v>
      </c>
      <c r="J25" s="86">
        <f>I25*50%</f>
        <v>30000</v>
      </c>
      <c r="K25" s="86">
        <f t="shared" si="1"/>
        <v>30000</v>
      </c>
      <c r="L25" s="86">
        <v>17000</v>
      </c>
      <c r="M25" s="86"/>
      <c r="N25" s="86">
        <f t="shared" si="2"/>
        <v>47000</v>
      </c>
      <c r="O25" s="91" t="s">
        <v>23</v>
      </c>
      <c r="P25" s="664"/>
      <c r="Q25" s="91" t="s">
        <v>54</v>
      </c>
      <c r="R25" s="119"/>
      <c r="S25" s="669"/>
      <c r="T25" s="119"/>
      <c r="U25" s="86"/>
      <c r="V25" s="86"/>
      <c r="W25" s="86"/>
      <c r="X25" s="18"/>
    </row>
    <row r="26" spans="1:24" s="203" customFormat="1">
      <c r="A26" s="9">
        <v>44313</v>
      </c>
      <c r="B26" s="91" t="s">
        <v>23</v>
      </c>
      <c r="C26" s="123" t="s">
        <v>2511</v>
      </c>
      <c r="D26" s="650" t="s">
        <v>2512</v>
      </c>
      <c r="E26" s="644" t="s">
        <v>3940</v>
      </c>
      <c r="F26" s="644" t="s">
        <v>1526</v>
      </c>
      <c r="G26" s="30">
        <v>1</v>
      </c>
      <c r="H26" s="86">
        <v>52000</v>
      </c>
      <c r="I26" s="86">
        <f t="shared" si="0"/>
        <v>52000</v>
      </c>
      <c r="J26" s="86">
        <f>I26*50%</f>
        <v>26000</v>
      </c>
      <c r="K26" s="86">
        <f t="shared" si="1"/>
        <v>26000</v>
      </c>
      <c r="L26" s="86"/>
      <c r="M26" s="86"/>
      <c r="N26" s="86">
        <f t="shared" si="2"/>
        <v>26000</v>
      </c>
      <c r="O26" s="91" t="s">
        <v>23</v>
      </c>
      <c r="P26" s="649"/>
      <c r="Q26" s="91" t="s">
        <v>54</v>
      </c>
      <c r="R26" s="119"/>
      <c r="S26" s="642"/>
      <c r="T26" s="119"/>
      <c r="U26" s="86"/>
      <c r="V26" s="86"/>
      <c r="W26" s="86"/>
      <c r="X26" s="18"/>
    </row>
    <row r="27" spans="1:24" s="203" customFormat="1">
      <c r="A27" s="9">
        <v>44313</v>
      </c>
      <c r="B27" s="91" t="s">
        <v>23</v>
      </c>
      <c r="C27" s="123" t="s">
        <v>3941</v>
      </c>
      <c r="D27" s="650" t="s">
        <v>3942</v>
      </c>
      <c r="E27" s="644" t="s">
        <v>3943</v>
      </c>
      <c r="F27" s="644" t="s">
        <v>3944</v>
      </c>
      <c r="G27" s="30">
        <v>1</v>
      </c>
      <c r="H27" s="86">
        <v>99000</v>
      </c>
      <c r="I27" s="86">
        <f t="shared" si="0"/>
        <v>99000</v>
      </c>
      <c r="J27" s="86"/>
      <c r="K27" s="86">
        <f t="shared" si="1"/>
        <v>99000</v>
      </c>
      <c r="L27" s="86">
        <v>16000</v>
      </c>
      <c r="M27" s="86"/>
      <c r="N27" s="86">
        <f t="shared" si="2"/>
        <v>115000</v>
      </c>
      <c r="O27" s="91" t="s">
        <v>23</v>
      </c>
      <c r="P27" s="649"/>
      <c r="Q27" s="91" t="s">
        <v>54</v>
      </c>
      <c r="R27" s="119"/>
      <c r="S27" s="642"/>
      <c r="T27" s="119"/>
      <c r="U27" s="86"/>
      <c r="V27" s="86"/>
      <c r="W27" s="86"/>
      <c r="X27" s="18"/>
    </row>
    <row r="28" spans="1:24" s="203" customFormat="1">
      <c r="A28" s="9">
        <v>44313</v>
      </c>
      <c r="B28" s="91" t="s">
        <v>313</v>
      </c>
      <c r="C28" s="91" t="s">
        <v>3945</v>
      </c>
      <c r="D28" s="650" t="s">
        <v>3946</v>
      </c>
      <c r="E28" s="646" t="s">
        <v>3881</v>
      </c>
      <c r="F28" s="646" t="s">
        <v>3882</v>
      </c>
      <c r="G28" s="30">
        <v>1</v>
      </c>
      <c r="H28" s="86">
        <v>59000</v>
      </c>
      <c r="I28" s="86">
        <f t="shared" si="0"/>
        <v>59000</v>
      </c>
      <c r="J28" s="119"/>
      <c r="K28" s="86">
        <f t="shared" si="1"/>
        <v>59000</v>
      </c>
      <c r="L28" s="86">
        <v>72077</v>
      </c>
      <c r="M28" s="86"/>
      <c r="N28" s="86">
        <f t="shared" si="2"/>
        <v>131077</v>
      </c>
      <c r="O28" s="91" t="s">
        <v>313</v>
      </c>
      <c r="P28" s="86"/>
      <c r="Q28" s="91" t="s">
        <v>40</v>
      </c>
      <c r="R28" s="119"/>
      <c r="S28" s="86"/>
      <c r="T28" s="119"/>
      <c r="U28" s="86"/>
      <c r="V28" s="86"/>
      <c r="W28" s="86"/>
      <c r="X28" s="18"/>
    </row>
    <row r="29" spans="1:24" s="203" customFormat="1">
      <c r="A29" s="9">
        <v>44313</v>
      </c>
      <c r="B29" s="91" t="s">
        <v>313</v>
      </c>
      <c r="C29" s="91" t="s">
        <v>3945</v>
      </c>
      <c r="D29" s="650" t="s">
        <v>3947</v>
      </c>
      <c r="E29" s="646" t="s">
        <v>3948</v>
      </c>
      <c r="F29" s="646" t="s">
        <v>3949</v>
      </c>
      <c r="G29" s="30">
        <v>1</v>
      </c>
      <c r="H29" s="86">
        <v>257000</v>
      </c>
      <c r="I29" s="86">
        <f t="shared" si="0"/>
        <v>257000</v>
      </c>
      <c r="J29" s="119"/>
      <c r="K29" s="86">
        <f t="shared" si="1"/>
        <v>257000</v>
      </c>
      <c r="L29" s="119"/>
      <c r="M29" s="86"/>
      <c r="N29" s="86">
        <f t="shared" si="2"/>
        <v>257000</v>
      </c>
      <c r="O29" s="91" t="s">
        <v>313</v>
      </c>
      <c r="P29" s="649"/>
      <c r="Q29" s="91" t="s">
        <v>40</v>
      </c>
      <c r="R29" s="119"/>
      <c r="S29" s="642"/>
      <c r="T29" s="119"/>
      <c r="U29" s="86"/>
      <c r="V29" s="86"/>
      <c r="W29" s="86"/>
      <c r="X29" s="18"/>
    </row>
    <row r="30" spans="1:24" s="203" customFormat="1">
      <c r="A30" s="9">
        <v>44313</v>
      </c>
      <c r="B30" s="91" t="s">
        <v>313</v>
      </c>
      <c r="C30" s="91" t="s">
        <v>3945</v>
      </c>
      <c r="D30" s="650" t="s">
        <v>3950</v>
      </c>
      <c r="E30" s="646" t="s">
        <v>3951</v>
      </c>
      <c r="F30" s="646" t="s">
        <v>3952</v>
      </c>
      <c r="G30" s="30">
        <v>1</v>
      </c>
      <c r="H30" s="86">
        <v>144000</v>
      </c>
      <c r="I30" s="86">
        <f t="shared" si="0"/>
        <v>144000</v>
      </c>
      <c r="J30" s="119"/>
      <c r="K30" s="86">
        <f t="shared" si="1"/>
        <v>144000</v>
      </c>
      <c r="L30" s="119"/>
      <c r="M30" s="86"/>
      <c r="N30" s="86">
        <f t="shared" si="2"/>
        <v>144000</v>
      </c>
      <c r="O30" s="91" t="s">
        <v>313</v>
      </c>
      <c r="P30" s="670"/>
      <c r="Q30" s="91" t="s">
        <v>40</v>
      </c>
      <c r="R30" s="119"/>
      <c r="S30" s="670"/>
      <c r="T30" s="119"/>
      <c r="U30" s="86"/>
      <c r="V30" s="86"/>
      <c r="W30" s="86"/>
      <c r="X30" s="18"/>
    </row>
    <row r="31" spans="1:24" s="203" customFormat="1">
      <c r="A31" s="9">
        <v>44313</v>
      </c>
      <c r="B31" s="91" t="s">
        <v>313</v>
      </c>
      <c r="C31" s="91" t="s">
        <v>3945</v>
      </c>
      <c r="D31" s="650" t="s">
        <v>3953</v>
      </c>
      <c r="E31" s="646" t="s">
        <v>3954</v>
      </c>
      <c r="F31" s="646" t="s">
        <v>3955</v>
      </c>
      <c r="G31" s="30">
        <v>1</v>
      </c>
      <c r="H31" s="86">
        <v>102000</v>
      </c>
      <c r="I31" s="86">
        <f t="shared" si="0"/>
        <v>102000</v>
      </c>
      <c r="J31" s="119"/>
      <c r="K31" s="86">
        <f t="shared" si="1"/>
        <v>102000</v>
      </c>
      <c r="L31" s="86"/>
      <c r="M31" s="86"/>
      <c r="N31" s="86">
        <f t="shared" si="2"/>
        <v>102000</v>
      </c>
      <c r="O31" s="91" t="s">
        <v>313</v>
      </c>
      <c r="P31" s="86"/>
      <c r="Q31" s="91" t="s">
        <v>40</v>
      </c>
      <c r="R31" s="119"/>
      <c r="S31" s="86"/>
      <c r="T31" s="119"/>
      <c r="U31" s="86"/>
      <c r="V31" s="86"/>
      <c r="W31" s="86"/>
      <c r="X31" s="18"/>
    </row>
    <row r="32" spans="1:24" s="203" customFormat="1">
      <c r="A32" s="9">
        <v>44313</v>
      </c>
      <c r="B32" s="10" t="s">
        <v>23</v>
      </c>
      <c r="C32" s="11" t="s">
        <v>3956</v>
      </c>
      <c r="D32" s="650" t="s">
        <v>3957</v>
      </c>
      <c r="E32" s="644" t="s">
        <v>2820</v>
      </c>
      <c r="F32" s="644" t="s">
        <v>2821</v>
      </c>
      <c r="G32" s="30">
        <v>1</v>
      </c>
      <c r="H32" s="86">
        <v>340000</v>
      </c>
      <c r="I32" s="86">
        <f t="shared" si="0"/>
        <v>340000</v>
      </c>
      <c r="J32" s="119"/>
      <c r="K32" s="86">
        <f t="shared" si="1"/>
        <v>340000</v>
      </c>
      <c r="L32" s="86">
        <v>16000</v>
      </c>
      <c r="M32" s="86"/>
      <c r="N32" s="86">
        <f t="shared" si="2"/>
        <v>356000</v>
      </c>
      <c r="O32" s="10" t="s">
        <v>23</v>
      </c>
      <c r="P32" s="649"/>
      <c r="Q32" s="10" t="s">
        <v>54</v>
      </c>
      <c r="R32" s="119"/>
      <c r="S32" s="642"/>
      <c r="T32" s="119"/>
      <c r="U32" s="86"/>
      <c r="V32" s="86"/>
      <c r="W32" s="86"/>
      <c r="X32" s="18"/>
    </row>
    <row r="33" spans="1:24" s="203" customFormat="1">
      <c r="A33" s="9">
        <v>44314</v>
      </c>
      <c r="B33" s="91" t="s">
        <v>23</v>
      </c>
      <c r="C33" s="123" t="s">
        <v>3958</v>
      </c>
      <c r="D33" s="650" t="s">
        <v>3959</v>
      </c>
      <c r="E33" s="644" t="s">
        <v>3960</v>
      </c>
      <c r="F33" s="644" t="s">
        <v>1649</v>
      </c>
      <c r="G33" s="30">
        <v>1</v>
      </c>
      <c r="H33" s="86">
        <v>105000</v>
      </c>
      <c r="I33" s="86">
        <f t="shared" si="0"/>
        <v>105000</v>
      </c>
      <c r="J33" s="119">
        <f>I33*20%</f>
        <v>21000</v>
      </c>
      <c r="K33" s="86">
        <f t="shared" si="1"/>
        <v>84000</v>
      </c>
      <c r="L33" s="86">
        <v>16000</v>
      </c>
      <c r="M33" s="86"/>
      <c r="N33" s="86">
        <f t="shared" si="2"/>
        <v>100000</v>
      </c>
      <c r="O33" s="91" t="s">
        <v>23</v>
      </c>
      <c r="P33" s="649"/>
      <c r="Q33" s="91" t="s">
        <v>40</v>
      </c>
      <c r="R33" s="119"/>
      <c r="S33" s="642"/>
      <c r="T33" s="119"/>
      <c r="U33" s="86"/>
      <c r="V33" s="86"/>
      <c r="W33" s="86"/>
      <c r="X33" s="18"/>
    </row>
    <row r="34" spans="1:24" s="203" customFormat="1">
      <c r="A34" s="9">
        <v>44314</v>
      </c>
      <c r="B34" s="91" t="s">
        <v>43</v>
      </c>
      <c r="C34" s="123" t="s">
        <v>3961</v>
      </c>
      <c r="D34" s="650" t="s">
        <v>3962</v>
      </c>
      <c r="E34" s="644" t="s">
        <v>2169</v>
      </c>
      <c r="F34" s="644" t="s">
        <v>128</v>
      </c>
      <c r="G34" s="30">
        <v>1</v>
      </c>
      <c r="H34" s="86">
        <v>77500</v>
      </c>
      <c r="I34" s="86">
        <f t="shared" si="0"/>
        <v>77500</v>
      </c>
      <c r="J34" s="119"/>
      <c r="K34" s="86">
        <f t="shared" si="1"/>
        <v>77500</v>
      </c>
      <c r="L34" s="86"/>
      <c r="M34" s="86">
        <v>-4340</v>
      </c>
      <c r="N34" s="86">
        <f t="shared" si="2"/>
        <v>73160</v>
      </c>
      <c r="O34" s="91" t="s">
        <v>43</v>
      </c>
      <c r="P34" s="671"/>
      <c r="Q34" s="91" t="s">
        <v>54</v>
      </c>
      <c r="R34" s="119"/>
      <c r="S34" s="642"/>
      <c r="T34" s="119"/>
      <c r="U34" s="86"/>
      <c r="V34" s="86"/>
      <c r="W34" s="86"/>
    </row>
    <row r="35" spans="1:24" s="203" customFormat="1">
      <c r="A35" s="9">
        <v>44314</v>
      </c>
      <c r="B35" s="91" t="s">
        <v>43</v>
      </c>
      <c r="C35" s="123" t="s">
        <v>3963</v>
      </c>
      <c r="D35" s="650" t="s">
        <v>3964</v>
      </c>
      <c r="E35" s="644" t="s">
        <v>247</v>
      </c>
      <c r="F35" s="644" t="s">
        <v>248</v>
      </c>
      <c r="G35" s="30">
        <v>1</v>
      </c>
      <c r="H35" s="86">
        <v>68000</v>
      </c>
      <c r="I35" s="86">
        <f t="shared" si="0"/>
        <v>68000</v>
      </c>
      <c r="J35" s="119"/>
      <c r="K35" s="86">
        <f t="shared" si="1"/>
        <v>68000</v>
      </c>
      <c r="L35" s="86"/>
      <c r="M35" s="86">
        <v>-3808</v>
      </c>
      <c r="N35" s="86">
        <f t="shared" si="2"/>
        <v>64192</v>
      </c>
      <c r="O35" s="91" t="s">
        <v>43</v>
      </c>
      <c r="P35" s="671"/>
      <c r="Q35" s="91" t="s">
        <v>54</v>
      </c>
      <c r="R35" s="119"/>
      <c r="S35" s="642"/>
      <c r="T35" s="119"/>
      <c r="U35" s="86"/>
      <c r="V35" s="86"/>
      <c r="W35" s="86"/>
    </row>
    <row r="36" spans="1:24" s="203" customFormat="1">
      <c r="A36" s="9">
        <v>44314</v>
      </c>
      <c r="B36" s="91" t="s">
        <v>313</v>
      </c>
      <c r="C36" s="138" t="s">
        <v>3965</v>
      </c>
      <c r="D36" s="650" t="s">
        <v>3966</v>
      </c>
      <c r="E36" s="658" t="s">
        <v>3637</v>
      </c>
      <c r="F36" s="658" t="s">
        <v>3638</v>
      </c>
      <c r="G36" s="30">
        <v>1</v>
      </c>
      <c r="H36" s="86">
        <v>64000</v>
      </c>
      <c r="I36" s="86">
        <f t="shared" si="0"/>
        <v>64000</v>
      </c>
      <c r="J36" s="119"/>
      <c r="K36" s="86">
        <f t="shared" si="1"/>
        <v>64000</v>
      </c>
      <c r="L36" s="86">
        <v>37025</v>
      </c>
      <c r="M36" s="86"/>
      <c r="N36" s="86">
        <f t="shared" si="2"/>
        <v>101025</v>
      </c>
      <c r="O36" s="91" t="s">
        <v>313</v>
      </c>
      <c r="P36" s="671"/>
      <c r="Q36" s="91" t="s">
        <v>54</v>
      </c>
      <c r="R36" s="119"/>
      <c r="S36" s="642"/>
      <c r="T36" s="119"/>
      <c r="U36" s="86"/>
      <c r="V36" s="86"/>
      <c r="W36" s="86"/>
    </row>
    <row r="37" spans="1:24" s="203" customFormat="1" ht="16.8">
      <c r="A37" s="9">
        <v>44314</v>
      </c>
      <c r="B37" s="91" t="s">
        <v>313</v>
      </c>
      <c r="C37" s="138" t="s">
        <v>3965</v>
      </c>
      <c r="D37" s="650" t="s">
        <v>3967</v>
      </c>
      <c r="E37" s="658" t="s">
        <v>3639</v>
      </c>
      <c r="F37" s="658" t="s">
        <v>3640</v>
      </c>
      <c r="G37" s="30">
        <v>1</v>
      </c>
      <c r="H37" s="86">
        <v>80000</v>
      </c>
      <c r="I37" s="86">
        <f t="shared" si="0"/>
        <v>80000</v>
      </c>
      <c r="J37" s="119"/>
      <c r="K37" s="86">
        <f t="shared" si="1"/>
        <v>80000</v>
      </c>
      <c r="L37" s="86"/>
      <c r="M37" s="86"/>
      <c r="N37" s="86">
        <f t="shared" si="2"/>
        <v>80000</v>
      </c>
      <c r="O37" s="91" t="s">
        <v>313</v>
      </c>
      <c r="P37" s="664"/>
      <c r="Q37" s="91" t="s">
        <v>54</v>
      </c>
      <c r="R37" s="119"/>
      <c r="S37" s="642"/>
      <c r="T37" s="119"/>
      <c r="U37" s="86"/>
      <c r="V37" s="86"/>
      <c r="W37" s="86"/>
    </row>
    <row r="38" spans="1:24" s="203" customFormat="1">
      <c r="A38" s="9">
        <v>44315</v>
      </c>
      <c r="B38" s="10" t="s">
        <v>206</v>
      </c>
      <c r="C38" s="146" t="s">
        <v>3968</v>
      </c>
      <c r="D38" s="650" t="s">
        <v>3969</v>
      </c>
      <c r="E38" s="644" t="s">
        <v>3781</v>
      </c>
      <c r="F38" s="644" t="s">
        <v>3782</v>
      </c>
      <c r="G38" s="30">
        <v>1</v>
      </c>
      <c r="H38" s="86">
        <v>211000</v>
      </c>
      <c r="I38" s="86">
        <f t="shared" si="0"/>
        <v>211000</v>
      </c>
      <c r="J38" s="119"/>
      <c r="K38" s="86">
        <f t="shared" si="1"/>
        <v>211000</v>
      </c>
      <c r="L38" s="86">
        <f>7000+1300</f>
        <v>8300</v>
      </c>
      <c r="M38" s="86"/>
      <c r="N38" s="86">
        <f t="shared" si="2"/>
        <v>219300</v>
      </c>
      <c r="O38" s="10" t="s">
        <v>206</v>
      </c>
      <c r="P38" s="649"/>
      <c r="Q38" s="10" t="s">
        <v>28</v>
      </c>
      <c r="R38" s="119"/>
      <c r="S38" s="642"/>
      <c r="T38" s="119"/>
      <c r="U38" s="86"/>
      <c r="V38" s="86"/>
      <c r="W38" s="86"/>
    </row>
    <row r="39" spans="1:24" s="203" customFormat="1">
      <c r="A39" s="9">
        <v>44315</v>
      </c>
      <c r="B39" s="10" t="s">
        <v>206</v>
      </c>
      <c r="C39" s="146" t="s">
        <v>3968</v>
      </c>
      <c r="D39" s="650" t="s">
        <v>3969</v>
      </c>
      <c r="E39" s="644" t="s">
        <v>789</v>
      </c>
      <c r="F39" s="644" t="s">
        <v>790</v>
      </c>
      <c r="G39" s="30">
        <v>1</v>
      </c>
      <c r="H39" s="86">
        <v>93500</v>
      </c>
      <c r="I39" s="86">
        <f t="shared" si="0"/>
        <v>93500</v>
      </c>
      <c r="J39" s="119"/>
      <c r="K39" s="86">
        <f t="shared" si="1"/>
        <v>93500</v>
      </c>
      <c r="L39" s="86"/>
      <c r="M39" s="86"/>
      <c r="N39" s="86">
        <f t="shared" si="2"/>
        <v>93500</v>
      </c>
      <c r="O39" s="10" t="s">
        <v>206</v>
      </c>
      <c r="P39" s="649"/>
      <c r="Q39" s="10" t="s">
        <v>28</v>
      </c>
      <c r="R39" s="119"/>
      <c r="S39" s="668"/>
      <c r="T39" s="119"/>
      <c r="U39" s="86"/>
      <c r="V39" s="86"/>
      <c r="W39" s="86"/>
    </row>
    <row r="40" spans="1:24" s="203" customFormat="1">
      <c r="A40" s="9">
        <v>44315</v>
      </c>
      <c r="B40" s="10" t="s">
        <v>43</v>
      </c>
      <c r="C40" s="146" t="s">
        <v>3970</v>
      </c>
      <c r="D40" s="650" t="s">
        <v>3971</v>
      </c>
      <c r="E40" s="644" t="s">
        <v>3972</v>
      </c>
      <c r="F40" s="644" t="s">
        <v>909</v>
      </c>
      <c r="G40" s="30">
        <v>1</v>
      </c>
      <c r="H40" s="86">
        <v>94000</v>
      </c>
      <c r="I40" s="86">
        <f t="shared" si="0"/>
        <v>94000</v>
      </c>
      <c r="J40" s="119"/>
      <c r="K40" s="86">
        <f t="shared" si="1"/>
        <v>94000</v>
      </c>
      <c r="L40" s="86"/>
      <c r="M40" s="86">
        <v>-5264</v>
      </c>
      <c r="N40" s="86">
        <f t="shared" si="2"/>
        <v>88736</v>
      </c>
      <c r="O40" s="10" t="s">
        <v>43</v>
      </c>
      <c r="P40" s="585"/>
      <c r="Q40" s="10" t="s">
        <v>176</v>
      </c>
      <c r="R40" s="119"/>
      <c r="S40" s="672"/>
      <c r="T40" s="119"/>
      <c r="U40" s="86"/>
      <c r="V40" s="86"/>
      <c r="W40" s="86"/>
    </row>
    <row r="41" spans="1:24" s="203" customFormat="1">
      <c r="A41" s="9">
        <v>44315</v>
      </c>
      <c r="B41" s="10" t="s">
        <v>43</v>
      </c>
      <c r="C41" s="10" t="s">
        <v>3973</v>
      </c>
      <c r="D41" s="650" t="s">
        <v>3974</v>
      </c>
      <c r="E41" s="644" t="s">
        <v>3975</v>
      </c>
      <c r="F41" s="644" t="s">
        <v>2530</v>
      </c>
      <c r="G41" s="30">
        <v>1</v>
      </c>
      <c r="H41" s="86">
        <v>63000</v>
      </c>
      <c r="I41" s="86">
        <f t="shared" si="0"/>
        <v>63000</v>
      </c>
      <c r="J41" s="119"/>
      <c r="K41" s="86">
        <f t="shared" si="1"/>
        <v>63000</v>
      </c>
      <c r="L41" s="86"/>
      <c r="M41" s="86">
        <v>-3528</v>
      </c>
      <c r="N41" s="86">
        <f t="shared" si="2"/>
        <v>59472</v>
      </c>
      <c r="O41" s="10" t="s">
        <v>43</v>
      </c>
      <c r="P41" s="659"/>
      <c r="Q41" s="10" t="s">
        <v>54</v>
      </c>
      <c r="R41" s="119"/>
      <c r="S41" s="642"/>
      <c r="T41" s="119"/>
      <c r="U41" s="86"/>
      <c r="V41" s="86"/>
      <c r="W41" s="86"/>
    </row>
    <row r="42" spans="1:24" s="203" customFormat="1">
      <c r="A42" s="9">
        <v>44315</v>
      </c>
      <c r="B42" s="10" t="s">
        <v>170</v>
      </c>
      <c r="C42" s="10" t="s">
        <v>3976</v>
      </c>
      <c r="D42" s="650" t="s">
        <v>3977</v>
      </c>
      <c r="E42" s="644" t="s">
        <v>899</v>
      </c>
      <c r="F42" s="644" t="s">
        <v>900</v>
      </c>
      <c r="G42" s="660">
        <v>3</v>
      </c>
      <c r="H42" s="86">
        <v>78000</v>
      </c>
      <c r="I42" s="86">
        <f t="shared" si="0"/>
        <v>234000</v>
      </c>
      <c r="J42" s="119"/>
      <c r="K42" s="86">
        <f t="shared" si="1"/>
        <v>234000</v>
      </c>
      <c r="L42" s="86"/>
      <c r="M42" s="119">
        <f>40000-40000</f>
        <v>0</v>
      </c>
      <c r="N42" s="86">
        <f t="shared" si="2"/>
        <v>234000</v>
      </c>
      <c r="O42" s="10" t="s">
        <v>170</v>
      </c>
      <c r="P42" s="659"/>
      <c r="Q42" s="10" t="s">
        <v>28</v>
      </c>
      <c r="R42" s="119"/>
      <c r="S42" s="86"/>
      <c r="T42" s="119"/>
      <c r="U42" s="86"/>
      <c r="V42" s="86"/>
      <c r="W42" s="86"/>
    </row>
    <row r="43" spans="1:24" s="203" customFormat="1">
      <c r="A43" s="9">
        <v>44316</v>
      </c>
      <c r="B43" s="91" t="s">
        <v>23</v>
      </c>
      <c r="C43" s="123" t="s">
        <v>3978</v>
      </c>
      <c r="D43" s="650" t="s">
        <v>3979</v>
      </c>
      <c r="E43" s="651" t="s">
        <v>2667</v>
      </c>
      <c r="F43" s="651" t="s">
        <v>2668</v>
      </c>
      <c r="G43" s="30">
        <v>1</v>
      </c>
      <c r="H43" s="86">
        <v>127000</v>
      </c>
      <c r="I43" s="86">
        <f t="shared" si="0"/>
        <v>127000</v>
      </c>
      <c r="J43" s="119"/>
      <c r="K43" s="86">
        <f t="shared" si="1"/>
        <v>127000</v>
      </c>
      <c r="L43" s="86">
        <v>23000</v>
      </c>
      <c r="M43" s="119"/>
      <c r="N43" s="86">
        <f t="shared" si="2"/>
        <v>150000</v>
      </c>
      <c r="O43" s="91" t="s">
        <v>23</v>
      </c>
      <c r="P43" s="659"/>
      <c r="Q43" s="91" t="s">
        <v>54</v>
      </c>
      <c r="R43" s="119"/>
      <c r="S43" s="86"/>
      <c r="T43" s="119"/>
      <c r="U43" s="86"/>
      <c r="V43" s="86"/>
      <c r="W43" s="86"/>
    </row>
    <row r="44" spans="1:24" s="203" customFormat="1">
      <c r="A44" s="9">
        <v>44316</v>
      </c>
      <c r="B44" s="91" t="s">
        <v>23</v>
      </c>
      <c r="C44" s="123" t="s">
        <v>3978</v>
      </c>
      <c r="D44" s="650" t="s">
        <v>3979</v>
      </c>
      <c r="E44" s="651" t="s">
        <v>3980</v>
      </c>
      <c r="F44" s="651" t="s">
        <v>1898</v>
      </c>
      <c r="G44" s="30">
        <v>1</v>
      </c>
      <c r="H44" s="86">
        <v>132000</v>
      </c>
      <c r="I44" s="86">
        <f t="shared" si="0"/>
        <v>132000</v>
      </c>
      <c r="J44" s="119"/>
      <c r="K44" s="86">
        <f t="shared" si="1"/>
        <v>132000</v>
      </c>
      <c r="L44" s="86"/>
      <c r="M44" s="119"/>
      <c r="N44" s="86">
        <f t="shared" si="2"/>
        <v>132000</v>
      </c>
      <c r="O44" s="91" t="s">
        <v>23</v>
      </c>
      <c r="P44" s="659"/>
      <c r="Q44" s="91" t="s">
        <v>54</v>
      </c>
      <c r="R44" s="119"/>
      <c r="S44" s="672"/>
      <c r="T44" s="119"/>
      <c r="U44" s="86"/>
      <c r="V44" s="86"/>
      <c r="W44" s="86"/>
    </row>
    <row r="45" spans="1:24" s="203" customFormat="1">
      <c r="A45" s="9">
        <v>44316</v>
      </c>
      <c r="B45" s="91" t="s">
        <v>23</v>
      </c>
      <c r="C45" s="91" t="s">
        <v>3981</v>
      </c>
      <c r="D45" s="650" t="s">
        <v>3982</v>
      </c>
      <c r="E45" s="646" t="s">
        <v>3177</v>
      </c>
      <c r="F45" s="646" t="s">
        <v>3178</v>
      </c>
      <c r="G45" s="30">
        <v>1</v>
      </c>
      <c r="H45" s="86">
        <v>64500</v>
      </c>
      <c r="I45" s="86">
        <f t="shared" si="0"/>
        <v>64500</v>
      </c>
      <c r="J45" s="119"/>
      <c r="K45" s="86">
        <f t="shared" si="1"/>
        <v>64500</v>
      </c>
      <c r="L45" s="86">
        <v>80000</v>
      </c>
      <c r="M45" s="119"/>
      <c r="N45" s="86">
        <f t="shared" si="2"/>
        <v>144500</v>
      </c>
      <c r="O45" s="91" t="s">
        <v>23</v>
      </c>
      <c r="P45" s="649"/>
      <c r="Q45" s="91" t="s">
        <v>40</v>
      </c>
      <c r="R45" s="119"/>
      <c r="S45" s="642"/>
      <c r="T45" s="119"/>
      <c r="U45" s="86"/>
      <c r="V45" s="86"/>
      <c r="W45" s="86"/>
    </row>
    <row r="46" spans="1:24" s="203" customFormat="1">
      <c r="A46" s="9">
        <v>44316</v>
      </c>
      <c r="B46" s="91" t="s">
        <v>23</v>
      </c>
      <c r="C46" s="91" t="s">
        <v>3981</v>
      </c>
      <c r="D46" s="650" t="s">
        <v>3983</v>
      </c>
      <c r="E46" s="646" t="s">
        <v>3984</v>
      </c>
      <c r="F46" s="646" t="s">
        <v>2107</v>
      </c>
      <c r="G46" s="30">
        <v>1</v>
      </c>
      <c r="H46" s="86">
        <v>64500</v>
      </c>
      <c r="I46" s="86">
        <f t="shared" si="0"/>
        <v>64500</v>
      </c>
      <c r="J46" s="86"/>
      <c r="K46" s="86">
        <f t="shared" si="1"/>
        <v>64500</v>
      </c>
      <c r="L46" s="86"/>
      <c r="M46" s="119"/>
      <c r="N46" s="86">
        <f t="shared" si="2"/>
        <v>64500</v>
      </c>
      <c r="O46" s="91" t="s">
        <v>23</v>
      </c>
      <c r="P46" s="659"/>
      <c r="Q46" s="91" t="s">
        <v>40</v>
      </c>
      <c r="R46" s="119"/>
      <c r="S46" s="650"/>
      <c r="T46" s="119"/>
      <c r="U46" s="86"/>
      <c r="V46" s="86"/>
      <c r="W46" s="86"/>
    </row>
    <row r="47" spans="1:24" s="203" customFormat="1">
      <c r="A47" s="9">
        <v>44316</v>
      </c>
      <c r="B47" s="91" t="s">
        <v>23</v>
      </c>
      <c r="C47" s="91" t="s">
        <v>3981</v>
      </c>
      <c r="D47" s="650" t="s">
        <v>3985</v>
      </c>
      <c r="E47" s="646" t="s">
        <v>3986</v>
      </c>
      <c r="F47" s="646" t="s">
        <v>3987</v>
      </c>
      <c r="G47" s="30">
        <v>1</v>
      </c>
      <c r="H47" s="86">
        <v>128000</v>
      </c>
      <c r="I47" s="86">
        <f t="shared" si="0"/>
        <v>128000</v>
      </c>
      <c r="J47" s="86"/>
      <c r="K47" s="86">
        <f t="shared" si="1"/>
        <v>128000</v>
      </c>
      <c r="L47" s="86"/>
      <c r="M47" s="119"/>
      <c r="N47" s="86">
        <f t="shared" si="2"/>
        <v>128000</v>
      </c>
      <c r="O47" s="91" t="s">
        <v>23</v>
      </c>
      <c r="P47" s="671"/>
      <c r="Q47" s="91" t="s">
        <v>40</v>
      </c>
      <c r="R47" s="119"/>
      <c r="S47" s="642"/>
      <c r="T47" s="119"/>
      <c r="U47" s="86"/>
      <c r="V47" s="86"/>
      <c r="W47" s="86"/>
    </row>
    <row r="48" spans="1:24" s="203" customFormat="1">
      <c r="A48" s="9">
        <v>44316</v>
      </c>
      <c r="B48" s="91" t="s">
        <v>23</v>
      </c>
      <c r="C48" s="123" t="s">
        <v>3988</v>
      </c>
      <c r="D48" s="650" t="s">
        <v>3989</v>
      </c>
      <c r="E48" s="644" t="s">
        <v>1387</v>
      </c>
      <c r="F48" s="644" t="s">
        <v>1388</v>
      </c>
      <c r="G48" s="30">
        <v>1</v>
      </c>
      <c r="H48" s="86">
        <v>79000</v>
      </c>
      <c r="I48" s="86">
        <f t="shared" si="0"/>
        <v>79000</v>
      </c>
      <c r="J48" s="86"/>
      <c r="K48" s="86">
        <f t="shared" si="1"/>
        <v>79000</v>
      </c>
      <c r="L48" s="86">
        <v>57000</v>
      </c>
      <c r="M48" s="119"/>
      <c r="N48" s="86">
        <f t="shared" si="2"/>
        <v>136000</v>
      </c>
      <c r="O48" s="91" t="s">
        <v>23</v>
      </c>
      <c r="P48" s="649"/>
      <c r="Q48" s="91" t="s">
        <v>54</v>
      </c>
      <c r="R48" s="119"/>
      <c r="S48" s="642"/>
      <c r="T48" s="119"/>
      <c r="U48" s="86"/>
      <c r="V48" s="86"/>
      <c r="W48" s="86"/>
    </row>
    <row r="49" spans="1:23" s="203" customFormat="1">
      <c r="A49" s="9">
        <v>44316</v>
      </c>
      <c r="B49" s="91" t="s">
        <v>23</v>
      </c>
      <c r="C49" s="123" t="s">
        <v>3990</v>
      </c>
      <c r="D49" s="650" t="s">
        <v>3991</v>
      </c>
      <c r="E49" s="661" t="s">
        <v>2562</v>
      </c>
      <c r="F49" s="661" t="s">
        <v>2563</v>
      </c>
      <c r="G49" s="30">
        <v>1</v>
      </c>
      <c r="H49" s="86">
        <v>614000</v>
      </c>
      <c r="I49" s="86">
        <f t="shared" si="0"/>
        <v>614000</v>
      </c>
      <c r="J49" s="86">
        <f>I49-460500</f>
        <v>153500</v>
      </c>
      <c r="K49" s="86">
        <f t="shared" si="1"/>
        <v>460500</v>
      </c>
      <c r="L49" s="86">
        <v>28000</v>
      </c>
      <c r="M49" s="119"/>
      <c r="N49" s="86">
        <f t="shared" si="2"/>
        <v>488500</v>
      </c>
      <c r="O49" s="91" t="s">
        <v>23</v>
      </c>
      <c r="P49" s="662"/>
      <c r="Q49" s="91" t="s">
        <v>28</v>
      </c>
      <c r="R49" s="119"/>
      <c r="S49" s="653"/>
      <c r="T49" s="119"/>
      <c r="U49" s="86"/>
      <c r="V49" s="86"/>
      <c r="W49" s="86"/>
    </row>
    <row r="50" spans="1:23" s="203" customFormat="1">
      <c r="A50" s="9">
        <v>44316</v>
      </c>
      <c r="B50" s="91" t="s">
        <v>23</v>
      </c>
      <c r="C50" s="123" t="s">
        <v>3990</v>
      </c>
      <c r="D50" s="650" t="s">
        <v>3991</v>
      </c>
      <c r="E50" s="661" t="s">
        <v>3992</v>
      </c>
      <c r="F50" s="661" t="s">
        <v>3993</v>
      </c>
      <c r="G50" s="30">
        <v>1</v>
      </c>
      <c r="H50" s="86">
        <v>96500</v>
      </c>
      <c r="I50" s="86">
        <f t="shared" si="0"/>
        <v>96500</v>
      </c>
      <c r="J50" s="86"/>
      <c r="K50" s="86">
        <f t="shared" si="1"/>
        <v>96500</v>
      </c>
      <c r="L50" s="86"/>
      <c r="M50" s="119"/>
      <c r="N50" s="86">
        <f t="shared" si="2"/>
        <v>96500</v>
      </c>
      <c r="O50" s="91" t="s">
        <v>23</v>
      </c>
      <c r="P50" s="493"/>
      <c r="Q50" s="91" t="s">
        <v>28</v>
      </c>
      <c r="R50" s="119"/>
      <c r="S50" s="650"/>
      <c r="T50" s="119"/>
      <c r="U50" s="86"/>
      <c r="V50" s="86"/>
      <c r="W50" s="86"/>
    </row>
    <row r="51" spans="1:23" s="203" customFormat="1" ht="158.4">
      <c r="A51" s="9">
        <v>44316</v>
      </c>
      <c r="B51" s="91" t="s">
        <v>23</v>
      </c>
      <c r="C51" s="91" t="s">
        <v>3994</v>
      </c>
      <c r="D51" s="1099" t="s">
        <v>9420</v>
      </c>
      <c r="E51" s="644" t="s">
        <v>2820</v>
      </c>
      <c r="F51" s="644" t="s">
        <v>2821</v>
      </c>
      <c r="G51" s="30">
        <v>1</v>
      </c>
      <c r="H51" s="86">
        <v>340000</v>
      </c>
      <c r="I51" s="86">
        <f t="shared" si="0"/>
        <v>340000</v>
      </c>
      <c r="J51" s="86"/>
      <c r="K51" s="86">
        <f t="shared" si="1"/>
        <v>340000</v>
      </c>
      <c r="L51" s="86">
        <v>17000</v>
      </c>
      <c r="M51" s="119"/>
      <c r="N51" s="86">
        <f t="shared" si="2"/>
        <v>357000</v>
      </c>
      <c r="O51" s="91" t="s">
        <v>23</v>
      </c>
      <c r="P51" s="662"/>
      <c r="Q51" s="91" t="s">
        <v>40</v>
      </c>
      <c r="R51" s="119"/>
      <c r="S51" s="643"/>
      <c r="T51" s="119"/>
      <c r="U51" s="86"/>
      <c r="V51" s="86"/>
      <c r="W51" s="86"/>
    </row>
    <row r="52" spans="1:23" s="203" customFormat="1" ht="15" customHeight="1">
      <c r="A52" s="9">
        <v>44316</v>
      </c>
      <c r="B52" s="91" t="s">
        <v>23</v>
      </c>
      <c r="C52" s="91" t="s">
        <v>3995</v>
      </c>
      <c r="D52" s="650" t="s">
        <v>3996</v>
      </c>
      <c r="E52" s="644" t="s">
        <v>2820</v>
      </c>
      <c r="F52" s="644" t="s">
        <v>2821</v>
      </c>
      <c r="G52" s="645">
        <v>1</v>
      </c>
      <c r="H52" s="86">
        <v>340000</v>
      </c>
      <c r="I52" s="86">
        <f t="shared" si="0"/>
        <v>340000</v>
      </c>
      <c r="J52" s="86"/>
      <c r="K52" s="86">
        <f t="shared" si="1"/>
        <v>340000</v>
      </c>
      <c r="L52" s="86">
        <v>17000</v>
      </c>
      <c r="M52" s="119"/>
      <c r="N52" s="86">
        <f t="shared" si="2"/>
        <v>357000</v>
      </c>
      <c r="O52" s="91" t="s">
        <v>23</v>
      </c>
      <c r="P52" s="493"/>
      <c r="Q52" s="91" t="s">
        <v>40</v>
      </c>
      <c r="R52" s="119"/>
      <c r="S52" s="668"/>
      <c r="T52" s="119"/>
      <c r="U52" s="86"/>
      <c r="V52" s="86"/>
      <c r="W52" s="86"/>
    </row>
    <row r="53" spans="1:23" s="203" customFormat="1">
      <c r="A53" s="9">
        <v>44316</v>
      </c>
      <c r="B53" s="91" t="s">
        <v>23</v>
      </c>
      <c r="C53" s="123" t="s">
        <v>3997</v>
      </c>
      <c r="D53" s="650" t="s">
        <v>3998</v>
      </c>
      <c r="E53" s="644" t="s">
        <v>3725</v>
      </c>
      <c r="F53" s="644" t="s">
        <v>3726</v>
      </c>
      <c r="G53" s="30">
        <v>2</v>
      </c>
      <c r="H53" s="86">
        <v>180000</v>
      </c>
      <c r="I53" s="86">
        <f t="shared" si="0"/>
        <v>360000</v>
      </c>
      <c r="J53" s="86"/>
      <c r="K53" s="86">
        <f t="shared" si="1"/>
        <v>360000</v>
      </c>
      <c r="L53" s="86">
        <v>85000</v>
      </c>
      <c r="M53" s="119"/>
      <c r="N53" s="86">
        <f t="shared" si="2"/>
        <v>445000</v>
      </c>
      <c r="O53" s="91" t="s">
        <v>23</v>
      </c>
      <c r="P53" s="493"/>
      <c r="Q53" s="91" t="s">
        <v>40</v>
      </c>
      <c r="R53" s="119"/>
      <c r="S53" s="86"/>
      <c r="T53" s="119"/>
      <c r="U53" s="86"/>
      <c r="V53" s="86"/>
      <c r="W53" s="86"/>
    </row>
    <row r="54" spans="1:23" s="203" customFormat="1">
      <c r="A54" s="9">
        <v>44316</v>
      </c>
      <c r="B54" s="91" t="s">
        <v>23</v>
      </c>
      <c r="C54" s="123" t="s">
        <v>3999</v>
      </c>
      <c r="D54" s="650" t="s">
        <v>4000</v>
      </c>
      <c r="E54" s="644" t="s">
        <v>2820</v>
      </c>
      <c r="F54" s="644" t="s">
        <v>2821</v>
      </c>
      <c r="G54" s="645">
        <v>1</v>
      </c>
      <c r="H54" s="86">
        <v>340000</v>
      </c>
      <c r="I54" s="86">
        <f t="shared" si="0"/>
        <v>340000</v>
      </c>
      <c r="J54" s="86"/>
      <c r="K54" s="86">
        <f t="shared" si="1"/>
        <v>340000</v>
      </c>
      <c r="L54" s="86">
        <v>17000</v>
      </c>
      <c r="M54" s="119"/>
      <c r="N54" s="86">
        <f t="shared" si="2"/>
        <v>357000</v>
      </c>
      <c r="O54" s="91" t="s">
        <v>23</v>
      </c>
      <c r="P54" s="493"/>
      <c r="Q54" s="91" t="s">
        <v>40</v>
      </c>
      <c r="R54" s="119"/>
      <c r="S54" s="650"/>
      <c r="T54" s="119"/>
      <c r="U54" s="86"/>
      <c r="V54" s="86"/>
      <c r="W54" s="86"/>
    </row>
    <row r="55" spans="1:23" s="203" customFormat="1">
      <c r="A55" s="9">
        <v>44316</v>
      </c>
      <c r="B55" s="91" t="s">
        <v>23</v>
      </c>
      <c r="C55" s="123" t="s">
        <v>4001</v>
      </c>
      <c r="D55" s="650" t="s">
        <v>4002</v>
      </c>
      <c r="E55" s="644" t="s">
        <v>553</v>
      </c>
      <c r="F55" s="644" t="s">
        <v>554</v>
      </c>
      <c r="G55" s="30">
        <v>1</v>
      </c>
      <c r="H55" s="86">
        <v>65500</v>
      </c>
      <c r="I55" s="86">
        <f t="shared" si="0"/>
        <v>65500</v>
      </c>
      <c r="J55" s="650">
        <f>I55-47575</f>
        <v>17925</v>
      </c>
      <c r="K55" s="86">
        <f t="shared" si="1"/>
        <v>47575</v>
      </c>
      <c r="L55" s="86">
        <v>7000</v>
      </c>
      <c r="M55" s="119"/>
      <c r="N55" s="86">
        <f t="shared" si="2"/>
        <v>54575</v>
      </c>
      <c r="O55" s="91" t="s">
        <v>23</v>
      </c>
      <c r="P55" s="649"/>
      <c r="Q55" s="91" t="s">
        <v>28</v>
      </c>
      <c r="R55" s="119"/>
      <c r="S55" s="642"/>
      <c r="T55" s="119"/>
      <c r="U55" s="86"/>
      <c r="V55" s="86"/>
      <c r="W55" s="86"/>
    </row>
    <row r="56" spans="1:23" s="203" customFormat="1">
      <c r="A56" s="9">
        <v>44316</v>
      </c>
      <c r="B56" s="91" t="s">
        <v>43</v>
      </c>
      <c r="C56" s="123" t="s">
        <v>4003</v>
      </c>
      <c r="D56" s="650" t="s">
        <v>4004</v>
      </c>
      <c r="E56" s="644" t="s">
        <v>4005</v>
      </c>
      <c r="F56" s="644" t="s">
        <v>4006</v>
      </c>
      <c r="G56" s="30">
        <v>1</v>
      </c>
      <c r="H56" s="86">
        <v>175000</v>
      </c>
      <c r="I56" s="86">
        <f t="shared" si="0"/>
        <v>175000</v>
      </c>
      <c r="J56" s="86"/>
      <c r="K56" s="86">
        <f t="shared" si="1"/>
        <v>175000</v>
      </c>
      <c r="L56" s="86"/>
      <c r="M56" s="119">
        <v>-9800</v>
      </c>
      <c r="N56" s="86">
        <f t="shared" si="2"/>
        <v>165200</v>
      </c>
      <c r="O56" s="91" t="s">
        <v>43</v>
      </c>
      <c r="P56" s="663"/>
      <c r="Q56" s="91" t="s">
        <v>54</v>
      </c>
      <c r="R56" s="119"/>
      <c r="S56" s="642"/>
      <c r="T56" s="119"/>
      <c r="U56" s="86"/>
      <c r="V56" s="86"/>
      <c r="W56" s="86"/>
    </row>
    <row r="57" spans="1:23" s="203" customFormat="1">
      <c r="A57" s="9">
        <v>44316</v>
      </c>
      <c r="B57" s="10" t="s">
        <v>23</v>
      </c>
      <c r="C57" s="123" t="s">
        <v>4007</v>
      </c>
      <c r="D57" s="650" t="s">
        <v>4008</v>
      </c>
      <c r="E57" s="644" t="s">
        <v>3291</v>
      </c>
      <c r="F57" s="644" t="s">
        <v>4009</v>
      </c>
      <c r="G57" s="30">
        <v>1</v>
      </c>
      <c r="H57" s="86">
        <v>126500</v>
      </c>
      <c r="I57" s="86">
        <f t="shared" si="0"/>
        <v>126500</v>
      </c>
      <c r="J57" s="86">
        <f>I57-101200</f>
        <v>25300</v>
      </c>
      <c r="K57" s="86">
        <f t="shared" si="1"/>
        <v>101200</v>
      </c>
      <c r="L57" s="86">
        <v>45000</v>
      </c>
      <c r="M57" s="86"/>
      <c r="N57" s="86">
        <f t="shared" si="2"/>
        <v>146200</v>
      </c>
      <c r="O57" s="10" t="s">
        <v>23</v>
      </c>
      <c r="P57" s="649"/>
      <c r="Q57" s="10" t="s">
        <v>40</v>
      </c>
      <c r="R57" s="119"/>
      <c r="S57" s="642"/>
      <c r="T57" s="119"/>
      <c r="U57" s="86"/>
      <c r="V57" s="86"/>
      <c r="W57" s="86"/>
    </row>
    <row r="58" spans="1:23" s="203" customFormat="1">
      <c r="A58" s="9">
        <v>44316</v>
      </c>
      <c r="B58" s="91" t="s">
        <v>43</v>
      </c>
      <c r="C58" s="123" t="s">
        <v>4010</v>
      </c>
      <c r="D58" s="650" t="s">
        <v>4011</v>
      </c>
      <c r="E58" s="644" t="s">
        <v>4012</v>
      </c>
      <c r="F58" s="644" t="s">
        <v>4013</v>
      </c>
      <c r="G58" s="30">
        <v>1</v>
      </c>
      <c r="H58" s="86">
        <v>91000</v>
      </c>
      <c r="I58" s="86">
        <f t="shared" si="0"/>
        <v>91000</v>
      </c>
      <c r="J58" s="86"/>
      <c r="K58" s="86">
        <f t="shared" si="1"/>
        <v>91000</v>
      </c>
      <c r="L58" s="86">
        <v>57000</v>
      </c>
      <c r="M58" s="86">
        <v>-5095</v>
      </c>
      <c r="N58" s="86">
        <f t="shared" si="2"/>
        <v>142905</v>
      </c>
      <c r="O58" s="91" t="s">
        <v>43</v>
      </c>
      <c r="P58" s="649"/>
      <c r="Q58" s="91" t="s">
        <v>54</v>
      </c>
      <c r="R58" s="119"/>
      <c r="S58" s="642"/>
      <c r="T58" s="119"/>
      <c r="U58" s="86"/>
      <c r="V58" s="86"/>
      <c r="W58" s="86"/>
    </row>
    <row r="59" spans="1:23" s="119" customFormat="1">
      <c r="A59" s="9">
        <v>44319</v>
      </c>
      <c r="B59" s="91" t="s">
        <v>43</v>
      </c>
      <c r="C59" s="91" t="s">
        <v>4014</v>
      </c>
      <c r="D59" s="673" t="s">
        <v>4015</v>
      </c>
      <c r="E59" s="674" t="s">
        <v>2114</v>
      </c>
      <c r="F59" s="674" t="s">
        <v>1858</v>
      </c>
      <c r="G59" s="30">
        <v>1</v>
      </c>
      <c r="H59" s="86">
        <v>46500</v>
      </c>
      <c r="I59" s="86">
        <f t="shared" si="0"/>
        <v>46500</v>
      </c>
      <c r="J59" s="86"/>
      <c r="K59" s="86">
        <f t="shared" si="1"/>
        <v>46500</v>
      </c>
      <c r="L59" s="86"/>
      <c r="M59" s="86">
        <v>-2604</v>
      </c>
      <c r="N59" s="86">
        <f t="shared" si="2"/>
        <v>43896</v>
      </c>
      <c r="O59" s="91" t="s">
        <v>43</v>
      </c>
      <c r="P59" s="649"/>
      <c r="Q59" s="91" t="s">
        <v>176</v>
      </c>
      <c r="S59" s="642"/>
      <c r="U59" s="86"/>
      <c r="V59" s="86"/>
      <c r="W59" s="86"/>
    </row>
    <row r="60" spans="1:23" s="119" customFormat="1">
      <c r="A60" s="9">
        <v>44319</v>
      </c>
      <c r="B60" s="91" t="s">
        <v>43</v>
      </c>
      <c r="C60" s="123" t="s">
        <v>4016</v>
      </c>
      <c r="D60" s="673" t="s">
        <v>4017</v>
      </c>
      <c r="E60" s="674" t="s">
        <v>75</v>
      </c>
      <c r="F60" s="674" t="s">
        <v>76</v>
      </c>
      <c r="G60" s="30">
        <v>1</v>
      </c>
      <c r="H60" s="86">
        <v>60000</v>
      </c>
      <c r="I60" s="86">
        <f t="shared" si="0"/>
        <v>60000</v>
      </c>
      <c r="J60" s="86"/>
      <c r="K60" s="86">
        <f t="shared" si="1"/>
        <v>60000</v>
      </c>
      <c r="L60" s="86"/>
      <c r="M60" s="86">
        <v>-3360</v>
      </c>
      <c r="N60" s="86">
        <f t="shared" si="2"/>
        <v>56640</v>
      </c>
      <c r="O60" s="91" t="s">
        <v>43</v>
      </c>
      <c r="P60" s="649"/>
      <c r="Q60" s="91" t="s">
        <v>176</v>
      </c>
      <c r="S60" s="642"/>
      <c r="U60" s="86"/>
      <c r="V60" s="86"/>
      <c r="W60" s="86"/>
    </row>
    <row r="61" spans="1:23" s="119" customFormat="1">
      <c r="A61" s="9">
        <v>44319</v>
      </c>
      <c r="B61" s="91" t="s">
        <v>43</v>
      </c>
      <c r="C61" s="123" t="s">
        <v>4018</v>
      </c>
      <c r="D61" s="673" t="s">
        <v>4019</v>
      </c>
      <c r="E61" s="674" t="s">
        <v>190</v>
      </c>
      <c r="F61" s="674" t="s">
        <v>191</v>
      </c>
      <c r="G61" s="30">
        <v>1</v>
      </c>
      <c r="H61" s="86">
        <v>92000</v>
      </c>
      <c r="I61" s="86">
        <f t="shared" si="0"/>
        <v>92000</v>
      </c>
      <c r="J61" s="86"/>
      <c r="K61" s="86">
        <f t="shared" si="1"/>
        <v>92000</v>
      </c>
      <c r="L61" s="86"/>
      <c r="M61" s="675">
        <v>-10332</v>
      </c>
      <c r="N61" s="86">
        <f t="shared" si="2"/>
        <v>81668</v>
      </c>
      <c r="O61" s="91" t="s">
        <v>43</v>
      </c>
      <c r="P61" s="676"/>
      <c r="Q61" s="91" t="s">
        <v>54</v>
      </c>
      <c r="S61" s="653"/>
      <c r="U61" s="86"/>
      <c r="V61" s="86"/>
      <c r="W61" s="86"/>
    </row>
    <row r="62" spans="1:23" s="119" customFormat="1">
      <c r="A62" s="9">
        <v>44319</v>
      </c>
      <c r="B62" s="91" t="s">
        <v>43</v>
      </c>
      <c r="C62" s="123" t="s">
        <v>4018</v>
      </c>
      <c r="D62" s="673" t="s">
        <v>4019</v>
      </c>
      <c r="E62" s="674" t="s">
        <v>213</v>
      </c>
      <c r="F62" s="674" t="s">
        <v>191</v>
      </c>
      <c r="G62" s="30">
        <v>1</v>
      </c>
      <c r="H62" s="86">
        <v>92000</v>
      </c>
      <c r="I62" s="86">
        <f t="shared" si="0"/>
        <v>92000</v>
      </c>
      <c r="J62" s="86"/>
      <c r="K62" s="86">
        <f t="shared" si="1"/>
        <v>92000</v>
      </c>
      <c r="L62" s="86"/>
      <c r="M62" s="86"/>
      <c r="N62" s="86">
        <f t="shared" si="2"/>
        <v>92000</v>
      </c>
      <c r="O62" s="91" t="s">
        <v>43</v>
      </c>
      <c r="P62" s="677"/>
      <c r="Q62" s="91" t="s">
        <v>54</v>
      </c>
      <c r="S62" s="653"/>
      <c r="U62" s="86"/>
      <c r="V62" s="86"/>
      <c r="W62" s="86"/>
    </row>
    <row r="63" spans="1:23" s="119" customFormat="1" ht="16.8">
      <c r="A63" s="9">
        <v>44319</v>
      </c>
      <c r="B63" s="91" t="s">
        <v>43</v>
      </c>
      <c r="C63" s="123" t="s">
        <v>4020</v>
      </c>
      <c r="D63" s="673" t="s">
        <v>4021</v>
      </c>
      <c r="E63" s="674" t="s">
        <v>3781</v>
      </c>
      <c r="F63" s="674" t="s">
        <v>3782</v>
      </c>
      <c r="G63" s="678">
        <v>3</v>
      </c>
      <c r="H63" s="86">
        <v>211000</v>
      </c>
      <c r="I63" s="86">
        <f t="shared" si="0"/>
        <v>633000</v>
      </c>
      <c r="J63" s="86"/>
      <c r="K63" s="86">
        <f t="shared" si="1"/>
        <v>633000</v>
      </c>
      <c r="L63" s="86">
        <v>21000</v>
      </c>
      <c r="M63" s="86">
        <v>-35448</v>
      </c>
      <c r="N63" s="86">
        <f t="shared" si="2"/>
        <v>618552</v>
      </c>
      <c r="O63" s="91" t="s">
        <v>43</v>
      </c>
      <c r="P63" s="664"/>
      <c r="Q63" s="91" t="s">
        <v>54</v>
      </c>
      <c r="S63" s="679"/>
      <c r="U63" s="86"/>
      <c r="V63" s="86"/>
      <c r="W63" s="86"/>
    </row>
    <row r="64" spans="1:23" s="119" customFormat="1">
      <c r="A64" s="9">
        <v>44319</v>
      </c>
      <c r="B64" s="91" t="s">
        <v>206</v>
      </c>
      <c r="C64" s="123" t="s">
        <v>4022</v>
      </c>
      <c r="D64" s="673" t="s">
        <v>4023</v>
      </c>
      <c r="E64" s="674" t="s">
        <v>3517</v>
      </c>
      <c r="F64" s="674" t="s">
        <v>3518</v>
      </c>
      <c r="G64" s="30">
        <v>2</v>
      </c>
      <c r="H64" s="86">
        <v>52000</v>
      </c>
      <c r="I64" s="86">
        <f t="shared" si="0"/>
        <v>104000</v>
      </c>
      <c r="J64" s="86"/>
      <c r="K64" s="86">
        <f t="shared" si="1"/>
        <v>104000</v>
      </c>
      <c r="L64" s="86">
        <v>16500</v>
      </c>
      <c r="M64" s="86"/>
      <c r="N64" s="86">
        <f t="shared" si="2"/>
        <v>120500</v>
      </c>
      <c r="O64" s="91" t="s">
        <v>206</v>
      </c>
      <c r="P64" s="676"/>
      <c r="Q64" s="91" t="s">
        <v>328</v>
      </c>
      <c r="S64" s="86"/>
      <c r="U64" s="86"/>
      <c r="V64" s="86"/>
      <c r="W64" s="86"/>
    </row>
    <row r="65" spans="1:23" s="119" customFormat="1">
      <c r="A65" s="9">
        <v>44319</v>
      </c>
      <c r="B65" s="91" t="s">
        <v>170</v>
      </c>
      <c r="C65" s="123" t="s">
        <v>4024</v>
      </c>
      <c r="D65" s="673" t="s">
        <v>4025</v>
      </c>
      <c r="E65" s="674" t="s">
        <v>1275</v>
      </c>
      <c r="F65" s="674" t="s">
        <v>68</v>
      </c>
      <c r="G65" s="30">
        <v>1</v>
      </c>
      <c r="H65" s="86">
        <v>65000</v>
      </c>
      <c r="I65" s="86">
        <f t="shared" ref="I65:I107" si="4">H65*G65</f>
        <v>65000</v>
      </c>
      <c r="J65" s="86">
        <f>I65*20%</f>
        <v>13000</v>
      </c>
      <c r="K65" s="86">
        <f t="shared" ref="K65:K107" si="5">I65-J65</f>
        <v>52000</v>
      </c>
      <c r="L65" s="86">
        <v>7000</v>
      </c>
      <c r="M65" s="86"/>
      <c r="N65" s="86">
        <f t="shared" ref="N65:N107" si="6">K65+L65+M65</f>
        <v>59000</v>
      </c>
      <c r="O65" s="91" t="s">
        <v>170</v>
      </c>
      <c r="P65" s="676"/>
      <c r="Q65" s="91" t="s">
        <v>28</v>
      </c>
      <c r="S65" s="86"/>
      <c r="U65" s="86"/>
      <c r="V65" s="86"/>
      <c r="W65" s="86"/>
    </row>
    <row r="66" spans="1:23" s="119" customFormat="1">
      <c r="A66" s="9">
        <v>44319</v>
      </c>
      <c r="B66" s="91" t="s">
        <v>23</v>
      </c>
      <c r="C66" s="123" t="s">
        <v>4026</v>
      </c>
      <c r="D66" s="673" t="s">
        <v>4027</v>
      </c>
      <c r="E66" s="674" t="s">
        <v>4028</v>
      </c>
      <c r="F66" s="674" t="s">
        <v>4029</v>
      </c>
      <c r="G66" s="30">
        <v>1</v>
      </c>
      <c r="H66" s="86">
        <v>96000</v>
      </c>
      <c r="I66" s="86">
        <f t="shared" si="4"/>
        <v>96000</v>
      </c>
      <c r="J66" s="86"/>
      <c r="K66" s="86">
        <f t="shared" si="5"/>
        <v>96000</v>
      </c>
      <c r="L66" s="86">
        <v>11000</v>
      </c>
      <c r="M66" s="86"/>
      <c r="N66" s="86">
        <f t="shared" si="6"/>
        <v>107000</v>
      </c>
      <c r="O66" s="91" t="s">
        <v>23</v>
      </c>
      <c r="P66" s="493"/>
      <c r="Q66" s="10" t="s">
        <v>40</v>
      </c>
      <c r="S66" s="86"/>
      <c r="U66" s="86"/>
      <c r="V66" s="86"/>
      <c r="W66" s="86"/>
    </row>
    <row r="67" spans="1:23" s="119" customFormat="1">
      <c r="A67" s="9">
        <v>44319</v>
      </c>
      <c r="B67" s="91" t="s">
        <v>23</v>
      </c>
      <c r="C67" s="123" t="s">
        <v>4030</v>
      </c>
      <c r="D67" s="673" t="s">
        <v>31</v>
      </c>
      <c r="E67" s="674" t="s">
        <v>3781</v>
      </c>
      <c r="F67" s="674" t="s">
        <v>3782</v>
      </c>
      <c r="G67" s="678">
        <v>1</v>
      </c>
      <c r="H67" s="119">
        <v>211000</v>
      </c>
      <c r="I67" s="119">
        <f t="shared" si="4"/>
        <v>211000</v>
      </c>
      <c r="K67" s="86">
        <f t="shared" si="5"/>
        <v>211000</v>
      </c>
      <c r="N67" s="86">
        <f t="shared" si="6"/>
        <v>211000</v>
      </c>
      <c r="O67" s="91" t="s">
        <v>23</v>
      </c>
      <c r="P67" s="493"/>
      <c r="Q67" s="10" t="s">
        <v>434</v>
      </c>
      <c r="S67" s="86"/>
      <c r="U67" s="86"/>
      <c r="V67" s="86"/>
      <c r="W67" s="86"/>
    </row>
    <row r="68" spans="1:23" s="119" customFormat="1">
      <c r="A68" s="9">
        <v>44319</v>
      </c>
      <c r="B68" s="91" t="s">
        <v>23</v>
      </c>
      <c r="C68" s="123" t="s">
        <v>4031</v>
      </c>
      <c r="D68" s="673" t="s">
        <v>4032</v>
      </c>
      <c r="E68" s="674" t="s">
        <v>1753</v>
      </c>
      <c r="F68" s="674" t="s">
        <v>1754</v>
      </c>
      <c r="G68" s="30">
        <v>1</v>
      </c>
      <c r="H68" s="86">
        <v>86000</v>
      </c>
      <c r="I68" s="86">
        <f t="shared" si="4"/>
        <v>86000</v>
      </c>
      <c r="K68" s="86">
        <f t="shared" si="5"/>
        <v>86000</v>
      </c>
      <c r="L68" s="86">
        <v>15000</v>
      </c>
      <c r="N68" s="86">
        <f t="shared" si="6"/>
        <v>101000</v>
      </c>
      <c r="O68" s="91" t="s">
        <v>23</v>
      </c>
      <c r="P68" s="493"/>
      <c r="Q68" s="91" t="s">
        <v>40</v>
      </c>
      <c r="S68" s="86"/>
      <c r="U68" s="86"/>
      <c r="V68" s="86"/>
      <c r="W68" s="86"/>
    </row>
    <row r="69" spans="1:23" s="119" customFormat="1">
      <c r="A69" s="9">
        <v>44319</v>
      </c>
      <c r="B69" s="10" t="s">
        <v>23</v>
      </c>
      <c r="C69" s="11" t="s">
        <v>4033</v>
      </c>
      <c r="D69" s="673" t="s">
        <v>4034</v>
      </c>
      <c r="E69" s="674" t="s">
        <v>2820</v>
      </c>
      <c r="F69" s="674" t="s">
        <v>2821</v>
      </c>
      <c r="G69" s="30">
        <v>1</v>
      </c>
      <c r="H69" s="86">
        <v>340000</v>
      </c>
      <c r="I69" s="86">
        <f t="shared" si="4"/>
        <v>340000</v>
      </c>
      <c r="K69" s="86">
        <f t="shared" si="5"/>
        <v>340000</v>
      </c>
      <c r="L69" s="86">
        <v>45000</v>
      </c>
      <c r="N69" s="86">
        <f t="shared" si="6"/>
        <v>385000</v>
      </c>
      <c r="O69" s="10" t="s">
        <v>23</v>
      </c>
      <c r="Q69" s="10" t="s">
        <v>40</v>
      </c>
      <c r="S69" s="86"/>
      <c r="U69" s="86"/>
      <c r="V69" s="86"/>
      <c r="W69" s="86"/>
    </row>
    <row r="70" spans="1:23" s="119" customFormat="1">
      <c r="A70" s="9">
        <v>44320</v>
      </c>
      <c r="B70" s="91" t="s">
        <v>177</v>
      </c>
      <c r="C70" s="91" t="s">
        <v>2393</v>
      </c>
      <c r="D70" s="673" t="s">
        <v>4035</v>
      </c>
      <c r="E70" s="674" t="s">
        <v>4036</v>
      </c>
      <c r="F70" s="674" t="s">
        <v>4037</v>
      </c>
      <c r="G70" s="30">
        <v>1</v>
      </c>
      <c r="H70" s="86">
        <v>50500</v>
      </c>
      <c r="I70" s="86">
        <f t="shared" si="4"/>
        <v>50500</v>
      </c>
      <c r="K70" s="86">
        <f t="shared" si="5"/>
        <v>50500</v>
      </c>
      <c r="L70" s="86">
        <v>9000</v>
      </c>
      <c r="N70" s="86">
        <f t="shared" si="6"/>
        <v>59500</v>
      </c>
      <c r="O70" s="91" t="s">
        <v>177</v>
      </c>
      <c r="P70" s="649"/>
      <c r="Q70" s="91" t="s">
        <v>54</v>
      </c>
      <c r="S70" s="642"/>
      <c r="U70" s="86"/>
      <c r="V70" s="86"/>
      <c r="W70" s="86"/>
    </row>
    <row r="71" spans="1:23" s="119" customFormat="1">
      <c r="A71" s="9">
        <v>44320</v>
      </c>
      <c r="B71" s="91" t="s">
        <v>177</v>
      </c>
      <c r="C71" s="123" t="s">
        <v>4038</v>
      </c>
      <c r="D71" s="673" t="s">
        <v>4039</v>
      </c>
      <c r="E71" s="680" t="s">
        <v>2221</v>
      </c>
      <c r="F71" s="680" t="s">
        <v>2222</v>
      </c>
      <c r="G71" s="30">
        <v>1</v>
      </c>
      <c r="H71" s="86">
        <v>117000</v>
      </c>
      <c r="I71" s="86">
        <f t="shared" si="4"/>
        <v>117000</v>
      </c>
      <c r="K71" s="86">
        <f t="shared" si="5"/>
        <v>117000</v>
      </c>
      <c r="L71" s="86">
        <v>500</v>
      </c>
      <c r="N71" s="86">
        <f t="shared" si="6"/>
        <v>117500</v>
      </c>
      <c r="O71" s="91" t="s">
        <v>177</v>
      </c>
      <c r="P71" s="649"/>
      <c r="Q71" s="91" t="s">
        <v>54</v>
      </c>
      <c r="S71" s="681"/>
      <c r="U71" s="86"/>
      <c r="V71" s="86"/>
      <c r="W71" s="86"/>
    </row>
    <row r="72" spans="1:23" s="119" customFormat="1" ht="17.25" customHeight="1">
      <c r="A72" s="9">
        <v>44320</v>
      </c>
      <c r="B72" s="91" t="s">
        <v>177</v>
      </c>
      <c r="C72" s="123" t="s">
        <v>4038</v>
      </c>
      <c r="D72" s="673" t="s">
        <v>4039</v>
      </c>
      <c r="E72" s="680" t="s">
        <v>46</v>
      </c>
      <c r="F72" s="680" t="s">
        <v>4040</v>
      </c>
      <c r="G72" s="30">
        <v>1</v>
      </c>
      <c r="H72" s="86">
        <v>92000</v>
      </c>
      <c r="I72" s="86">
        <f t="shared" si="4"/>
        <v>92000</v>
      </c>
      <c r="K72" s="86">
        <f t="shared" si="5"/>
        <v>92000</v>
      </c>
      <c r="N72" s="86">
        <f t="shared" si="6"/>
        <v>92000</v>
      </c>
      <c r="O72" s="91" t="s">
        <v>177</v>
      </c>
      <c r="Q72" s="91" t="s">
        <v>54</v>
      </c>
      <c r="S72" s="668"/>
      <c r="T72" s="86"/>
      <c r="U72" s="86"/>
      <c r="V72" s="86"/>
      <c r="W72" s="86"/>
    </row>
    <row r="73" spans="1:23" s="119" customFormat="1">
      <c r="A73" s="9">
        <v>44320</v>
      </c>
      <c r="B73" s="91" t="s">
        <v>177</v>
      </c>
      <c r="C73" s="91" t="s">
        <v>4041</v>
      </c>
      <c r="D73" s="673" t="s">
        <v>4042</v>
      </c>
      <c r="E73" s="674" t="s">
        <v>4043</v>
      </c>
      <c r="F73" s="674" t="s">
        <v>4044</v>
      </c>
      <c r="G73" s="30">
        <v>1</v>
      </c>
      <c r="H73" s="86">
        <v>144000</v>
      </c>
      <c r="I73" s="86">
        <f t="shared" si="4"/>
        <v>144000</v>
      </c>
      <c r="K73" s="86">
        <f t="shared" si="5"/>
        <v>144000</v>
      </c>
      <c r="L73" s="119">
        <v>9000</v>
      </c>
      <c r="N73" s="86">
        <f t="shared" si="6"/>
        <v>153000</v>
      </c>
      <c r="O73" s="91" t="s">
        <v>177</v>
      </c>
      <c r="P73" s="677"/>
      <c r="Q73" s="91" t="s">
        <v>54</v>
      </c>
      <c r="S73" s="670"/>
      <c r="T73" s="86"/>
      <c r="U73" s="86"/>
      <c r="V73" s="86"/>
      <c r="W73" s="86"/>
    </row>
    <row r="74" spans="1:23" s="119" customFormat="1">
      <c r="A74" s="9">
        <v>44320</v>
      </c>
      <c r="B74" s="91" t="s">
        <v>43</v>
      </c>
      <c r="C74" s="123" t="s">
        <v>4045</v>
      </c>
      <c r="D74" s="673" t="s">
        <v>4046</v>
      </c>
      <c r="E74" s="674" t="s">
        <v>4047</v>
      </c>
      <c r="F74" s="674" t="s">
        <v>4048</v>
      </c>
      <c r="G74" s="30">
        <v>1</v>
      </c>
      <c r="H74" s="86">
        <v>192500</v>
      </c>
      <c r="I74" s="86">
        <f t="shared" si="4"/>
        <v>192500</v>
      </c>
      <c r="K74" s="86">
        <f t="shared" si="5"/>
        <v>192500</v>
      </c>
      <c r="M74" s="119">
        <v>-10780</v>
      </c>
      <c r="N74" s="86">
        <f t="shared" si="6"/>
        <v>181720</v>
      </c>
      <c r="O74" s="91" t="s">
        <v>43</v>
      </c>
      <c r="P74" s="682"/>
      <c r="Q74" s="91" t="s">
        <v>176</v>
      </c>
      <c r="S74" s="670"/>
      <c r="T74" s="86"/>
      <c r="U74" s="86"/>
      <c r="V74" s="86"/>
      <c r="W74" s="86"/>
    </row>
    <row r="75" spans="1:23" s="119" customFormat="1">
      <c r="A75" s="9">
        <v>44320</v>
      </c>
      <c r="B75" s="91" t="s">
        <v>313</v>
      </c>
      <c r="C75" s="91" t="s">
        <v>4049</v>
      </c>
      <c r="D75" s="673" t="s">
        <v>4050</v>
      </c>
      <c r="E75" s="683" t="s">
        <v>4051</v>
      </c>
      <c r="F75" s="683" t="s">
        <v>392</v>
      </c>
      <c r="G75" s="30">
        <v>1</v>
      </c>
      <c r="H75" s="86">
        <v>38350</v>
      </c>
      <c r="I75" s="86">
        <f t="shared" si="4"/>
        <v>38350</v>
      </c>
      <c r="K75" s="86">
        <f t="shared" si="5"/>
        <v>38350</v>
      </c>
      <c r="L75" s="119">
        <v>8021</v>
      </c>
      <c r="N75" s="86">
        <f t="shared" si="6"/>
        <v>46371</v>
      </c>
      <c r="O75" s="91" t="s">
        <v>313</v>
      </c>
      <c r="P75" s="682"/>
      <c r="Q75" s="91" t="s">
        <v>28</v>
      </c>
      <c r="S75" s="670"/>
      <c r="T75" s="86"/>
      <c r="U75" s="86"/>
      <c r="V75" s="86"/>
      <c r="W75" s="86"/>
    </row>
    <row r="76" spans="1:23" s="119" customFormat="1">
      <c r="A76" s="9">
        <v>44320</v>
      </c>
      <c r="B76" s="91" t="s">
        <v>313</v>
      </c>
      <c r="C76" s="91" t="s">
        <v>4049</v>
      </c>
      <c r="D76" s="673" t="s">
        <v>4052</v>
      </c>
      <c r="E76" s="683" t="s">
        <v>4053</v>
      </c>
      <c r="F76" s="683" t="s">
        <v>4054</v>
      </c>
      <c r="G76" s="30">
        <v>1</v>
      </c>
      <c r="H76" s="86">
        <v>134000</v>
      </c>
      <c r="I76" s="86">
        <f t="shared" si="4"/>
        <v>134000</v>
      </c>
      <c r="K76" s="86">
        <f t="shared" si="5"/>
        <v>134000</v>
      </c>
      <c r="N76" s="86">
        <f t="shared" si="6"/>
        <v>134000</v>
      </c>
      <c r="O76" s="91" t="s">
        <v>313</v>
      </c>
      <c r="Q76" s="91" t="s">
        <v>28</v>
      </c>
      <c r="S76" s="86"/>
      <c r="T76" s="86"/>
      <c r="U76" s="86"/>
      <c r="V76" s="86"/>
      <c r="W76" s="86"/>
    </row>
    <row r="77" spans="1:23" s="119" customFormat="1">
      <c r="A77" s="9">
        <v>44320</v>
      </c>
      <c r="B77" s="91" t="s">
        <v>23</v>
      </c>
      <c r="C77" s="123" t="s">
        <v>4055</v>
      </c>
      <c r="D77" s="673" t="s">
        <v>4056</v>
      </c>
      <c r="E77" s="674" t="s">
        <v>3410</v>
      </c>
      <c r="F77" s="674" t="s">
        <v>3411</v>
      </c>
      <c r="G77" s="30">
        <v>2</v>
      </c>
      <c r="H77" s="86">
        <v>99000</v>
      </c>
      <c r="I77" s="86">
        <f t="shared" si="4"/>
        <v>198000</v>
      </c>
      <c r="K77" s="86">
        <f t="shared" si="5"/>
        <v>198000</v>
      </c>
      <c r="L77" s="119">
        <v>16000</v>
      </c>
      <c r="N77" s="86">
        <f t="shared" si="6"/>
        <v>214000</v>
      </c>
      <c r="O77" s="91" t="s">
        <v>23</v>
      </c>
      <c r="Q77" s="91" t="s">
        <v>40</v>
      </c>
      <c r="S77" s="171"/>
      <c r="T77" s="86"/>
      <c r="U77" s="86"/>
      <c r="V77" s="86"/>
      <c r="W77" s="86"/>
    </row>
    <row r="78" spans="1:23" s="119" customFormat="1">
      <c r="A78" s="9">
        <v>44320</v>
      </c>
      <c r="B78" s="91" t="s">
        <v>23</v>
      </c>
      <c r="C78" s="123" t="s">
        <v>4057</v>
      </c>
      <c r="D78" s="673" t="s">
        <v>4058</v>
      </c>
      <c r="E78" s="674" t="s">
        <v>3725</v>
      </c>
      <c r="F78" s="674" t="s">
        <v>3726</v>
      </c>
      <c r="G78" s="684">
        <v>1</v>
      </c>
      <c r="H78" s="86">
        <v>180000</v>
      </c>
      <c r="I78" s="86">
        <f t="shared" si="4"/>
        <v>180000</v>
      </c>
      <c r="K78" s="86">
        <f t="shared" si="5"/>
        <v>180000</v>
      </c>
      <c r="L78" s="119">
        <v>49000</v>
      </c>
      <c r="N78" s="86">
        <f t="shared" si="6"/>
        <v>229000</v>
      </c>
      <c r="O78" s="91" t="s">
        <v>23</v>
      </c>
      <c r="P78" s="86"/>
      <c r="Q78" s="91" t="s">
        <v>40</v>
      </c>
      <c r="R78" s="86"/>
      <c r="S78" s="86"/>
      <c r="T78" s="86"/>
      <c r="U78" s="86"/>
      <c r="V78" s="86"/>
      <c r="W78" s="86"/>
    </row>
    <row r="79" spans="1:23" s="119" customFormat="1">
      <c r="A79" s="9">
        <v>44320</v>
      </c>
      <c r="B79" s="91" t="s">
        <v>23</v>
      </c>
      <c r="C79" s="123" t="s">
        <v>4059</v>
      </c>
      <c r="D79" s="673" t="s">
        <v>4060</v>
      </c>
      <c r="E79" s="674" t="s">
        <v>4061</v>
      </c>
      <c r="F79" s="674" t="s">
        <v>4062</v>
      </c>
      <c r="G79" s="30">
        <v>1</v>
      </c>
      <c r="H79" s="86">
        <v>148000</v>
      </c>
      <c r="I79" s="86">
        <f t="shared" si="4"/>
        <v>148000</v>
      </c>
      <c r="K79" s="86">
        <f t="shared" si="5"/>
        <v>148000</v>
      </c>
      <c r="L79" s="119">
        <v>68000</v>
      </c>
      <c r="N79" s="86">
        <f t="shared" si="6"/>
        <v>216000</v>
      </c>
      <c r="O79" s="91" t="s">
        <v>23</v>
      </c>
      <c r="P79" s="86"/>
      <c r="Q79" s="91" t="s">
        <v>54</v>
      </c>
      <c r="R79" s="86"/>
      <c r="S79" s="86"/>
      <c r="T79" s="86"/>
      <c r="U79" s="86"/>
      <c r="V79" s="86"/>
      <c r="W79" s="86"/>
    </row>
    <row r="80" spans="1:23" s="119" customFormat="1">
      <c r="A80" s="9">
        <v>44320</v>
      </c>
      <c r="B80" s="91" t="s">
        <v>23</v>
      </c>
      <c r="C80" s="91" t="s">
        <v>4063</v>
      </c>
      <c r="D80" s="673" t="s">
        <v>4064</v>
      </c>
      <c r="E80" s="674" t="s">
        <v>4065</v>
      </c>
      <c r="F80" s="674" t="s">
        <v>4066</v>
      </c>
      <c r="G80" s="30">
        <v>1</v>
      </c>
      <c r="H80" s="86">
        <v>64000</v>
      </c>
      <c r="I80" s="86">
        <f t="shared" si="4"/>
        <v>64000</v>
      </c>
      <c r="K80" s="86">
        <f t="shared" si="5"/>
        <v>64000</v>
      </c>
      <c r="L80" s="119">
        <v>15000</v>
      </c>
      <c r="N80" s="86">
        <f t="shared" si="6"/>
        <v>79000</v>
      </c>
      <c r="O80" s="91" t="s">
        <v>23</v>
      </c>
      <c r="P80" s="86"/>
      <c r="Q80" s="91" t="s">
        <v>40</v>
      </c>
      <c r="R80" s="86"/>
      <c r="S80" s="86"/>
      <c r="T80" s="86"/>
      <c r="U80" s="86"/>
      <c r="V80" s="86"/>
      <c r="W80" s="86"/>
    </row>
    <row r="81" spans="1:23" s="119" customFormat="1">
      <c r="A81" s="9">
        <v>44320</v>
      </c>
      <c r="B81" s="91" t="s">
        <v>43</v>
      </c>
      <c r="C81" s="123" t="s">
        <v>4067</v>
      </c>
      <c r="D81" s="673" t="s">
        <v>4068</v>
      </c>
      <c r="E81" s="674" t="s">
        <v>2250</v>
      </c>
      <c r="F81" s="674" t="s">
        <v>2251</v>
      </c>
      <c r="G81" s="30">
        <v>1</v>
      </c>
      <c r="H81" s="86">
        <v>83000</v>
      </c>
      <c r="I81" s="86">
        <f t="shared" si="4"/>
        <v>83000</v>
      </c>
      <c r="K81" s="86">
        <f t="shared" si="5"/>
        <v>83000</v>
      </c>
      <c r="M81" s="119">
        <v>-4648</v>
      </c>
      <c r="N81" s="86">
        <f t="shared" si="6"/>
        <v>78352</v>
      </c>
      <c r="O81" s="91" t="s">
        <v>43</v>
      </c>
      <c r="P81" s="671"/>
      <c r="Q81" s="91" t="s">
        <v>54</v>
      </c>
      <c r="S81" s="642"/>
      <c r="T81" s="86"/>
      <c r="U81" s="86"/>
      <c r="V81" s="86"/>
      <c r="W81" s="86"/>
    </row>
    <row r="82" spans="1:23" s="119" customFormat="1">
      <c r="A82" s="9">
        <v>44320</v>
      </c>
      <c r="B82" s="91" t="s">
        <v>43</v>
      </c>
      <c r="C82" s="123" t="s">
        <v>4069</v>
      </c>
      <c r="D82" s="673" t="s">
        <v>4070</v>
      </c>
      <c r="E82" s="674" t="s">
        <v>4071</v>
      </c>
      <c r="F82" s="674" t="s">
        <v>4072</v>
      </c>
      <c r="G82" s="30">
        <v>1</v>
      </c>
      <c r="H82" s="86">
        <v>72000</v>
      </c>
      <c r="I82" s="86">
        <f t="shared" si="4"/>
        <v>72000</v>
      </c>
      <c r="K82" s="86">
        <f t="shared" si="5"/>
        <v>72000</v>
      </c>
      <c r="M82" s="119">
        <v>-4032</v>
      </c>
      <c r="N82" s="86">
        <f t="shared" si="6"/>
        <v>67968</v>
      </c>
      <c r="O82" s="91" t="s">
        <v>43</v>
      </c>
      <c r="P82" s="671"/>
      <c r="Q82" s="91" t="s">
        <v>54</v>
      </c>
      <c r="R82" s="86"/>
      <c r="S82" s="642"/>
      <c r="T82" s="86"/>
      <c r="U82" s="86"/>
      <c r="V82" s="86"/>
      <c r="W82" s="86"/>
    </row>
    <row r="83" spans="1:23" s="119" customFormat="1">
      <c r="A83" s="9">
        <v>44320</v>
      </c>
      <c r="B83" s="91" t="s">
        <v>23</v>
      </c>
      <c r="C83" s="123" t="s">
        <v>4073</v>
      </c>
      <c r="D83" s="673" t="s">
        <v>4074</v>
      </c>
      <c r="E83" s="674" t="s">
        <v>4075</v>
      </c>
      <c r="F83" s="674" t="s">
        <v>187</v>
      </c>
      <c r="G83" s="30">
        <v>1</v>
      </c>
      <c r="H83" s="86">
        <v>107000</v>
      </c>
      <c r="I83" s="86">
        <f t="shared" si="4"/>
        <v>107000</v>
      </c>
      <c r="J83" s="86"/>
      <c r="K83" s="86">
        <f t="shared" si="5"/>
        <v>107000</v>
      </c>
      <c r="L83" s="86">
        <v>34000</v>
      </c>
      <c r="M83" s="86"/>
      <c r="N83" s="86">
        <f t="shared" si="6"/>
        <v>141000</v>
      </c>
      <c r="O83" s="91" t="s">
        <v>23</v>
      </c>
      <c r="P83" s="685"/>
      <c r="Q83" s="10" t="s">
        <v>40</v>
      </c>
      <c r="R83" s="86"/>
      <c r="S83" s="653"/>
      <c r="T83" s="86"/>
      <c r="U83" s="86"/>
      <c r="V83" s="86"/>
      <c r="W83" s="86"/>
    </row>
    <row r="84" spans="1:23" s="119" customFormat="1">
      <c r="A84" s="9">
        <v>44320</v>
      </c>
      <c r="B84" s="10" t="s">
        <v>23</v>
      </c>
      <c r="C84" s="11" t="s">
        <v>4076</v>
      </c>
      <c r="D84" s="673" t="s">
        <v>4077</v>
      </c>
      <c r="E84" s="674" t="s">
        <v>4078</v>
      </c>
      <c r="F84" s="674" t="s">
        <v>4079</v>
      </c>
      <c r="G84" s="656">
        <v>1</v>
      </c>
      <c r="H84" s="86">
        <v>78000</v>
      </c>
      <c r="I84" s="86">
        <f t="shared" si="4"/>
        <v>78000</v>
      </c>
      <c r="J84" s="86"/>
      <c r="K84" s="86">
        <f t="shared" si="5"/>
        <v>78000</v>
      </c>
      <c r="L84" s="86">
        <v>16000</v>
      </c>
      <c r="M84" s="86"/>
      <c r="N84" s="86">
        <f t="shared" si="6"/>
        <v>94000</v>
      </c>
      <c r="O84" s="91" t="s">
        <v>23</v>
      </c>
      <c r="P84" s="649"/>
      <c r="Q84" s="10" t="s">
        <v>54</v>
      </c>
      <c r="R84" s="86"/>
      <c r="S84" s="642"/>
      <c r="T84" s="86"/>
      <c r="U84" s="86"/>
      <c r="V84" s="86"/>
      <c r="W84" s="86"/>
    </row>
    <row r="85" spans="1:23" s="119" customFormat="1">
      <c r="A85" s="9">
        <v>44321</v>
      </c>
      <c r="B85" s="91" t="s">
        <v>170</v>
      </c>
      <c r="C85" s="123" t="s">
        <v>4080</v>
      </c>
      <c r="D85" s="673" t="s">
        <v>4081</v>
      </c>
      <c r="E85" s="674" t="s">
        <v>3150</v>
      </c>
      <c r="F85" s="674" t="s">
        <v>3151</v>
      </c>
      <c r="G85" s="30">
        <v>1</v>
      </c>
      <c r="H85" s="86">
        <v>142000</v>
      </c>
      <c r="I85" s="86">
        <f t="shared" si="4"/>
        <v>142000</v>
      </c>
      <c r="J85" s="673"/>
      <c r="K85" s="86">
        <f t="shared" si="5"/>
        <v>142000</v>
      </c>
      <c r="L85" s="673">
        <f>39000-39000</f>
        <v>0</v>
      </c>
      <c r="M85" s="86"/>
      <c r="N85" s="86">
        <f t="shared" si="6"/>
        <v>142000</v>
      </c>
      <c r="O85" s="91" t="s">
        <v>170</v>
      </c>
      <c r="P85" s="649"/>
      <c r="Q85" s="91" t="s">
        <v>176</v>
      </c>
      <c r="R85" s="86"/>
      <c r="S85" s="642"/>
      <c r="T85" s="86"/>
      <c r="U85" s="86"/>
      <c r="V85" s="86"/>
      <c r="W85" s="86"/>
    </row>
    <row r="86" spans="1:23" s="119" customFormat="1" ht="288">
      <c r="A86" s="9">
        <v>44321</v>
      </c>
      <c r="B86" s="91" t="s">
        <v>23</v>
      </c>
      <c r="C86" s="123" t="s">
        <v>4082</v>
      </c>
      <c r="D86" s="1099" t="s">
        <v>9421</v>
      </c>
      <c r="E86" s="674" t="s">
        <v>4083</v>
      </c>
      <c r="F86" s="674" t="s">
        <v>4084</v>
      </c>
      <c r="G86" s="30">
        <v>1</v>
      </c>
      <c r="H86" s="86">
        <v>164000</v>
      </c>
      <c r="I86" s="86">
        <f t="shared" si="4"/>
        <v>164000</v>
      </c>
      <c r="J86" s="86"/>
      <c r="K86" s="86">
        <f t="shared" si="5"/>
        <v>164000</v>
      </c>
      <c r="L86" s="86">
        <v>47000</v>
      </c>
      <c r="M86" s="86"/>
      <c r="N86" s="86">
        <f t="shared" si="6"/>
        <v>211000</v>
      </c>
      <c r="O86" s="91" t="s">
        <v>23</v>
      </c>
      <c r="P86" s="649"/>
      <c r="Q86" s="91" t="s">
        <v>40</v>
      </c>
      <c r="R86" s="86"/>
      <c r="S86" s="642"/>
      <c r="T86" s="86"/>
      <c r="U86" s="86"/>
      <c r="V86" s="86"/>
      <c r="W86" s="86"/>
    </row>
    <row r="87" spans="1:23" s="119" customFormat="1" ht="361.2">
      <c r="A87" s="9">
        <v>44321</v>
      </c>
      <c r="B87" s="91" t="s">
        <v>23</v>
      </c>
      <c r="C87" s="123" t="s">
        <v>4085</v>
      </c>
      <c r="D87" s="1099" t="s">
        <v>9422</v>
      </c>
      <c r="E87" s="674" t="s">
        <v>4083</v>
      </c>
      <c r="F87" s="674" t="s">
        <v>4084</v>
      </c>
      <c r="G87" s="30">
        <v>1</v>
      </c>
      <c r="H87" s="86">
        <v>164000</v>
      </c>
      <c r="I87" s="86">
        <f t="shared" si="4"/>
        <v>164000</v>
      </c>
      <c r="J87" s="86"/>
      <c r="K87" s="86">
        <f t="shared" si="5"/>
        <v>164000</v>
      </c>
      <c r="L87" s="86">
        <v>47000</v>
      </c>
      <c r="M87" s="86"/>
      <c r="N87" s="86">
        <f t="shared" si="6"/>
        <v>211000</v>
      </c>
      <c r="O87" s="91" t="s">
        <v>23</v>
      </c>
      <c r="P87" s="664"/>
      <c r="Q87" s="91" t="s">
        <v>40</v>
      </c>
      <c r="R87" s="86"/>
      <c r="S87" s="679"/>
      <c r="T87" s="86"/>
      <c r="U87" s="86"/>
      <c r="V87" s="86"/>
      <c r="W87" s="86"/>
    </row>
    <row r="88" spans="1:23" s="119" customFormat="1">
      <c r="A88" s="9">
        <v>44321</v>
      </c>
      <c r="B88" s="91" t="s">
        <v>23</v>
      </c>
      <c r="C88" s="123" t="s">
        <v>4086</v>
      </c>
      <c r="D88" s="673" t="s">
        <v>4087</v>
      </c>
      <c r="E88" s="674" t="s">
        <v>3743</v>
      </c>
      <c r="F88" s="674" t="s">
        <v>3709</v>
      </c>
      <c r="G88" s="30">
        <v>1</v>
      </c>
      <c r="H88" s="86">
        <v>51000</v>
      </c>
      <c r="I88" s="86">
        <f t="shared" si="4"/>
        <v>51000</v>
      </c>
      <c r="J88" s="86">
        <f>I88*20%</f>
        <v>10200</v>
      </c>
      <c r="K88" s="86">
        <f t="shared" si="5"/>
        <v>40800</v>
      </c>
      <c r="L88" s="86">
        <v>23000</v>
      </c>
      <c r="M88" s="86"/>
      <c r="N88" s="86">
        <f t="shared" si="6"/>
        <v>63800</v>
      </c>
      <c r="O88" s="91" t="s">
        <v>23</v>
      </c>
      <c r="P88" s="686"/>
      <c r="Q88" s="91" t="s">
        <v>54</v>
      </c>
      <c r="R88" s="86"/>
      <c r="S88" s="686"/>
      <c r="T88" s="86"/>
      <c r="U88" s="86"/>
      <c r="V88" s="86"/>
      <c r="W88" s="86"/>
    </row>
    <row r="89" spans="1:23" s="119" customFormat="1">
      <c r="A89" s="9">
        <v>44322</v>
      </c>
      <c r="B89" s="91" t="s">
        <v>43</v>
      </c>
      <c r="C89" s="123" t="s">
        <v>4088</v>
      </c>
      <c r="D89" s="673" t="s">
        <v>4089</v>
      </c>
      <c r="E89" s="674" t="s">
        <v>3972</v>
      </c>
      <c r="F89" s="674" t="s">
        <v>909</v>
      </c>
      <c r="G89" s="30">
        <v>1</v>
      </c>
      <c r="H89" s="86">
        <v>94000</v>
      </c>
      <c r="I89" s="86">
        <f t="shared" si="4"/>
        <v>94000</v>
      </c>
      <c r="J89" s="86"/>
      <c r="K89" s="86">
        <f t="shared" si="5"/>
        <v>94000</v>
      </c>
      <c r="L89" s="86"/>
      <c r="M89" s="86">
        <v>-5264</v>
      </c>
      <c r="N89" s="86">
        <f t="shared" si="6"/>
        <v>88736</v>
      </c>
      <c r="O89" s="91" t="s">
        <v>43</v>
      </c>
      <c r="P89" s="649"/>
      <c r="Q89" s="91" t="s">
        <v>176</v>
      </c>
      <c r="R89" s="86"/>
      <c r="S89" s="642"/>
      <c r="T89" s="86"/>
      <c r="U89" s="86"/>
      <c r="V89" s="86"/>
      <c r="W89" s="86"/>
    </row>
    <row r="90" spans="1:23" s="119" customFormat="1">
      <c r="A90" s="9">
        <v>44322</v>
      </c>
      <c r="B90" s="91" t="s">
        <v>43</v>
      </c>
      <c r="C90" s="123" t="s">
        <v>4090</v>
      </c>
      <c r="D90" s="673" t="s">
        <v>4091</v>
      </c>
      <c r="E90" s="674" t="s">
        <v>4092</v>
      </c>
      <c r="F90" s="674" t="s">
        <v>4093</v>
      </c>
      <c r="G90" s="30">
        <v>1</v>
      </c>
      <c r="H90" s="86">
        <v>73500</v>
      </c>
      <c r="I90" s="86">
        <f t="shared" si="4"/>
        <v>73500</v>
      </c>
      <c r="J90" s="86"/>
      <c r="K90" s="86">
        <f t="shared" si="5"/>
        <v>73500</v>
      </c>
      <c r="L90" s="86"/>
      <c r="M90" s="86">
        <v>-4116</v>
      </c>
      <c r="N90" s="86">
        <f t="shared" si="6"/>
        <v>69384</v>
      </c>
      <c r="O90" s="91" t="s">
        <v>43</v>
      </c>
      <c r="P90" s="585"/>
      <c r="Q90" s="91" t="s">
        <v>176</v>
      </c>
      <c r="R90" s="86"/>
      <c r="S90" s="86"/>
      <c r="T90" s="86"/>
      <c r="U90" s="86"/>
      <c r="V90" s="86"/>
      <c r="W90" s="86"/>
    </row>
    <row r="91" spans="1:23" s="119" customFormat="1">
      <c r="A91" s="9">
        <v>44322</v>
      </c>
      <c r="B91" s="91" t="s">
        <v>43</v>
      </c>
      <c r="C91" s="123" t="s">
        <v>4094</v>
      </c>
      <c r="D91" s="673" t="s">
        <v>4095</v>
      </c>
      <c r="E91" s="674" t="s">
        <v>166</v>
      </c>
      <c r="F91" s="674" t="s">
        <v>167</v>
      </c>
      <c r="G91" s="30">
        <v>1</v>
      </c>
      <c r="H91" s="86">
        <v>48500</v>
      </c>
      <c r="I91" s="86">
        <f t="shared" si="4"/>
        <v>48500</v>
      </c>
      <c r="J91" s="86"/>
      <c r="K91" s="86">
        <f t="shared" si="5"/>
        <v>48500</v>
      </c>
      <c r="L91" s="86"/>
      <c r="M91" s="86">
        <v>-2716</v>
      </c>
      <c r="N91" s="86">
        <f t="shared" si="6"/>
        <v>45784</v>
      </c>
      <c r="O91" s="91" t="s">
        <v>43</v>
      </c>
      <c r="P91" s="649"/>
      <c r="Q91" s="91" t="s">
        <v>176</v>
      </c>
      <c r="R91" s="86"/>
      <c r="S91" s="642"/>
      <c r="T91" s="86"/>
      <c r="U91" s="86"/>
      <c r="V91" s="86"/>
      <c r="W91" s="86"/>
    </row>
    <row r="92" spans="1:23" s="119" customFormat="1">
      <c r="A92" s="9">
        <v>44322</v>
      </c>
      <c r="B92" s="91" t="s">
        <v>177</v>
      </c>
      <c r="C92" s="91" t="s">
        <v>4096</v>
      </c>
      <c r="D92" s="673" t="s">
        <v>4097</v>
      </c>
      <c r="E92" s="674" t="s">
        <v>4098</v>
      </c>
      <c r="F92" s="674" t="s">
        <v>4099</v>
      </c>
      <c r="G92" s="30">
        <v>1</v>
      </c>
      <c r="H92" s="86">
        <v>65000</v>
      </c>
      <c r="I92" s="86">
        <f t="shared" si="4"/>
        <v>65000</v>
      </c>
      <c r="J92" s="86"/>
      <c r="K92" s="86">
        <f t="shared" si="5"/>
        <v>65000</v>
      </c>
      <c r="L92" s="86">
        <v>8000</v>
      </c>
      <c r="M92" s="86"/>
      <c r="N92" s="86">
        <f t="shared" si="6"/>
        <v>73000</v>
      </c>
      <c r="O92" s="91" t="s">
        <v>177</v>
      </c>
      <c r="P92" s="649"/>
      <c r="Q92" s="91" t="s">
        <v>54</v>
      </c>
      <c r="R92" s="86"/>
      <c r="S92" s="642"/>
      <c r="T92" s="86"/>
      <c r="U92" s="86"/>
      <c r="V92" s="86"/>
      <c r="W92" s="86"/>
    </row>
    <row r="93" spans="1:23" s="119" customFormat="1">
      <c r="A93" s="9">
        <v>44322</v>
      </c>
      <c r="B93" s="91" t="s">
        <v>313</v>
      </c>
      <c r="C93" s="123" t="s">
        <v>4100</v>
      </c>
      <c r="D93" s="673" t="s">
        <v>4101</v>
      </c>
      <c r="E93" s="674" t="s">
        <v>2820</v>
      </c>
      <c r="F93" s="674" t="s">
        <v>2821</v>
      </c>
      <c r="G93" s="30">
        <v>1</v>
      </c>
      <c r="H93" s="86">
        <v>340000</v>
      </c>
      <c r="I93" s="86">
        <f t="shared" si="4"/>
        <v>340000</v>
      </c>
      <c r="J93" s="86">
        <f>I93*20%</f>
        <v>68000</v>
      </c>
      <c r="K93" s="86">
        <f t="shared" si="5"/>
        <v>272000</v>
      </c>
      <c r="L93" s="86">
        <v>14002</v>
      </c>
      <c r="M93" s="86"/>
      <c r="N93" s="86">
        <f t="shared" si="6"/>
        <v>286002</v>
      </c>
      <c r="O93" s="91" t="s">
        <v>313</v>
      </c>
      <c r="P93" s="649"/>
      <c r="Q93" s="91" t="s">
        <v>40</v>
      </c>
      <c r="R93" s="86"/>
      <c r="S93" s="686"/>
      <c r="T93" s="86"/>
      <c r="U93" s="86"/>
      <c r="V93" s="86"/>
      <c r="W93" s="86"/>
    </row>
    <row r="94" spans="1:23" s="119" customFormat="1">
      <c r="A94" s="9">
        <v>44322</v>
      </c>
      <c r="B94" s="91" t="s">
        <v>4102</v>
      </c>
      <c r="C94" s="123" t="s">
        <v>4103</v>
      </c>
      <c r="D94" s="673" t="s">
        <v>4104</v>
      </c>
      <c r="E94" s="674" t="s">
        <v>4105</v>
      </c>
      <c r="F94" s="674" t="s">
        <v>4106</v>
      </c>
      <c r="G94" s="30">
        <v>1</v>
      </c>
      <c r="H94" s="86">
        <v>70000</v>
      </c>
      <c r="I94" s="86">
        <f t="shared" si="4"/>
        <v>70000</v>
      </c>
      <c r="J94" s="86"/>
      <c r="K94" s="86">
        <f t="shared" si="5"/>
        <v>70000</v>
      </c>
      <c r="L94" s="86">
        <f>11000-11000</f>
        <v>0</v>
      </c>
      <c r="M94" s="86">
        <v>-350</v>
      </c>
      <c r="N94" s="86">
        <f t="shared" si="6"/>
        <v>69650</v>
      </c>
      <c r="O94" s="91" t="s">
        <v>4102</v>
      </c>
      <c r="P94" s="649"/>
      <c r="Q94" s="10" t="s">
        <v>54</v>
      </c>
      <c r="R94" s="86"/>
      <c r="S94" s="642"/>
      <c r="T94" s="86"/>
      <c r="U94" s="86"/>
      <c r="V94" s="86"/>
      <c r="W94" s="86"/>
    </row>
    <row r="95" spans="1:23" s="119" customFormat="1">
      <c r="A95" s="9">
        <v>44322</v>
      </c>
      <c r="B95" s="91" t="s">
        <v>23</v>
      </c>
      <c r="C95" s="91" t="s">
        <v>4107</v>
      </c>
      <c r="D95" s="673" t="s">
        <v>4108</v>
      </c>
      <c r="E95" s="674" t="s">
        <v>4109</v>
      </c>
      <c r="F95" s="674" t="s">
        <v>4110</v>
      </c>
      <c r="G95" s="30">
        <v>6</v>
      </c>
      <c r="H95" s="86">
        <v>78000</v>
      </c>
      <c r="I95" s="86">
        <f t="shared" si="4"/>
        <v>468000</v>
      </c>
      <c r="J95" s="86">
        <f>I95*20%</f>
        <v>93600</v>
      </c>
      <c r="K95" s="86">
        <f t="shared" si="5"/>
        <v>374400</v>
      </c>
      <c r="L95" s="86">
        <v>111000</v>
      </c>
      <c r="M95" s="86"/>
      <c r="N95" s="86">
        <f t="shared" si="6"/>
        <v>485400</v>
      </c>
      <c r="O95" s="91" t="s">
        <v>23</v>
      </c>
      <c r="P95" s="685"/>
      <c r="Q95" s="91" t="s">
        <v>54</v>
      </c>
      <c r="R95" s="86"/>
      <c r="S95" s="687"/>
      <c r="T95" s="86"/>
      <c r="U95" s="86"/>
      <c r="V95" s="86"/>
      <c r="W95" s="86"/>
    </row>
    <row r="96" spans="1:23" s="119" customFormat="1">
      <c r="A96" s="9">
        <v>44322</v>
      </c>
      <c r="B96" s="91" t="s">
        <v>23</v>
      </c>
      <c r="C96" s="91" t="s">
        <v>4107</v>
      </c>
      <c r="D96" s="673" t="s">
        <v>4108</v>
      </c>
      <c r="E96" s="674" t="s">
        <v>2312</v>
      </c>
      <c r="F96" s="674" t="s">
        <v>2313</v>
      </c>
      <c r="G96" s="30">
        <v>6</v>
      </c>
      <c r="H96" s="86">
        <v>86000</v>
      </c>
      <c r="I96" s="86">
        <f t="shared" si="4"/>
        <v>516000</v>
      </c>
      <c r="J96" s="86">
        <f>I96*20%</f>
        <v>103200</v>
      </c>
      <c r="K96" s="86">
        <f t="shared" si="5"/>
        <v>412800</v>
      </c>
      <c r="L96" s="86"/>
      <c r="M96" s="86"/>
      <c r="N96" s="86">
        <f t="shared" si="6"/>
        <v>412800</v>
      </c>
      <c r="O96" s="91" t="s">
        <v>23</v>
      </c>
      <c r="P96" s="685"/>
      <c r="Q96" s="91" t="s">
        <v>54</v>
      </c>
      <c r="R96" s="86"/>
      <c r="S96" s="642"/>
      <c r="T96" s="86"/>
      <c r="U96" s="86"/>
      <c r="V96" s="86"/>
      <c r="W96" s="86"/>
    </row>
    <row r="97" spans="1:23" s="119" customFormat="1">
      <c r="A97" s="9">
        <v>44322</v>
      </c>
      <c r="B97" s="91" t="s">
        <v>23</v>
      </c>
      <c r="C97" s="91" t="s">
        <v>4111</v>
      </c>
      <c r="D97" s="673" t="s">
        <v>4112</v>
      </c>
      <c r="E97" s="674" t="s">
        <v>4113</v>
      </c>
      <c r="F97" s="674" t="s">
        <v>4114</v>
      </c>
      <c r="G97" s="30">
        <v>1</v>
      </c>
      <c r="H97" s="86">
        <v>96000</v>
      </c>
      <c r="I97" s="86">
        <f t="shared" si="4"/>
        <v>96000</v>
      </c>
      <c r="J97" s="86"/>
      <c r="K97" s="86">
        <f t="shared" si="5"/>
        <v>96000</v>
      </c>
      <c r="L97" s="86">
        <v>19000</v>
      </c>
      <c r="M97" s="86"/>
      <c r="N97" s="86">
        <f t="shared" si="6"/>
        <v>115000</v>
      </c>
      <c r="O97" s="91" t="s">
        <v>23</v>
      </c>
      <c r="P97" s="649"/>
      <c r="Q97" s="91" t="s">
        <v>54</v>
      </c>
      <c r="R97" s="86"/>
      <c r="S97" s="642"/>
      <c r="T97" s="86"/>
      <c r="U97" s="86"/>
      <c r="V97" s="86"/>
      <c r="W97" s="86"/>
    </row>
    <row r="98" spans="1:23" s="119" customFormat="1">
      <c r="A98" s="9">
        <v>44323</v>
      </c>
      <c r="B98" s="91" t="s">
        <v>43</v>
      </c>
      <c r="C98" s="123" t="s">
        <v>4115</v>
      </c>
      <c r="D98" s="673" t="s">
        <v>4116</v>
      </c>
      <c r="E98" s="674" t="s">
        <v>579</v>
      </c>
      <c r="F98" s="674" t="s">
        <v>72</v>
      </c>
      <c r="G98" s="30">
        <v>1</v>
      </c>
      <c r="H98" s="86">
        <v>108000</v>
      </c>
      <c r="I98" s="86">
        <f t="shared" si="4"/>
        <v>108000</v>
      </c>
      <c r="J98" s="86"/>
      <c r="K98" s="86">
        <f t="shared" si="5"/>
        <v>108000</v>
      </c>
      <c r="L98" s="86">
        <v>57000</v>
      </c>
      <c r="M98" s="86">
        <v>-6048</v>
      </c>
      <c r="N98" s="86">
        <f t="shared" si="6"/>
        <v>158952</v>
      </c>
      <c r="O98" s="91" t="s">
        <v>43</v>
      </c>
      <c r="P98" s="86"/>
      <c r="Q98" s="91" t="s">
        <v>54</v>
      </c>
      <c r="R98" s="86"/>
      <c r="S98" s="86"/>
      <c r="T98" s="86"/>
      <c r="U98" s="86"/>
      <c r="V98" s="86"/>
      <c r="W98" s="86"/>
    </row>
    <row r="99" spans="1:23" s="119" customFormat="1">
      <c r="A99" s="9">
        <v>44323</v>
      </c>
      <c r="B99" s="91" t="s">
        <v>43</v>
      </c>
      <c r="C99" s="91" t="s">
        <v>4117</v>
      </c>
      <c r="D99" s="673" t="s">
        <v>4118</v>
      </c>
      <c r="E99" s="674" t="s">
        <v>949</v>
      </c>
      <c r="F99" s="674" t="s">
        <v>950</v>
      </c>
      <c r="G99" s="30">
        <v>1</v>
      </c>
      <c r="H99" s="86">
        <v>70000</v>
      </c>
      <c r="I99" s="86">
        <f t="shared" si="4"/>
        <v>70000</v>
      </c>
      <c r="J99" s="86"/>
      <c r="K99" s="86">
        <f t="shared" si="5"/>
        <v>70000</v>
      </c>
      <c r="L99" s="86"/>
      <c r="M99" s="86">
        <v>-3920</v>
      </c>
      <c r="N99" s="86">
        <f t="shared" si="6"/>
        <v>66080</v>
      </c>
      <c r="O99" s="91" t="s">
        <v>43</v>
      </c>
      <c r="P99" s="649"/>
      <c r="Q99" s="91" t="s">
        <v>54</v>
      </c>
      <c r="R99" s="86"/>
      <c r="S99" s="642"/>
      <c r="T99" s="86"/>
      <c r="U99" s="86"/>
      <c r="V99" s="86"/>
      <c r="W99" s="86"/>
    </row>
    <row r="100" spans="1:23" s="119" customFormat="1">
      <c r="A100" s="9">
        <v>44323</v>
      </c>
      <c r="B100" s="91" t="s">
        <v>23</v>
      </c>
      <c r="C100" s="123" t="s">
        <v>4119</v>
      </c>
      <c r="D100" s="673" t="s">
        <v>4120</v>
      </c>
      <c r="E100" s="674" t="s">
        <v>4121</v>
      </c>
      <c r="F100" s="674" t="s">
        <v>4122</v>
      </c>
      <c r="G100" s="30">
        <v>1</v>
      </c>
      <c r="H100" s="86">
        <v>119000</v>
      </c>
      <c r="I100" s="86">
        <f t="shared" si="4"/>
        <v>119000</v>
      </c>
      <c r="J100" s="86"/>
      <c r="K100" s="86">
        <f t="shared" si="5"/>
        <v>119000</v>
      </c>
      <c r="L100" s="86">
        <v>68000</v>
      </c>
      <c r="M100" s="86"/>
      <c r="N100" s="86">
        <f t="shared" si="6"/>
        <v>187000</v>
      </c>
      <c r="O100" s="91" t="s">
        <v>23</v>
      </c>
      <c r="P100" s="649"/>
      <c r="Q100" s="91" t="s">
        <v>54</v>
      </c>
      <c r="R100" s="86"/>
      <c r="S100" s="642"/>
      <c r="T100" s="86"/>
      <c r="U100" s="86"/>
      <c r="V100" s="86"/>
      <c r="W100" s="86"/>
    </row>
    <row r="101" spans="1:23" s="119" customFormat="1">
      <c r="A101" s="9">
        <v>44323</v>
      </c>
      <c r="B101" s="91" t="s">
        <v>313</v>
      </c>
      <c r="C101" s="123" t="s">
        <v>4123</v>
      </c>
      <c r="D101" s="673" t="s">
        <v>4124</v>
      </c>
      <c r="E101" s="674" t="s">
        <v>3909</v>
      </c>
      <c r="F101" s="674" t="s">
        <v>3910</v>
      </c>
      <c r="G101" s="30">
        <v>1</v>
      </c>
      <c r="H101" s="86">
        <v>97500</v>
      </c>
      <c r="I101" s="86">
        <f t="shared" si="4"/>
        <v>97500</v>
      </c>
      <c r="J101" s="86"/>
      <c r="K101" s="86">
        <f t="shared" si="5"/>
        <v>97500</v>
      </c>
      <c r="L101" s="86">
        <v>16013</v>
      </c>
      <c r="M101" s="86"/>
      <c r="N101" s="86">
        <f t="shared" si="6"/>
        <v>113513</v>
      </c>
      <c r="O101" s="91" t="s">
        <v>313</v>
      </c>
      <c r="P101" s="86"/>
      <c r="Q101" s="91" t="s">
        <v>40</v>
      </c>
      <c r="R101" s="86"/>
      <c r="S101" s="86"/>
      <c r="T101" s="86"/>
      <c r="U101" s="86"/>
      <c r="V101" s="86"/>
      <c r="W101" s="86"/>
    </row>
    <row r="102" spans="1:23" s="119" customFormat="1">
      <c r="A102" s="9">
        <v>44323</v>
      </c>
      <c r="B102" s="91" t="s">
        <v>170</v>
      </c>
      <c r="C102" s="91" t="s">
        <v>4125</v>
      </c>
      <c r="D102" s="673" t="s">
        <v>4126</v>
      </c>
      <c r="E102" s="674" t="s">
        <v>985</v>
      </c>
      <c r="F102" s="674" t="s">
        <v>79</v>
      </c>
      <c r="G102" s="645">
        <v>1</v>
      </c>
      <c r="H102" s="86">
        <v>109500</v>
      </c>
      <c r="I102" s="86">
        <f t="shared" si="4"/>
        <v>109500</v>
      </c>
      <c r="J102" s="86"/>
      <c r="K102" s="86">
        <f t="shared" si="5"/>
        <v>109500</v>
      </c>
      <c r="L102" s="86">
        <f>20000-21000</f>
        <v>-1000</v>
      </c>
      <c r="M102" s="86"/>
      <c r="N102" s="86">
        <f t="shared" si="6"/>
        <v>108500</v>
      </c>
      <c r="O102" s="91" t="s">
        <v>170</v>
      </c>
      <c r="P102" s="86"/>
      <c r="Q102" s="91" t="s">
        <v>478</v>
      </c>
      <c r="R102" s="86"/>
      <c r="S102" s="86"/>
      <c r="T102" s="86"/>
      <c r="U102" s="86"/>
      <c r="V102" s="86"/>
      <c r="W102" s="86"/>
    </row>
    <row r="103" spans="1:23" s="119" customFormat="1">
      <c r="A103" s="9">
        <v>44323</v>
      </c>
      <c r="B103" s="91" t="s">
        <v>23</v>
      </c>
      <c r="C103" s="91" t="s">
        <v>431</v>
      </c>
      <c r="D103" s="673" t="s">
        <v>31</v>
      </c>
      <c r="E103" s="674" t="s">
        <v>1514</v>
      </c>
      <c r="F103" s="674" t="s">
        <v>1515</v>
      </c>
      <c r="G103" s="30">
        <v>1</v>
      </c>
      <c r="H103" s="86">
        <v>84000</v>
      </c>
      <c r="I103" s="86">
        <f t="shared" si="4"/>
        <v>84000</v>
      </c>
      <c r="J103" s="86">
        <f>I103*25%+40000</f>
        <v>61000</v>
      </c>
      <c r="K103" s="320">
        <f t="shared" si="5"/>
        <v>23000</v>
      </c>
      <c r="L103" s="86"/>
      <c r="N103" s="86">
        <f t="shared" si="6"/>
        <v>23000</v>
      </c>
      <c r="O103" s="91" t="s">
        <v>23</v>
      </c>
      <c r="P103" s="649"/>
      <c r="Q103" s="91" t="s">
        <v>35</v>
      </c>
      <c r="R103" s="86"/>
      <c r="S103" s="642"/>
      <c r="T103" s="86"/>
      <c r="U103" s="86"/>
      <c r="V103" s="86"/>
      <c r="W103" s="86"/>
    </row>
    <row r="104" spans="1:23" s="119" customFormat="1" ht="15.6">
      <c r="A104" s="9">
        <v>44323</v>
      </c>
      <c r="B104" s="91" t="s">
        <v>23</v>
      </c>
      <c r="C104" s="91" t="s">
        <v>431</v>
      </c>
      <c r="D104" s="673" t="s">
        <v>31</v>
      </c>
      <c r="E104" s="674" t="s">
        <v>3845</v>
      </c>
      <c r="F104" s="674" t="s">
        <v>3846</v>
      </c>
      <c r="G104" s="30">
        <v>1</v>
      </c>
      <c r="H104" s="86">
        <v>99500</v>
      </c>
      <c r="I104" s="86">
        <f t="shared" si="4"/>
        <v>99500</v>
      </c>
      <c r="J104" s="86">
        <f>I104*25%</f>
        <v>24875</v>
      </c>
      <c r="K104" s="320">
        <f t="shared" si="5"/>
        <v>74625</v>
      </c>
      <c r="L104" s="86"/>
      <c r="M104" s="86"/>
      <c r="N104" s="86">
        <f t="shared" si="6"/>
        <v>74625</v>
      </c>
      <c r="O104" s="91" t="s">
        <v>23</v>
      </c>
      <c r="P104" s="649"/>
      <c r="Q104" s="91" t="s">
        <v>35</v>
      </c>
      <c r="R104" s="86"/>
      <c r="S104" s="679"/>
      <c r="T104" s="86"/>
      <c r="U104" s="86"/>
      <c r="V104" s="86"/>
      <c r="W104" s="86"/>
    </row>
    <row r="105" spans="1:23" s="119" customFormat="1">
      <c r="A105" s="9">
        <v>44323</v>
      </c>
      <c r="B105" s="91" t="s">
        <v>23</v>
      </c>
      <c r="C105" s="123" t="s">
        <v>4127</v>
      </c>
      <c r="D105" s="673" t="s">
        <v>4128</v>
      </c>
      <c r="E105" s="674" t="s">
        <v>2867</v>
      </c>
      <c r="F105" s="674" t="s">
        <v>2868</v>
      </c>
      <c r="G105" s="30">
        <v>1</v>
      </c>
      <c r="H105" s="86">
        <v>166000</v>
      </c>
      <c r="I105" s="86">
        <f t="shared" si="4"/>
        <v>166000</v>
      </c>
      <c r="J105" s="86"/>
      <c r="K105" s="320">
        <f t="shared" si="5"/>
        <v>166000</v>
      </c>
      <c r="L105" s="86">
        <v>23000</v>
      </c>
      <c r="M105" s="86"/>
      <c r="N105" s="86">
        <f t="shared" si="6"/>
        <v>189000</v>
      </c>
      <c r="O105" s="91" t="s">
        <v>23</v>
      </c>
      <c r="P105" s="649"/>
      <c r="Q105" s="91" t="s">
        <v>54</v>
      </c>
      <c r="R105" s="86"/>
      <c r="S105" s="642"/>
      <c r="T105" s="86"/>
      <c r="U105" s="86"/>
      <c r="V105" s="86"/>
      <c r="W105" s="86"/>
    </row>
    <row r="106" spans="1:23" s="119" customFormat="1">
      <c r="A106" s="9">
        <v>44323</v>
      </c>
      <c r="B106" s="91" t="s">
        <v>43</v>
      </c>
      <c r="C106" s="123" t="s">
        <v>4129</v>
      </c>
      <c r="D106" s="673" t="s">
        <v>4130</v>
      </c>
      <c r="E106" s="674" t="s">
        <v>252</v>
      </c>
      <c r="F106" s="674" t="s">
        <v>253</v>
      </c>
      <c r="G106" s="30">
        <v>1</v>
      </c>
      <c r="H106" s="86">
        <v>82500</v>
      </c>
      <c r="I106" s="86">
        <f t="shared" si="4"/>
        <v>82500</v>
      </c>
      <c r="J106" s="86"/>
      <c r="K106" s="320">
        <f t="shared" si="5"/>
        <v>82500</v>
      </c>
      <c r="L106" s="86"/>
      <c r="M106" s="86">
        <v>-4620</v>
      </c>
      <c r="N106" s="86">
        <f t="shared" si="6"/>
        <v>77880</v>
      </c>
      <c r="O106" s="91" t="s">
        <v>43</v>
      </c>
      <c r="P106" s="649"/>
      <c r="Q106" s="91" t="s">
        <v>54</v>
      </c>
      <c r="R106" s="86"/>
      <c r="S106" s="642"/>
      <c r="T106" s="86"/>
      <c r="U106" s="86"/>
      <c r="V106" s="86"/>
      <c r="W106" s="86"/>
    </row>
    <row r="107" spans="1:23" s="119" customFormat="1">
      <c r="A107" s="9">
        <v>44323</v>
      </c>
      <c r="B107" s="91" t="s">
        <v>23</v>
      </c>
      <c r="C107" s="91" t="s">
        <v>4131</v>
      </c>
      <c r="D107" s="673" t="s">
        <v>4132</v>
      </c>
      <c r="E107" s="674" t="s">
        <v>4133</v>
      </c>
      <c r="F107" s="674" t="s">
        <v>4134</v>
      </c>
      <c r="G107" s="30">
        <v>1</v>
      </c>
      <c r="H107" s="86">
        <v>106500</v>
      </c>
      <c r="I107" s="86">
        <f t="shared" si="4"/>
        <v>106500</v>
      </c>
      <c r="K107" s="320">
        <f t="shared" si="5"/>
        <v>106500</v>
      </c>
      <c r="L107" s="86">
        <v>30000</v>
      </c>
      <c r="M107" s="86"/>
      <c r="N107" s="86">
        <f t="shared" si="6"/>
        <v>136500</v>
      </c>
      <c r="O107" s="91" t="s">
        <v>23</v>
      </c>
      <c r="P107" s="649"/>
      <c r="Q107" s="10" t="s">
        <v>54</v>
      </c>
      <c r="R107" s="86"/>
      <c r="S107" s="642"/>
      <c r="T107" s="86"/>
      <c r="U107" s="86"/>
      <c r="V107" s="86"/>
      <c r="W107" s="86"/>
    </row>
    <row r="108" spans="1:23">
      <c r="G108">
        <f>SUM(G2:G107)</f>
        <v>124</v>
      </c>
      <c r="K108" s="320">
        <f>SUM(K2:K107)</f>
        <v>14385950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X255"/>
  <sheetViews>
    <sheetView topLeftCell="A140" workbookViewId="0">
      <selection activeCell="D216" sqref="D216"/>
    </sheetView>
  </sheetViews>
  <sheetFormatPr defaultColWidth="9.109375" defaultRowHeight="14.4"/>
  <cols>
    <col min="1" max="6" width="9.109375" style="364"/>
    <col min="7" max="7" width="16.33203125" style="364" bestFit="1" customWidth="1"/>
    <col min="8" max="8" width="10" style="364" bestFit="1" customWidth="1"/>
    <col min="9" max="16384" width="9.109375" style="364"/>
  </cols>
  <sheetData>
    <row r="1" spans="1:24" s="705" customFormat="1">
      <c r="A1" s="411" t="s">
        <v>0</v>
      </c>
      <c r="B1" s="417" t="s">
        <v>1</v>
      </c>
      <c r="C1" s="417" t="s">
        <v>2</v>
      </c>
      <c r="D1" s="709" t="s">
        <v>3</v>
      </c>
      <c r="E1" s="417" t="s">
        <v>4</v>
      </c>
      <c r="F1" s="417" t="s">
        <v>5</v>
      </c>
      <c r="G1" s="414" t="s">
        <v>4668</v>
      </c>
      <c r="H1" s="417" t="s">
        <v>7</v>
      </c>
      <c r="I1" s="415" t="s">
        <v>8</v>
      </c>
      <c r="J1" s="417" t="s">
        <v>9</v>
      </c>
      <c r="K1" s="417" t="s">
        <v>10</v>
      </c>
      <c r="L1" s="417" t="s">
        <v>11</v>
      </c>
      <c r="M1" s="417" t="s">
        <v>12</v>
      </c>
      <c r="N1" s="417" t="s">
        <v>13</v>
      </c>
      <c r="O1" s="417" t="s">
        <v>14</v>
      </c>
      <c r="P1" s="710" t="s">
        <v>15</v>
      </c>
      <c r="Q1" s="417" t="s">
        <v>16</v>
      </c>
      <c r="R1" s="417" t="s">
        <v>17</v>
      </c>
      <c r="S1" s="417" t="s">
        <v>18</v>
      </c>
      <c r="T1" s="417" t="s">
        <v>19</v>
      </c>
      <c r="U1" s="417" t="s">
        <v>20</v>
      </c>
      <c r="V1" s="417" t="s">
        <v>21</v>
      </c>
      <c r="W1" s="417" t="s">
        <v>22</v>
      </c>
    </row>
    <row r="2" spans="1:24" s="119" customFormat="1" hidden="1">
      <c r="A2" s="9">
        <v>44340</v>
      </c>
      <c r="B2" s="91" t="s">
        <v>43</v>
      </c>
      <c r="C2" s="91" t="s">
        <v>4135</v>
      </c>
      <c r="D2" s="642" t="s">
        <v>4136</v>
      </c>
      <c r="E2" s="712" t="s">
        <v>3035</v>
      </c>
      <c r="F2" s="712" t="s">
        <v>3036</v>
      </c>
      <c r="G2" s="30">
        <v>1</v>
      </c>
      <c r="H2" s="713">
        <v>84000</v>
      </c>
      <c r="I2" s="713">
        <f t="shared" ref="I2:I33" si="0">G2*H2</f>
        <v>84000</v>
      </c>
      <c r="J2" s="713"/>
      <c r="K2" s="713">
        <f t="shared" ref="K2:K33" si="1">I2-J2</f>
        <v>84000</v>
      </c>
      <c r="L2" s="713"/>
      <c r="M2" s="713">
        <v>-4704</v>
      </c>
      <c r="N2" s="713">
        <f t="shared" ref="N2:N33" si="2">K2+L2+M2</f>
        <v>79296</v>
      </c>
      <c r="O2" s="91" t="s">
        <v>43</v>
      </c>
      <c r="P2" s="649"/>
      <c r="Q2" s="91" t="s">
        <v>176</v>
      </c>
      <c r="R2" s="713"/>
      <c r="S2" s="642"/>
      <c r="T2" s="713"/>
      <c r="U2" s="713"/>
      <c r="V2" s="713"/>
      <c r="W2" s="713"/>
      <c r="X2" s="86"/>
    </row>
    <row r="3" spans="1:24" s="119" customFormat="1" hidden="1">
      <c r="A3" s="9">
        <v>44340</v>
      </c>
      <c r="B3" s="91" t="s">
        <v>43</v>
      </c>
      <c r="C3" s="123" t="s">
        <v>4137</v>
      </c>
      <c r="D3" s="642" t="s">
        <v>4138</v>
      </c>
      <c r="E3" s="712" t="s">
        <v>152</v>
      </c>
      <c r="F3" s="712" t="s">
        <v>153</v>
      </c>
      <c r="G3" s="30">
        <v>1</v>
      </c>
      <c r="H3" s="713">
        <v>62500</v>
      </c>
      <c r="I3" s="713">
        <f t="shared" si="0"/>
        <v>62500</v>
      </c>
      <c r="J3" s="713"/>
      <c r="K3" s="713">
        <f t="shared" si="1"/>
        <v>62500</v>
      </c>
      <c r="L3" s="713"/>
      <c r="M3" s="713">
        <v>-3500</v>
      </c>
      <c r="N3" s="713">
        <f t="shared" si="2"/>
        <v>59000</v>
      </c>
      <c r="O3" s="91" t="s">
        <v>43</v>
      </c>
      <c r="P3" s="663"/>
      <c r="Q3" s="91" t="s">
        <v>176</v>
      </c>
      <c r="R3" s="713"/>
      <c r="S3" s="642"/>
      <c r="T3" s="713"/>
      <c r="U3" s="713"/>
      <c r="V3" s="713"/>
      <c r="W3" s="713"/>
      <c r="X3" s="86"/>
    </row>
    <row r="4" spans="1:24" s="119" customFormat="1" hidden="1">
      <c r="A4" s="9">
        <v>44340</v>
      </c>
      <c r="B4" s="91" t="s">
        <v>43</v>
      </c>
      <c r="C4" s="91" t="s">
        <v>4139</v>
      </c>
      <c r="D4" s="642" t="s">
        <v>4140</v>
      </c>
      <c r="E4" s="712" t="s">
        <v>1116</v>
      </c>
      <c r="F4" s="712" t="s">
        <v>1117</v>
      </c>
      <c r="G4" s="30">
        <v>1</v>
      </c>
      <c r="H4" s="713">
        <v>92000</v>
      </c>
      <c r="I4" s="713">
        <f t="shared" si="0"/>
        <v>92000</v>
      </c>
      <c r="J4" s="713"/>
      <c r="K4" s="713">
        <f t="shared" si="1"/>
        <v>92000</v>
      </c>
      <c r="L4" s="713"/>
      <c r="M4" s="713">
        <v>-5152</v>
      </c>
      <c r="N4" s="713">
        <f t="shared" si="2"/>
        <v>86848</v>
      </c>
      <c r="O4" s="91" t="s">
        <v>43</v>
      </c>
      <c r="P4" s="171"/>
      <c r="Q4" s="91" t="s">
        <v>176</v>
      </c>
      <c r="R4" s="713"/>
      <c r="S4" s="171"/>
      <c r="T4" s="713"/>
      <c r="U4" s="713"/>
      <c r="V4" s="713"/>
      <c r="W4" s="713"/>
      <c r="X4" s="86"/>
    </row>
    <row r="5" spans="1:24" s="119" customFormat="1" hidden="1">
      <c r="A5" s="9">
        <v>44340</v>
      </c>
      <c r="B5" s="91" t="s">
        <v>206</v>
      </c>
      <c r="C5" s="123" t="s">
        <v>4141</v>
      </c>
      <c r="D5" s="642" t="s">
        <v>4142</v>
      </c>
      <c r="E5" s="712" t="s">
        <v>3992</v>
      </c>
      <c r="F5" s="712" t="s">
        <v>3993</v>
      </c>
      <c r="G5" s="30">
        <v>1</v>
      </c>
      <c r="H5" s="713">
        <v>96500</v>
      </c>
      <c r="I5" s="713">
        <f t="shared" si="0"/>
        <v>96500</v>
      </c>
      <c r="J5" s="713"/>
      <c r="K5" s="713">
        <f t="shared" si="1"/>
        <v>96500</v>
      </c>
      <c r="L5" s="713">
        <v>19500</v>
      </c>
      <c r="M5" s="713"/>
      <c r="N5" s="713">
        <f t="shared" si="2"/>
        <v>116000</v>
      </c>
      <c r="O5" s="91" t="s">
        <v>206</v>
      </c>
      <c r="P5" s="647"/>
      <c r="Q5" s="91" t="s">
        <v>54</v>
      </c>
      <c r="R5" s="713"/>
      <c r="S5" s="648"/>
      <c r="T5" s="713"/>
      <c r="U5" s="713"/>
      <c r="V5" s="713"/>
      <c r="W5" s="713"/>
      <c r="X5" s="86"/>
    </row>
    <row r="6" spans="1:24" s="119" customFormat="1" ht="16.8" hidden="1">
      <c r="A6" s="9">
        <v>44340</v>
      </c>
      <c r="B6" s="91" t="s">
        <v>170</v>
      </c>
      <c r="C6" s="91" t="s">
        <v>4143</v>
      </c>
      <c r="D6" s="642" t="s">
        <v>4144</v>
      </c>
      <c r="E6" s="712" t="s">
        <v>4145</v>
      </c>
      <c r="F6" s="712" t="s">
        <v>4146</v>
      </c>
      <c r="G6" s="30">
        <v>1</v>
      </c>
      <c r="H6" s="713">
        <v>76500</v>
      </c>
      <c r="I6" s="713">
        <f t="shared" si="0"/>
        <v>76500</v>
      </c>
      <c r="J6" s="713">
        <f>I6*20%</f>
        <v>15300</v>
      </c>
      <c r="K6" s="713">
        <f t="shared" si="1"/>
        <v>61200</v>
      </c>
      <c r="L6" s="713">
        <f>21000-21000</f>
        <v>0</v>
      </c>
      <c r="M6" s="713">
        <v>-306</v>
      </c>
      <c r="N6" s="713">
        <f t="shared" si="2"/>
        <v>60894</v>
      </c>
      <c r="O6" s="91" t="s">
        <v>170</v>
      </c>
      <c r="P6" s="664"/>
      <c r="Q6" s="91" t="s">
        <v>176</v>
      </c>
      <c r="R6" s="713"/>
      <c r="S6" s="642"/>
      <c r="T6" s="713"/>
      <c r="U6" s="713"/>
      <c r="V6" s="713"/>
      <c r="W6" s="713"/>
      <c r="X6" s="86"/>
    </row>
    <row r="7" spans="1:24" s="119" customFormat="1" hidden="1">
      <c r="A7" s="9">
        <v>44340</v>
      </c>
      <c r="B7" s="91" t="s">
        <v>177</v>
      </c>
      <c r="C7" s="91" t="s">
        <v>4147</v>
      </c>
      <c r="D7" s="642" t="s">
        <v>4148</v>
      </c>
      <c r="E7" s="712" t="s">
        <v>3725</v>
      </c>
      <c r="F7" s="712" t="s">
        <v>3726</v>
      </c>
      <c r="G7" s="30">
        <v>1</v>
      </c>
      <c r="H7" s="713">
        <v>180000</v>
      </c>
      <c r="I7" s="713">
        <f t="shared" si="0"/>
        <v>180000</v>
      </c>
      <c r="J7" s="713"/>
      <c r="K7" s="713">
        <f t="shared" si="1"/>
        <v>180000</v>
      </c>
      <c r="L7" s="713">
        <v>18000</v>
      </c>
      <c r="M7" s="713"/>
      <c r="N7" s="713">
        <f t="shared" si="2"/>
        <v>198000</v>
      </c>
      <c r="O7" s="91" t="s">
        <v>177</v>
      </c>
      <c r="P7" s="649"/>
      <c r="Q7" s="91" t="s">
        <v>54</v>
      </c>
      <c r="R7" s="713"/>
      <c r="S7" s="642"/>
      <c r="T7" s="713"/>
      <c r="U7" s="713"/>
      <c r="V7" s="713"/>
      <c r="W7" s="713"/>
      <c r="X7" s="86"/>
    </row>
    <row r="8" spans="1:24" s="119" customFormat="1" hidden="1">
      <c r="A8" s="9">
        <v>44340</v>
      </c>
      <c r="B8" s="91" t="s">
        <v>177</v>
      </c>
      <c r="C8" s="91" t="s">
        <v>4149</v>
      </c>
      <c r="D8" s="713" t="s">
        <v>4150</v>
      </c>
      <c r="E8" s="712" t="s">
        <v>579</v>
      </c>
      <c r="F8" s="712" t="s">
        <v>72</v>
      </c>
      <c r="G8" s="645">
        <v>1</v>
      </c>
      <c r="H8" s="713">
        <v>108000</v>
      </c>
      <c r="I8" s="713">
        <f t="shared" si="0"/>
        <v>108000</v>
      </c>
      <c r="J8" s="713"/>
      <c r="K8" s="713">
        <f t="shared" si="1"/>
        <v>108000</v>
      </c>
      <c r="L8" s="713">
        <v>9000</v>
      </c>
      <c r="M8" s="713"/>
      <c r="N8" s="713">
        <f t="shared" si="2"/>
        <v>117000</v>
      </c>
      <c r="O8" s="91" t="s">
        <v>177</v>
      </c>
      <c r="P8" s="649"/>
      <c r="Q8" s="91" t="s">
        <v>54</v>
      </c>
      <c r="R8" s="713"/>
      <c r="S8" s="642"/>
      <c r="T8" s="713"/>
      <c r="U8" s="713"/>
      <c r="V8" s="713"/>
      <c r="W8" s="713"/>
      <c r="X8" s="86"/>
    </row>
    <row r="9" spans="1:24" s="119" customFormat="1" hidden="1">
      <c r="A9" s="9">
        <v>44340</v>
      </c>
      <c r="B9" s="91" t="s">
        <v>43</v>
      </c>
      <c r="C9" s="91" t="s">
        <v>4151</v>
      </c>
      <c r="D9" s="713" t="s">
        <v>4152</v>
      </c>
      <c r="E9" s="712" t="s">
        <v>4153</v>
      </c>
      <c r="F9" s="712" t="s">
        <v>4154</v>
      </c>
      <c r="G9" s="30">
        <v>2</v>
      </c>
      <c r="H9" s="713">
        <v>60000</v>
      </c>
      <c r="I9" s="713">
        <f t="shared" si="0"/>
        <v>120000</v>
      </c>
      <c r="J9" s="713"/>
      <c r="K9" s="713">
        <f t="shared" si="1"/>
        <v>120000</v>
      </c>
      <c r="L9" s="713"/>
      <c r="M9" s="713">
        <v>-6720</v>
      </c>
      <c r="N9" s="713">
        <f t="shared" si="2"/>
        <v>113280</v>
      </c>
      <c r="O9" s="91" t="s">
        <v>43</v>
      </c>
      <c r="P9" s="649"/>
      <c r="Q9" s="91" t="s">
        <v>176</v>
      </c>
      <c r="R9" s="713"/>
      <c r="S9" s="642"/>
      <c r="T9" s="713"/>
      <c r="U9" s="713"/>
      <c r="V9" s="713"/>
      <c r="W9" s="713"/>
      <c r="X9" s="86"/>
    </row>
    <row r="10" spans="1:24" s="119" customFormat="1">
      <c r="A10" s="9">
        <v>44340</v>
      </c>
      <c r="B10" s="91" t="s">
        <v>23</v>
      </c>
      <c r="C10" s="91" t="s">
        <v>4155</v>
      </c>
      <c r="D10" s="713" t="s">
        <v>4156</v>
      </c>
      <c r="E10" s="712" t="s">
        <v>38</v>
      </c>
      <c r="F10" s="712" t="s">
        <v>39</v>
      </c>
      <c r="G10" s="30">
        <v>1</v>
      </c>
      <c r="H10" s="713">
        <v>140000</v>
      </c>
      <c r="I10" s="713">
        <f t="shared" si="0"/>
        <v>140000</v>
      </c>
      <c r="J10" s="713"/>
      <c r="K10" s="713">
        <f t="shared" si="1"/>
        <v>140000</v>
      </c>
      <c r="L10" s="713">
        <v>21000</v>
      </c>
      <c r="M10" s="713"/>
      <c r="N10" s="713">
        <f t="shared" si="2"/>
        <v>161000</v>
      </c>
      <c r="O10" s="91" t="s">
        <v>23</v>
      </c>
      <c r="P10" s="713"/>
      <c r="Q10" s="91" t="s">
        <v>40</v>
      </c>
      <c r="R10" s="713"/>
      <c r="S10" s="713"/>
      <c r="T10" s="713"/>
      <c r="U10" s="713"/>
      <c r="V10" s="713"/>
      <c r="W10" s="713"/>
      <c r="X10" s="86"/>
    </row>
    <row r="11" spans="1:24" s="119" customFormat="1">
      <c r="A11" s="9">
        <v>44340</v>
      </c>
      <c r="B11" s="10" t="s">
        <v>23</v>
      </c>
      <c r="C11" s="10" t="s">
        <v>4157</v>
      </c>
      <c r="D11" s="713" t="s">
        <v>4158</v>
      </c>
      <c r="E11" s="712" t="s">
        <v>4159</v>
      </c>
      <c r="F11" s="712" t="s">
        <v>4160</v>
      </c>
      <c r="G11" s="30">
        <v>1</v>
      </c>
      <c r="H11" s="713">
        <v>161000</v>
      </c>
      <c r="I11" s="713">
        <f t="shared" si="0"/>
        <v>161000</v>
      </c>
      <c r="J11" s="713">
        <f>I11*20%</f>
        <v>32200</v>
      </c>
      <c r="K11" s="713">
        <f t="shared" si="1"/>
        <v>128800</v>
      </c>
      <c r="L11" s="713">
        <v>17000</v>
      </c>
      <c r="M11" s="713"/>
      <c r="N11" s="713">
        <f t="shared" si="2"/>
        <v>145800</v>
      </c>
      <c r="O11" s="10" t="s">
        <v>23</v>
      </c>
      <c r="P11" s="652"/>
      <c r="Q11" s="10" t="s">
        <v>40</v>
      </c>
      <c r="R11" s="713"/>
      <c r="S11" s="642"/>
      <c r="T11" s="713"/>
      <c r="U11" s="713"/>
      <c r="V11" s="713"/>
      <c r="W11" s="713"/>
      <c r="X11" s="86"/>
    </row>
    <row r="12" spans="1:24" s="119" customFormat="1" ht="16.8" hidden="1">
      <c r="A12" s="9">
        <v>44341</v>
      </c>
      <c r="B12" s="91" t="s">
        <v>313</v>
      </c>
      <c r="C12" s="123" t="s">
        <v>4161</v>
      </c>
      <c r="D12" s="713" t="s">
        <v>4162</v>
      </c>
      <c r="E12" s="712" t="s">
        <v>4163</v>
      </c>
      <c r="F12" s="712" t="s">
        <v>1291</v>
      </c>
      <c r="G12" s="30">
        <v>1</v>
      </c>
      <c r="H12" s="713">
        <v>85000</v>
      </c>
      <c r="I12" s="713">
        <f t="shared" si="0"/>
        <v>85000</v>
      </c>
      <c r="J12" s="713"/>
      <c r="K12" s="713">
        <f t="shared" si="1"/>
        <v>85000</v>
      </c>
      <c r="L12" s="713">
        <v>15088</v>
      </c>
      <c r="M12" s="713"/>
      <c r="N12" s="713">
        <f t="shared" si="2"/>
        <v>100088</v>
      </c>
      <c r="O12" s="91" t="s">
        <v>313</v>
      </c>
      <c r="P12" s="664"/>
      <c r="Q12" s="91" t="s">
        <v>40</v>
      </c>
      <c r="R12" s="713"/>
      <c r="S12" s="642"/>
      <c r="T12" s="713"/>
      <c r="U12" s="713"/>
      <c r="V12" s="713"/>
      <c r="W12" s="713"/>
      <c r="X12" s="86"/>
    </row>
    <row r="13" spans="1:24" s="119" customFormat="1" hidden="1">
      <c r="A13" s="9">
        <v>44341</v>
      </c>
      <c r="B13" s="91" t="s">
        <v>313</v>
      </c>
      <c r="C13" s="123" t="s">
        <v>2062</v>
      </c>
      <c r="D13" s="713" t="s">
        <v>4164</v>
      </c>
      <c r="E13" s="714" t="s">
        <v>4165</v>
      </c>
      <c r="F13" s="714" t="s">
        <v>4166</v>
      </c>
      <c r="G13" s="30">
        <v>1</v>
      </c>
      <c r="H13" s="713">
        <v>122000</v>
      </c>
      <c r="I13" s="713">
        <f t="shared" si="0"/>
        <v>122000</v>
      </c>
      <c r="J13" s="713"/>
      <c r="K13" s="713">
        <f t="shared" si="1"/>
        <v>122000</v>
      </c>
      <c r="L13" s="713">
        <v>34002</v>
      </c>
      <c r="M13" s="713"/>
      <c r="N13" s="713">
        <f t="shared" si="2"/>
        <v>156002</v>
      </c>
      <c r="O13" s="91" t="s">
        <v>313</v>
      </c>
      <c r="P13" s="665"/>
      <c r="Q13" s="91" t="s">
        <v>28</v>
      </c>
      <c r="R13" s="713"/>
      <c r="S13" s="653"/>
      <c r="T13" s="713"/>
      <c r="U13" s="713"/>
      <c r="V13" s="713"/>
      <c r="W13" s="713"/>
      <c r="X13" s="86"/>
    </row>
    <row r="14" spans="1:24" s="119" customFormat="1" ht="16.8" hidden="1">
      <c r="A14" s="9">
        <v>44341</v>
      </c>
      <c r="B14" s="91" t="s">
        <v>313</v>
      </c>
      <c r="C14" s="123" t="s">
        <v>2062</v>
      </c>
      <c r="D14" s="713" t="s">
        <v>4167</v>
      </c>
      <c r="E14" s="714" t="s">
        <v>4168</v>
      </c>
      <c r="F14" s="714" t="s">
        <v>4169</v>
      </c>
      <c r="G14" s="30">
        <v>1</v>
      </c>
      <c r="H14" s="713">
        <v>137000</v>
      </c>
      <c r="I14" s="713">
        <f t="shared" si="0"/>
        <v>137000</v>
      </c>
      <c r="J14" s="713"/>
      <c r="K14" s="713">
        <f t="shared" si="1"/>
        <v>137000</v>
      </c>
      <c r="L14" s="713"/>
      <c r="M14" s="713"/>
      <c r="N14" s="713">
        <f t="shared" si="2"/>
        <v>137000</v>
      </c>
      <c r="O14" s="91" t="s">
        <v>313</v>
      </c>
      <c r="P14" s="688"/>
      <c r="Q14" s="91" t="s">
        <v>28</v>
      </c>
      <c r="R14" s="713"/>
      <c r="S14" s="688"/>
      <c r="T14" s="713"/>
      <c r="U14" s="713"/>
      <c r="V14" s="713"/>
      <c r="W14" s="713"/>
      <c r="X14" s="86"/>
    </row>
    <row r="15" spans="1:24" s="119" customFormat="1" ht="16.8" hidden="1">
      <c r="A15" s="9">
        <v>44343</v>
      </c>
      <c r="B15" s="91" t="s">
        <v>43</v>
      </c>
      <c r="C15" s="123" t="s">
        <v>4170</v>
      </c>
      <c r="D15" s="713" t="s">
        <v>4171</v>
      </c>
      <c r="E15" s="712" t="s">
        <v>4172</v>
      </c>
      <c r="F15" s="712" t="s">
        <v>4173</v>
      </c>
      <c r="G15" s="30">
        <v>2</v>
      </c>
      <c r="H15" s="713">
        <v>72000</v>
      </c>
      <c r="I15" s="713">
        <f t="shared" si="0"/>
        <v>144000</v>
      </c>
      <c r="J15" s="713"/>
      <c r="K15" s="713">
        <f t="shared" si="1"/>
        <v>144000</v>
      </c>
      <c r="L15" s="713"/>
      <c r="M15" s="713">
        <v>-8064</v>
      </c>
      <c r="N15" s="713">
        <f t="shared" si="2"/>
        <v>135936</v>
      </c>
      <c r="O15" s="91" t="s">
        <v>43</v>
      </c>
      <c r="P15" s="688"/>
      <c r="Q15" s="91" t="s">
        <v>176</v>
      </c>
      <c r="R15" s="713"/>
      <c r="S15" s="688"/>
      <c r="T15" s="713"/>
      <c r="U15" s="713"/>
      <c r="V15" s="713"/>
      <c r="W15" s="713"/>
      <c r="X15" s="86"/>
    </row>
    <row r="16" spans="1:24" s="119" customFormat="1" ht="16.8" hidden="1">
      <c r="A16" s="9">
        <v>44343</v>
      </c>
      <c r="B16" s="91" t="s">
        <v>43</v>
      </c>
      <c r="C16" s="123" t="s">
        <v>4174</v>
      </c>
      <c r="D16" s="713" t="s">
        <v>4175</v>
      </c>
      <c r="E16" s="712" t="s">
        <v>4176</v>
      </c>
      <c r="F16" s="712" t="s">
        <v>4177</v>
      </c>
      <c r="G16" s="30">
        <v>1</v>
      </c>
      <c r="H16" s="713">
        <v>191000</v>
      </c>
      <c r="I16" s="713">
        <f t="shared" si="0"/>
        <v>191000</v>
      </c>
      <c r="J16" s="713"/>
      <c r="K16" s="713">
        <f t="shared" si="1"/>
        <v>191000</v>
      </c>
      <c r="L16" s="713"/>
      <c r="M16" s="713">
        <v>-10696</v>
      </c>
      <c r="N16" s="713">
        <f t="shared" si="2"/>
        <v>180304</v>
      </c>
      <c r="O16" s="91" t="s">
        <v>43</v>
      </c>
      <c r="P16" s="688"/>
      <c r="Q16" s="91" t="s">
        <v>176</v>
      </c>
      <c r="R16" s="713"/>
      <c r="S16" s="688"/>
      <c r="T16" s="713"/>
      <c r="U16" s="713"/>
      <c r="V16" s="713"/>
      <c r="W16" s="713"/>
      <c r="X16" s="86"/>
    </row>
    <row r="17" spans="1:24" s="119" customFormat="1" hidden="1">
      <c r="A17" s="9">
        <v>44343</v>
      </c>
      <c r="B17" s="91" t="s">
        <v>43</v>
      </c>
      <c r="C17" s="123" t="s">
        <v>4178</v>
      </c>
      <c r="D17" s="713" t="s">
        <v>4179</v>
      </c>
      <c r="E17" s="712" t="s">
        <v>579</v>
      </c>
      <c r="F17" s="712" t="s">
        <v>72</v>
      </c>
      <c r="G17" s="30">
        <v>1</v>
      </c>
      <c r="H17" s="713">
        <v>108000</v>
      </c>
      <c r="I17" s="713">
        <f t="shared" si="0"/>
        <v>108000</v>
      </c>
      <c r="J17" s="713"/>
      <c r="K17" s="713">
        <f t="shared" si="1"/>
        <v>108000</v>
      </c>
      <c r="L17" s="713"/>
      <c r="M17" s="713">
        <v>-6048</v>
      </c>
      <c r="N17" s="713">
        <f t="shared" si="2"/>
        <v>101952</v>
      </c>
      <c r="O17" s="91" t="s">
        <v>43</v>
      </c>
      <c r="P17" s="649"/>
      <c r="Q17" s="91" t="s">
        <v>176</v>
      </c>
      <c r="R17" s="713"/>
      <c r="S17" s="642"/>
      <c r="T17" s="713"/>
      <c r="U17" s="713"/>
      <c r="V17" s="713"/>
      <c r="W17" s="713"/>
      <c r="X17" s="86"/>
    </row>
    <row r="18" spans="1:24" s="119" customFormat="1" hidden="1">
      <c r="A18" s="9">
        <v>44343</v>
      </c>
      <c r="B18" s="91" t="s">
        <v>43</v>
      </c>
      <c r="C18" s="123" t="s">
        <v>4180</v>
      </c>
      <c r="D18" s="713" t="s">
        <v>4181</v>
      </c>
      <c r="E18" s="712" t="s">
        <v>4182</v>
      </c>
      <c r="F18" s="712" t="s">
        <v>4183</v>
      </c>
      <c r="G18" s="30">
        <v>1</v>
      </c>
      <c r="H18" s="713">
        <v>69500</v>
      </c>
      <c r="I18" s="713">
        <f t="shared" si="0"/>
        <v>69500</v>
      </c>
      <c r="J18" s="713"/>
      <c r="K18" s="713">
        <f t="shared" si="1"/>
        <v>69500</v>
      </c>
      <c r="L18" s="713"/>
      <c r="M18" s="713">
        <v>-3892</v>
      </c>
      <c r="N18" s="713">
        <f t="shared" si="2"/>
        <v>65608</v>
      </c>
      <c r="O18" s="91" t="s">
        <v>43</v>
      </c>
      <c r="P18" s="647"/>
      <c r="Q18" s="91" t="s">
        <v>54</v>
      </c>
      <c r="R18" s="713"/>
      <c r="S18" s="653"/>
      <c r="T18" s="713"/>
      <c r="U18" s="713"/>
      <c r="V18" s="713"/>
      <c r="W18" s="713"/>
      <c r="X18" s="86"/>
    </row>
    <row r="19" spans="1:24" s="119" customFormat="1" ht="16.8">
      <c r="A19" s="9">
        <v>44343</v>
      </c>
      <c r="B19" s="91" t="s">
        <v>23</v>
      </c>
      <c r="C19" s="123" t="s">
        <v>4184</v>
      </c>
      <c r="D19" s="713" t="s">
        <v>4185</v>
      </c>
      <c r="E19" s="712" t="s">
        <v>1654</v>
      </c>
      <c r="F19" s="712" t="s">
        <v>1655</v>
      </c>
      <c r="G19" s="30">
        <v>1</v>
      </c>
      <c r="H19" s="713">
        <v>63000</v>
      </c>
      <c r="I19" s="713">
        <f t="shared" si="0"/>
        <v>63000</v>
      </c>
      <c r="J19" s="713"/>
      <c r="K19" s="713">
        <f t="shared" si="1"/>
        <v>63000</v>
      </c>
      <c r="L19" s="713">
        <v>56000</v>
      </c>
      <c r="M19" s="713"/>
      <c r="N19" s="713">
        <f t="shared" si="2"/>
        <v>119000</v>
      </c>
      <c r="O19" s="91" t="s">
        <v>23</v>
      </c>
      <c r="P19" s="664"/>
      <c r="Q19" s="91" t="s">
        <v>40</v>
      </c>
      <c r="R19" s="713"/>
      <c r="S19" s="689"/>
      <c r="T19" s="713"/>
      <c r="U19" s="713"/>
      <c r="V19" s="713"/>
      <c r="W19" s="713"/>
      <c r="X19" s="86"/>
    </row>
    <row r="20" spans="1:24" s="119" customFormat="1">
      <c r="A20" s="9">
        <v>44343</v>
      </c>
      <c r="B20" s="91" t="s">
        <v>23</v>
      </c>
      <c r="C20" s="91" t="s">
        <v>431</v>
      </c>
      <c r="D20" s="713" t="s">
        <v>31</v>
      </c>
      <c r="E20" s="715" t="s">
        <v>4186</v>
      </c>
      <c r="F20" s="715" t="s">
        <v>4187</v>
      </c>
      <c r="G20" s="30">
        <v>1</v>
      </c>
      <c r="H20" s="734">
        <v>118000</v>
      </c>
      <c r="I20" s="713">
        <f t="shared" si="0"/>
        <v>118000</v>
      </c>
      <c r="J20" s="713">
        <f>I20*25%+40000</f>
        <v>69500</v>
      </c>
      <c r="K20" s="713">
        <f t="shared" si="1"/>
        <v>48500</v>
      </c>
      <c r="L20" s="713"/>
      <c r="M20" s="713"/>
      <c r="N20" s="713">
        <f t="shared" si="2"/>
        <v>48500</v>
      </c>
      <c r="O20" s="91" t="s">
        <v>23</v>
      </c>
      <c r="P20" s="649"/>
      <c r="Q20" s="91" t="s">
        <v>434</v>
      </c>
      <c r="R20" s="713"/>
      <c r="S20" s="642"/>
      <c r="T20" s="713"/>
      <c r="U20" s="713"/>
      <c r="V20" s="713"/>
      <c r="W20" s="713"/>
      <c r="X20" s="86"/>
    </row>
    <row r="21" spans="1:24" s="119" customFormat="1">
      <c r="A21" s="9">
        <v>44343</v>
      </c>
      <c r="B21" s="91" t="s">
        <v>23</v>
      </c>
      <c r="C21" s="91" t="s">
        <v>431</v>
      </c>
      <c r="D21" s="713" t="s">
        <v>31</v>
      </c>
      <c r="E21" s="715" t="s">
        <v>2129</v>
      </c>
      <c r="F21" s="715" t="s">
        <v>2130</v>
      </c>
      <c r="G21" s="30">
        <v>1</v>
      </c>
      <c r="H21" s="734">
        <v>84000</v>
      </c>
      <c r="I21" s="713">
        <f t="shared" si="0"/>
        <v>84000</v>
      </c>
      <c r="J21" s="713">
        <f>I21*25%</f>
        <v>21000</v>
      </c>
      <c r="K21" s="713">
        <f t="shared" si="1"/>
        <v>63000</v>
      </c>
      <c r="L21" s="713"/>
      <c r="M21" s="713"/>
      <c r="N21" s="713">
        <f t="shared" si="2"/>
        <v>63000</v>
      </c>
      <c r="O21" s="91" t="s">
        <v>23</v>
      </c>
      <c r="P21" s="667"/>
      <c r="Q21" s="91" t="s">
        <v>434</v>
      </c>
      <c r="R21" s="713"/>
      <c r="S21" s="171"/>
      <c r="T21" s="713"/>
      <c r="U21" s="713"/>
      <c r="V21" s="713"/>
      <c r="W21" s="713"/>
      <c r="X21" s="86"/>
    </row>
    <row r="22" spans="1:24" s="119" customFormat="1">
      <c r="A22" s="9">
        <v>44343</v>
      </c>
      <c r="B22" s="91" t="s">
        <v>23</v>
      </c>
      <c r="C22" s="91" t="s">
        <v>431</v>
      </c>
      <c r="D22" s="713" t="s">
        <v>31</v>
      </c>
      <c r="E22" s="715" t="s">
        <v>2103</v>
      </c>
      <c r="F22" s="715" t="s">
        <v>2104</v>
      </c>
      <c r="G22" s="30">
        <v>1</v>
      </c>
      <c r="H22" s="734">
        <v>76000</v>
      </c>
      <c r="I22" s="713">
        <f t="shared" si="0"/>
        <v>76000</v>
      </c>
      <c r="J22" s="713">
        <f>I22*25%</f>
        <v>19000</v>
      </c>
      <c r="K22" s="713">
        <f t="shared" si="1"/>
        <v>57000</v>
      </c>
      <c r="L22" s="713"/>
      <c r="M22" s="713"/>
      <c r="N22" s="713">
        <f t="shared" si="2"/>
        <v>57000</v>
      </c>
      <c r="O22" s="91" t="s">
        <v>23</v>
      </c>
      <c r="P22" s="649"/>
      <c r="Q22" s="91" t="s">
        <v>434</v>
      </c>
      <c r="R22" s="713"/>
      <c r="S22" s="642"/>
      <c r="T22" s="713"/>
      <c r="U22" s="713"/>
      <c r="V22" s="713"/>
      <c r="W22" s="713"/>
      <c r="X22" s="86"/>
    </row>
    <row r="23" spans="1:24" s="119" customFormat="1">
      <c r="A23" s="9">
        <v>44343</v>
      </c>
      <c r="B23" s="91" t="s">
        <v>23</v>
      </c>
      <c r="C23" s="91" t="s">
        <v>431</v>
      </c>
      <c r="D23" s="713" t="s">
        <v>31</v>
      </c>
      <c r="E23" s="716" t="s">
        <v>3909</v>
      </c>
      <c r="F23" s="716" t="s">
        <v>3910</v>
      </c>
      <c r="G23" s="30">
        <v>1</v>
      </c>
      <c r="H23" s="734">
        <v>97500</v>
      </c>
      <c r="I23" s="713">
        <f t="shared" si="0"/>
        <v>97500</v>
      </c>
      <c r="J23" s="713">
        <f>I23*25%</f>
        <v>24375</v>
      </c>
      <c r="K23" s="713">
        <f t="shared" si="1"/>
        <v>73125</v>
      </c>
      <c r="L23" s="713"/>
      <c r="M23" s="713"/>
      <c r="N23" s="713">
        <f t="shared" si="2"/>
        <v>73125</v>
      </c>
      <c r="O23" s="91" t="s">
        <v>23</v>
      </c>
      <c r="P23" s="667"/>
      <c r="Q23" s="91" t="s">
        <v>434</v>
      </c>
      <c r="R23" s="713"/>
      <c r="S23" s="171"/>
      <c r="T23" s="713"/>
      <c r="U23" s="713"/>
      <c r="V23" s="713"/>
      <c r="W23" s="713"/>
      <c r="X23" s="86"/>
    </row>
    <row r="24" spans="1:24" s="119" customFormat="1" hidden="1">
      <c r="A24" s="9">
        <v>44343</v>
      </c>
      <c r="B24" s="91" t="s">
        <v>43</v>
      </c>
      <c r="C24" s="123" t="s">
        <v>4188</v>
      </c>
      <c r="D24" s="713" t="s">
        <v>4189</v>
      </c>
      <c r="E24" s="712" t="s">
        <v>2580</v>
      </c>
      <c r="F24" s="712" t="s">
        <v>2581</v>
      </c>
      <c r="G24" s="30">
        <v>1</v>
      </c>
      <c r="H24" s="713">
        <v>83000</v>
      </c>
      <c r="I24" s="713">
        <f t="shared" si="0"/>
        <v>83000</v>
      </c>
      <c r="J24" s="713"/>
      <c r="K24" s="713">
        <f t="shared" si="1"/>
        <v>83000</v>
      </c>
      <c r="L24" s="713"/>
      <c r="M24" s="713">
        <v>-4648</v>
      </c>
      <c r="N24" s="713">
        <f t="shared" si="2"/>
        <v>78352</v>
      </c>
      <c r="O24" s="91" t="s">
        <v>43</v>
      </c>
      <c r="P24" s="649"/>
      <c r="Q24" s="91" t="s">
        <v>176</v>
      </c>
      <c r="R24" s="713"/>
      <c r="S24" s="642"/>
      <c r="T24" s="713"/>
      <c r="U24" s="713"/>
      <c r="V24" s="713"/>
      <c r="W24" s="713"/>
      <c r="X24" s="86"/>
    </row>
    <row r="25" spans="1:24" s="119" customFormat="1" ht="16.8" hidden="1">
      <c r="A25" s="9">
        <v>44343</v>
      </c>
      <c r="B25" s="91" t="s">
        <v>43</v>
      </c>
      <c r="C25" s="91" t="s">
        <v>4190</v>
      </c>
      <c r="D25" s="713" t="s">
        <v>4191</v>
      </c>
      <c r="E25" s="712" t="s">
        <v>3035</v>
      </c>
      <c r="F25" s="712" t="s">
        <v>3036</v>
      </c>
      <c r="G25" s="30">
        <v>1</v>
      </c>
      <c r="H25" s="713">
        <v>84000</v>
      </c>
      <c r="I25" s="713">
        <f t="shared" si="0"/>
        <v>84000</v>
      </c>
      <c r="J25" s="713"/>
      <c r="K25" s="713">
        <f t="shared" si="1"/>
        <v>84000</v>
      </c>
      <c r="L25" s="713"/>
      <c r="M25" s="713">
        <v>-4704</v>
      </c>
      <c r="N25" s="713">
        <f t="shared" si="2"/>
        <v>79296</v>
      </c>
      <c r="O25" s="91" t="s">
        <v>43</v>
      </c>
      <c r="P25" s="657"/>
      <c r="Q25" s="91" t="s">
        <v>176</v>
      </c>
      <c r="R25" s="713"/>
      <c r="S25" s="664"/>
      <c r="T25" s="713"/>
      <c r="U25" s="713"/>
      <c r="V25" s="713"/>
      <c r="W25" s="713"/>
      <c r="X25" s="86"/>
    </row>
    <row r="26" spans="1:24" s="119" customFormat="1" ht="16.8">
      <c r="A26" s="9">
        <v>44343</v>
      </c>
      <c r="B26" s="91" t="s">
        <v>23</v>
      </c>
      <c r="C26" s="91" t="s">
        <v>4192</v>
      </c>
      <c r="D26" s="713" t="s">
        <v>4193</v>
      </c>
      <c r="E26" s="712" t="s">
        <v>4194</v>
      </c>
      <c r="F26" s="712" t="s">
        <v>583</v>
      </c>
      <c r="G26" s="30">
        <v>1</v>
      </c>
      <c r="H26" s="713">
        <v>149500</v>
      </c>
      <c r="I26" s="713">
        <f t="shared" si="0"/>
        <v>149500</v>
      </c>
      <c r="J26" s="713"/>
      <c r="K26" s="713">
        <f t="shared" si="1"/>
        <v>149500</v>
      </c>
      <c r="L26" s="713">
        <v>37000</v>
      </c>
      <c r="M26" s="713"/>
      <c r="N26" s="713">
        <f t="shared" si="2"/>
        <v>186500</v>
      </c>
      <c r="O26" s="91" t="s">
        <v>23</v>
      </c>
      <c r="P26" s="657"/>
      <c r="Q26" s="91" t="s">
        <v>54</v>
      </c>
      <c r="R26" s="713"/>
      <c r="S26" s="664"/>
      <c r="T26" s="713"/>
      <c r="U26" s="713"/>
      <c r="V26" s="713"/>
      <c r="W26" s="713"/>
      <c r="X26" s="86"/>
    </row>
    <row r="27" spans="1:24" s="119" customFormat="1" ht="16.8" hidden="1">
      <c r="A27" s="9">
        <v>44343</v>
      </c>
      <c r="B27" s="91" t="s">
        <v>206</v>
      </c>
      <c r="C27" s="91" t="s">
        <v>4195</v>
      </c>
      <c r="D27" s="713" t="s">
        <v>4196</v>
      </c>
      <c r="E27" s="712" t="s">
        <v>4098</v>
      </c>
      <c r="F27" s="712" t="s">
        <v>4099</v>
      </c>
      <c r="G27" s="30">
        <v>1</v>
      </c>
      <c r="H27" s="713">
        <v>65000</v>
      </c>
      <c r="I27" s="713">
        <f t="shared" si="0"/>
        <v>65000</v>
      </c>
      <c r="J27" s="713"/>
      <c r="K27" s="713">
        <f t="shared" si="1"/>
        <v>65000</v>
      </c>
      <c r="L27" s="713">
        <v>14000</v>
      </c>
      <c r="M27" s="713"/>
      <c r="N27" s="713">
        <f t="shared" si="2"/>
        <v>79000</v>
      </c>
      <c r="O27" s="91" t="s">
        <v>206</v>
      </c>
      <c r="P27" s="664"/>
      <c r="Q27" s="91" t="s">
        <v>40</v>
      </c>
      <c r="R27" s="713"/>
      <c r="S27" s="690"/>
      <c r="T27" s="713"/>
      <c r="U27" s="713"/>
      <c r="V27" s="713"/>
      <c r="W27" s="713"/>
      <c r="X27" s="86"/>
    </row>
    <row r="28" spans="1:24" s="119" customFormat="1" hidden="1">
      <c r="A28" s="9">
        <v>44344</v>
      </c>
      <c r="B28" s="91" t="s">
        <v>43</v>
      </c>
      <c r="C28" s="123" t="s">
        <v>4197</v>
      </c>
      <c r="D28" s="713" t="s">
        <v>4198</v>
      </c>
      <c r="E28" s="715" t="s">
        <v>95</v>
      </c>
      <c r="F28" s="715" t="s">
        <v>117</v>
      </c>
      <c r="G28" s="30">
        <v>1</v>
      </c>
      <c r="H28" s="713">
        <v>62500</v>
      </c>
      <c r="I28" s="713">
        <f t="shared" si="0"/>
        <v>62500</v>
      </c>
      <c r="J28" s="713"/>
      <c r="K28" s="713">
        <f t="shared" si="1"/>
        <v>62500</v>
      </c>
      <c r="L28" s="713">
        <v>17000</v>
      </c>
      <c r="M28" s="713">
        <v>-7700</v>
      </c>
      <c r="N28" s="713">
        <f t="shared" si="2"/>
        <v>71800</v>
      </c>
      <c r="O28" s="91" t="s">
        <v>43</v>
      </c>
      <c r="P28" s="649"/>
      <c r="Q28" s="91" t="s">
        <v>176</v>
      </c>
      <c r="R28" s="713"/>
      <c r="S28" s="642"/>
      <c r="T28" s="713"/>
      <c r="U28" s="713"/>
      <c r="V28" s="713"/>
      <c r="W28" s="713"/>
      <c r="X28" s="86"/>
    </row>
    <row r="29" spans="1:24" s="119" customFormat="1" hidden="1">
      <c r="A29" s="9">
        <v>44344</v>
      </c>
      <c r="B29" s="91" t="s">
        <v>43</v>
      </c>
      <c r="C29" s="123" t="s">
        <v>4197</v>
      </c>
      <c r="D29" s="713" t="s">
        <v>4199</v>
      </c>
      <c r="E29" s="715" t="s">
        <v>4200</v>
      </c>
      <c r="F29" s="715" t="s">
        <v>4201</v>
      </c>
      <c r="G29" s="30">
        <v>1</v>
      </c>
      <c r="H29" s="713">
        <v>75000</v>
      </c>
      <c r="I29" s="713">
        <f t="shared" si="0"/>
        <v>75000</v>
      </c>
      <c r="J29" s="713"/>
      <c r="K29" s="713">
        <f t="shared" si="1"/>
        <v>75000</v>
      </c>
      <c r="L29" s="713"/>
      <c r="M29" s="713"/>
      <c r="N29" s="713">
        <f t="shared" si="2"/>
        <v>75000</v>
      </c>
      <c r="O29" s="91" t="s">
        <v>43</v>
      </c>
      <c r="P29" s="649"/>
      <c r="Q29" s="91" t="s">
        <v>176</v>
      </c>
      <c r="R29" s="713"/>
      <c r="S29" s="642"/>
      <c r="T29" s="713"/>
      <c r="U29" s="713"/>
      <c r="V29" s="713"/>
      <c r="W29" s="713"/>
      <c r="X29" s="86"/>
    </row>
    <row r="30" spans="1:24" s="119" customFormat="1" hidden="1">
      <c r="A30" s="9">
        <v>44344</v>
      </c>
      <c r="B30" s="91" t="s">
        <v>43</v>
      </c>
      <c r="C30" s="91" t="s">
        <v>4202</v>
      </c>
      <c r="D30" s="713" t="s">
        <v>4203</v>
      </c>
      <c r="E30" s="712" t="s">
        <v>579</v>
      </c>
      <c r="F30" s="712" t="s">
        <v>72</v>
      </c>
      <c r="G30" s="30">
        <v>1</v>
      </c>
      <c r="H30" s="713">
        <v>108000</v>
      </c>
      <c r="I30" s="713">
        <f t="shared" si="0"/>
        <v>108000</v>
      </c>
      <c r="J30" s="713"/>
      <c r="K30" s="713">
        <f t="shared" si="1"/>
        <v>108000</v>
      </c>
      <c r="L30" s="713">
        <v>44000</v>
      </c>
      <c r="M30" s="713">
        <v>-6048</v>
      </c>
      <c r="N30" s="713">
        <f t="shared" si="2"/>
        <v>145952</v>
      </c>
      <c r="O30" s="91" t="s">
        <v>43</v>
      </c>
      <c r="P30" s="713"/>
      <c r="Q30" s="91" t="s">
        <v>54</v>
      </c>
      <c r="R30" s="713"/>
      <c r="S30" s="713"/>
      <c r="T30" s="713"/>
      <c r="U30" s="713"/>
      <c r="V30" s="713"/>
      <c r="W30" s="713"/>
      <c r="X30" s="86"/>
    </row>
    <row r="31" spans="1:24" s="119" customFormat="1" hidden="1">
      <c r="A31" s="9">
        <v>44344</v>
      </c>
      <c r="B31" s="91" t="s">
        <v>43</v>
      </c>
      <c r="C31" s="123" t="s">
        <v>4204</v>
      </c>
      <c r="D31" s="713" t="s">
        <v>4205</v>
      </c>
      <c r="E31" s="712" t="s">
        <v>190</v>
      </c>
      <c r="F31" s="712" t="s">
        <v>191</v>
      </c>
      <c r="G31" s="30">
        <v>1</v>
      </c>
      <c r="H31" s="713">
        <v>92000</v>
      </c>
      <c r="I31" s="713">
        <f t="shared" si="0"/>
        <v>92000</v>
      </c>
      <c r="J31" s="713"/>
      <c r="K31" s="713">
        <f t="shared" si="1"/>
        <v>92000</v>
      </c>
      <c r="L31" s="713">
        <v>8000</v>
      </c>
      <c r="M31" s="713">
        <v>-5152</v>
      </c>
      <c r="N31" s="713">
        <f t="shared" si="2"/>
        <v>94848</v>
      </c>
      <c r="O31" s="91" t="s">
        <v>43</v>
      </c>
      <c r="P31" s="649"/>
      <c r="Q31" s="91" t="s">
        <v>54</v>
      </c>
      <c r="R31" s="713"/>
      <c r="S31" s="642"/>
      <c r="T31" s="713"/>
      <c r="U31" s="713"/>
      <c r="V31" s="713"/>
      <c r="W31" s="713"/>
      <c r="X31" s="86"/>
    </row>
    <row r="32" spans="1:24" s="119" customFormat="1" hidden="1">
      <c r="A32" s="9">
        <v>44344</v>
      </c>
      <c r="B32" s="91" t="s">
        <v>43</v>
      </c>
      <c r="C32" s="123" t="s">
        <v>4206</v>
      </c>
      <c r="D32" s="713" t="s">
        <v>4207</v>
      </c>
      <c r="E32" s="712" t="s">
        <v>579</v>
      </c>
      <c r="F32" s="712" t="s">
        <v>72</v>
      </c>
      <c r="G32" s="30">
        <v>1</v>
      </c>
      <c r="H32" s="713">
        <v>108000</v>
      </c>
      <c r="I32" s="713">
        <f t="shared" si="0"/>
        <v>108000</v>
      </c>
      <c r="J32" s="713"/>
      <c r="K32" s="713">
        <f t="shared" si="1"/>
        <v>108000</v>
      </c>
      <c r="L32" s="713"/>
      <c r="M32" s="713">
        <v>-6048</v>
      </c>
      <c r="N32" s="713">
        <f t="shared" si="2"/>
        <v>101952</v>
      </c>
      <c r="O32" s="91" t="s">
        <v>43</v>
      </c>
      <c r="P32" s="711"/>
      <c r="Q32" s="91" t="s">
        <v>54</v>
      </c>
      <c r="R32" s="713"/>
      <c r="S32" s="711"/>
      <c r="T32" s="713"/>
      <c r="U32" s="713"/>
      <c r="V32" s="713"/>
      <c r="W32" s="713"/>
      <c r="X32" s="86"/>
    </row>
    <row r="33" spans="1:24" s="119" customFormat="1" hidden="1">
      <c r="A33" s="9">
        <v>44344</v>
      </c>
      <c r="B33" s="91" t="s">
        <v>43</v>
      </c>
      <c r="C33" s="91" t="s">
        <v>4208</v>
      </c>
      <c r="D33" s="713" t="s">
        <v>4209</v>
      </c>
      <c r="E33" s="712" t="s">
        <v>247</v>
      </c>
      <c r="F33" s="712" t="s">
        <v>248</v>
      </c>
      <c r="G33" s="30">
        <v>1</v>
      </c>
      <c r="H33" s="713">
        <v>68000</v>
      </c>
      <c r="I33" s="713">
        <f t="shared" si="0"/>
        <v>68000</v>
      </c>
      <c r="J33" s="713"/>
      <c r="K33" s="713">
        <f t="shared" si="1"/>
        <v>68000</v>
      </c>
      <c r="L33" s="713">
        <v>18000</v>
      </c>
      <c r="M33" s="713">
        <v>-3808</v>
      </c>
      <c r="N33" s="713">
        <f t="shared" si="2"/>
        <v>82192</v>
      </c>
      <c r="O33" s="91" t="s">
        <v>43</v>
      </c>
      <c r="P33" s="713"/>
      <c r="Q33" s="91" t="s">
        <v>54</v>
      </c>
      <c r="R33" s="713"/>
      <c r="S33" s="713"/>
      <c r="T33" s="713"/>
      <c r="U33" s="713"/>
      <c r="V33" s="713"/>
      <c r="W33" s="713"/>
      <c r="X33" s="86"/>
    </row>
    <row r="34" spans="1:24" s="119" customFormat="1" hidden="1">
      <c r="A34" s="9">
        <v>44344</v>
      </c>
      <c r="B34" s="91" t="s">
        <v>43</v>
      </c>
      <c r="C34" s="91" t="s">
        <v>4210</v>
      </c>
      <c r="D34" s="713" t="s">
        <v>4211</v>
      </c>
      <c r="E34" s="712" t="s">
        <v>4212</v>
      </c>
      <c r="F34" s="712" t="s">
        <v>4213</v>
      </c>
      <c r="G34" s="30">
        <v>1</v>
      </c>
      <c r="H34" s="713">
        <v>67500</v>
      </c>
      <c r="I34" s="713">
        <f t="shared" ref="I34:I65" si="3">G34*H34</f>
        <v>67500</v>
      </c>
      <c r="J34" s="713"/>
      <c r="K34" s="713">
        <f t="shared" ref="K34:K65" si="4">I34-J34</f>
        <v>67500</v>
      </c>
      <c r="L34" s="713"/>
      <c r="M34" s="713">
        <v>-3780</v>
      </c>
      <c r="N34" s="713">
        <f t="shared" ref="N34:N65" si="5">K34+L34+M34</f>
        <v>63720</v>
      </c>
      <c r="O34" s="91" t="s">
        <v>43</v>
      </c>
      <c r="P34" s="649"/>
      <c r="Q34" s="91" t="s">
        <v>176</v>
      </c>
      <c r="R34" s="713"/>
      <c r="S34" s="642"/>
      <c r="T34" s="713"/>
      <c r="U34" s="713"/>
      <c r="V34" s="713"/>
      <c r="W34" s="713"/>
      <c r="X34" s="86"/>
    </row>
    <row r="35" spans="1:24" s="119" customFormat="1" hidden="1">
      <c r="A35" s="9">
        <v>44344</v>
      </c>
      <c r="B35" s="91" t="s">
        <v>206</v>
      </c>
      <c r="C35" s="123" t="s">
        <v>4214</v>
      </c>
      <c r="D35" s="713" t="s">
        <v>4215</v>
      </c>
      <c r="E35" s="712" t="s">
        <v>4216</v>
      </c>
      <c r="F35" s="712" t="s">
        <v>2587</v>
      </c>
      <c r="G35" s="30">
        <v>1</v>
      </c>
      <c r="H35" s="713">
        <v>332000</v>
      </c>
      <c r="I35" s="713">
        <f t="shared" si="3"/>
        <v>332000</v>
      </c>
      <c r="J35" s="713"/>
      <c r="K35" s="713">
        <f t="shared" si="4"/>
        <v>332000</v>
      </c>
      <c r="L35" s="713">
        <v>38500</v>
      </c>
      <c r="M35" s="713"/>
      <c r="N35" s="713">
        <f t="shared" si="5"/>
        <v>370500</v>
      </c>
      <c r="O35" s="91" t="s">
        <v>206</v>
      </c>
      <c r="P35" s="649"/>
      <c r="Q35" s="91" t="s">
        <v>54</v>
      </c>
      <c r="R35" s="713"/>
      <c r="S35" s="642"/>
      <c r="T35" s="713"/>
      <c r="U35" s="713"/>
      <c r="V35" s="713"/>
      <c r="W35" s="713"/>
      <c r="X35" s="86"/>
    </row>
    <row r="36" spans="1:24" s="119" customFormat="1">
      <c r="A36" s="9">
        <v>44344</v>
      </c>
      <c r="B36" s="91" t="s">
        <v>23</v>
      </c>
      <c r="C36" s="123" t="s">
        <v>4217</v>
      </c>
      <c r="D36" s="713" t="s">
        <v>4218</v>
      </c>
      <c r="E36" s="717" t="s">
        <v>69</v>
      </c>
      <c r="F36" s="717" t="s">
        <v>70</v>
      </c>
      <c r="G36" s="30">
        <v>2</v>
      </c>
      <c r="H36" s="734">
        <v>95000</v>
      </c>
      <c r="I36" s="713">
        <f t="shared" si="3"/>
        <v>190000</v>
      </c>
      <c r="J36" s="713">
        <f t="shared" ref="J36:J44" si="6">I36*25%</f>
        <v>47500</v>
      </c>
      <c r="K36" s="713">
        <f t="shared" si="4"/>
        <v>142500</v>
      </c>
      <c r="L36" s="713">
        <v>66000</v>
      </c>
      <c r="M36" s="713"/>
      <c r="N36" s="713">
        <f t="shared" si="5"/>
        <v>208500</v>
      </c>
      <c r="O36" s="91" t="s">
        <v>23</v>
      </c>
      <c r="P36" s="671"/>
      <c r="Q36" s="91" t="s">
        <v>40</v>
      </c>
      <c r="R36" s="713"/>
      <c r="S36" s="642"/>
      <c r="T36" s="713"/>
      <c r="U36" s="713"/>
      <c r="V36" s="713"/>
      <c r="W36" s="713"/>
    </row>
    <row r="37" spans="1:24" s="119" customFormat="1">
      <c r="A37" s="9">
        <v>44344</v>
      </c>
      <c r="B37" s="91" t="s">
        <v>23</v>
      </c>
      <c r="C37" s="123" t="s">
        <v>4217</v>
      </c>
      <c r="D37" s="713" t="s">
        <v>4218</v>
      </c>
      <c r="E37" s="717" t="s">
        <v>4105</v>
      </c>
      <c r="F37" s="717" t="s">
        <v>4106</v>
      </c>
      <c r="G37" s="30">
        <v>2</v>
      </c>
      <c r="H37" s="734">
        <v>70000</v>
      </c>
      <c r="I37" s="713">
        <f t="shared" si="3"/>
        <v>140000</v>
      </c>
      <c r="J37" s="713">
        <f t="shared" si="6"/>
        <v>35000</v>
      </c>
      <c r="K37" s="713">
        <f t="shared" si="4"/>
        <v>105000</v>
      </c>
      <c r="L37" s="713"/>
      <c r="M37" s="713"/>
      <c r="N37" s="713">
        <f t="shared" si="5"/>
        <v>105000</v>
      </c>
      <c r="O37" s="91" t="s">
        <v>23</v>
      </c>
      <c r="P37" s="671"/>
      <c r="Q37" s="91" t="s">
        <v>40</v>
      </c>
      <c r="R37" s="713"/>
      <c r="S37" s="642"/>
      <c r="T37" s="713"/>
      <c r="U37" s="713"/>
      <c r="V37" s="713"/>
      <c r="W37" s="713"/>
    </row>
    <row r="38" spans="1:24" s="119" customFormat="1">
      <c r="A38" s="9">
        <v>44344</v>
      </c>
      <c r="B38" s="91" t="s">
        <v>23</v>
      </c>
      <c r="C38" s="123" t="s">
        <v>4217</v>
      </c>
      <c r="D38" s="713" t="s">
        <v>4218</v>
      </c>
      <c r="E38" s="717" t="s">
        <v>4219</v>
      </c>
      <c r="F38" s="717" t="s">
        <v>4220</v>
      </c>
      <c r="G38" s="30">
        <v>2</v>
      </c>
      <c r="H38" s="734">
        <v>91000</v>
      </c>
      <c r="I38" s="713">
        <f t="shared" si="3"/>
        <v>182000</v>
      </c>
      <c r="J38" s="713">
        <f t="shared" si="6"/>
        <v>45500</v>
      </c>
      <c r="K38" s="713">
        <f t="shared" si="4"/>
        <v>136500</v>
      </c>
      <c r="L38" s="713"/>
      <c r="M38" s="713"/>
      <c r="N38" s="713">
        <f t="shared" si="5"/>
        <v>136500</v>
      </c>
      <c r="O38" s="91" t="s">
        <v>23</v>
      </c>
      <c r="P38" s="671"/>
      <c r="Q38" s="91" t="s">
        <v>40</v>
      </c>
      <c r="R38" s="713"/>
      <c r="S38" s="642"/>
      <c r="T38" s="713"/>
      <c r="U38" s="713"/>
      <c r="V38" s="713"/>
      <c r="W38" s="713"/>
    </row>
    <row r="39" spans="1:24" s="119" customFormat="1" ht="16.8">
      <c r="A39" s="9">
        <v>44344</v>
      </c>
      <c r="B39" s="91" t="s">
        <v>23</v>
      </c>
      <c r="C39" s="123" t="s">
        <v>4217</v>
      </c>
      <c r="D39" s="713" t="s">
        <v>4218</v>
      </c>
      <c r="E39" s="717" t="s">
        <v>4221</v>
      </c>
      <c r="F39" s="717" t="s">
        <v>4222</v>
      </c>
      <c r="G39" s="30">
        <v>2</v>
      </c>
      <c r="H39" s="734">
        <v>116000</v>
      </c>
      <c r="I39" s="713">
        <f t="shared" si="3"/>
        <v>232000</v>
      </c>
      <c r="J39" s="713">
        <f t="shared" si="6"/>
        <v>58000</v>
      </c>
      <c r="K39" s="713">
        <f t="shared" si="4"/>
        <v>174000</v>
      </c>
      <c r="L39" s="713"/>
      <c r="M39" s="713"/>
      <c r="N39" s="713">
        <f t="shared" si="5"/>
        <v>174000</v>
      </c>
      <c r="O39" s="91" t="s">
        <v>23</v>
      </c>
      <c r="P39" s="664"/>
      <c r="Q39" s="91" t="s">
        <v>40</v>
      </c>
      <c r="R39" s="713"/>
      <c r="S39" s="642"/>
      <c r="T39" s="713"/>
      <c r="U39" s="713"/>
      <c r="V39" s="713"/>
      <c r="W39" s="713"/>
    </row>
    <row r="40" spans="1:24" s="119" customFormat="1">
      <c r="A40" s="9">
        <v>44344</v>
      </c>
      <c r="B40" s="91" t="s">
        <v>23</v>
      </c>
      <c r="C40" s="123" t="s">
        <v>4217</v>
      </c>
      <c r="D40" s="713" t="s">
        <v>4218</v>
      </c>
      <c r="E40" s="717" t="s">
        <v>2169</v>
      </c>
      <c r="F40" s="717" t="s">
        <v>128</v>
      </c>
      <c r="G40" s="30">
        <v>2</v>
      </c>
      <c r="H40" s="734">
        <v>77500</v>
      </c>
      <c r="I40" s="713">
        <f t="shared" si="3"/>
        <v>155000</v>
      </c>
      <c r="J40" s="713">
        <f t="shared" si="6"/>
        <v>38750</v>
      </c>
      <c r="K40" s="713">
        <f t="shared" si="4"/>
        <v>116250</v>
      </c>
      <c r="L40" s="713"/>
      <c r="M40" s="713"/>
      <c r="N40" s="713">
        <f t="shared" si="5"/>
        <v>116250</v>
      </c>
      <c r="O40" s="91" t="s">
        <v>23</v>
      </c>
      <c r="P40" s="649"/>
      <c r="Q40" s="91" t="s">
        <v>40</v>
      </c>
      <c r="R40" s="713"/>
      <c r="S40" s="642"/>
      <c r="T40" s="713"/>
      <c r="U40" s="713"/>
      <c r="V40" s="713"/>
      <c r="W40" s="713"/>
    </row>
    <row r="41" spans="1:24" s="119" customFormat="1" ht="16.8">
      <c r="A41" s="9">
        <v>44344</v>
      </c>
      <c r="B41" s="91" t="s">
        <v>23</v>
      </c>
      <c r="C41" s="123" t="s">
        <v>4217</v>
      </c>
      <c r="D41" s="713" t="s">
        <v>4218</v>
      </c>
      <c r="E41" s="717" t="s">
        <v>3137</v>
      </c>
      <c r="F41" s="717" t="s">
        <v>3138</v>
      </c>
      <c r="G41" s="30">
        <v>2</v>
      </c>
      <c r="H41" s="734">
        <v>64500</v>
      </c>
      <c r="I41" s="713">
        <f t="shared" si="3"/>
        <v>129000</v>
      </c>
      <c r="J41" s="713">
        <f t="shared" si="6"/>
        <v>32250</v>
      </c>
      <c r="K41" s="713">
        <f t="shared" si="4"/>
        <v>96750</v>
      </c>
      <c r="L41" s="713"/>
      <c r="M41" s="713"/>
      <c r="N41" s="713">
        <f t="shared" si="5"/>
        <v>96750</v>
      </c>
      <c r="O41" s="91" t="s">
        <v>23</v>
      </c>
      <c r="P41" s="649"/>
      <c r="Q41" s="91" t="s">
        <v>40</v>
      </c>
      <c r="R41" s="713"/>
      <c r="S41" s="664"/>
      <c r="T41" s="713"/>
      <c r="U41" s="713"/>
      <c r="V41" s="713"/>
      <c r="W41" s="713"/>
    </row>
    <row r="42" spans="1:24" s="119" customFormat="1" ht="16.8">
      <c r="A42" s="9">
        <v>44344</v>
      </c>
      <c r="B42" s="91" t="s">
        <v>23</v>
      </c>
      <c r="C42" s="123" t="s">
        <v>4217</v>
      </c>
      <c r="D42" s="713" t="s">
        <v>4218</v>
      </c>
      <c r="E42" s="717" t="s">
        <v>4223</v>
      </c>
      <c r="F42" s="717" t="s">
        <v>4224</v>
      </c>
      <c r="G42" s="30">
        <v>2</v>
      </c>
      <c r="H42" s="734">
        <v>61000</v>
      </c>
      <c r="I42" s="713">
        <f t="shared" si="3"/>
        <v>122000</v>
      </c>
      <c r="J42" s="713">
        <f t="shared" si="6"/>
        <v>30500</v>
      </c>
      <c r="K42" s="713">
        <f t="shared" si="4"/>
        <v>91500</v>
      </c>
      <c r="L42" s="713"/>
      <c r="M42" s="713"/>
      <c r="N42" s="713">
        <f t="shared" si="5"/>
        <v>91500</v>
      </c>
      <c r="O42" s="91" t="s">
        <v>23</v>
      </c>
      <c r="P42" s="585"/>
      <c r="Q42" s="91" t="s">
        <v>40</v>
      </c>
      <c r="R42" s="713"/>
      <c r="S42" s="691"/>
      <c r="T42" s="713"/>
      <c r="U42" s="713"/>
      <c r="V42" s="713"/>
      <c r="W42" s="713"/>
    </row>
    <row r="43" spans="1:24" s="119" customFormat="1">
      <c r="A43" s="9">
        <v>44344</v>
      </c>
      <c r="B43" s="91" t="s">
        <v>23</v>
      </c>
      <c r="C43" s="123" t="s">
        <v>4217</v>
      </c>
      <c r="D43" s="713" t="s">
        <v>4218</v>
      </c>
      <c r="E43" s="717" t="s">
        <v>4225</v>
      </c>
      <c r="F43" s="717" t="s">
        <v>4226</v>
      </c>
      <c r="G43" s="30">
        <v>2</v>
      </c>
      <c r="H43" s="734">
        <v>126000</v>
      </c>
      <c r="I43" s="713">
        <f t="shared" si="3"/>
        <v>252000</v>
      </c>
      <c r="J43" s="713">
        <f t="shared" si="6"/>
        <v>63000</v>
      </c>
      <c r="K43" s="713">
        <f t="shared" si="4"/>
        <v>189000</v>
      </c>
      <c r="L43" s="713"/>
      <c r="M43" s="713"/>
      <c r="N43" s="713">
        <f t="shared" si="5"/>
        <v>189000</v>
      </c>
      <c r="O43" s="91" t="s">
        <v>23</v>
      </c>
      <c r="P43" s="659"/>
      <c r="Q43" s="91" t="s">
        <v>40</v>
      </c>
      <c r="R43" s="713"/>
      <c r="S43" s="642"/>
      <c r="T43" s="713"/>
      <c r="U43" s="713"/>
      <c r="V43" s="713"/>
      <c r="W43" s="713"/>
    </row>
    <row r="44" spans="1:24" s="119" customFormat="1">
      <c r="A44" s="9">
        <v>44344</v>
      </c>
      <c r="B44" s="91" t="s">
        <v>23</v>
      </c>
      <c r="C44" s="123" t="s">
        <v>4217</v>
      </c>
      <c r="D44" s="713" t="s">
        <v>4218</v>
      </c>
      <c r="E44" s="717" t="s">
        <v>1208</v>
      </c>
      <c r="F44" s="717" t="s">
        <v>1209</v>
      </c>
      <c r="G44" s="30">
        <v>2</v>
      </c>
      <c r="H44" s="734">
        <v>88000</v>
      </c>
      <c r="I44" s="713">
        <f t="shared" si="3"/>
        <v>176000</v>
      </c>
      <c r="J44" s="713">
        <f t="shared" si="6"/>
        <v>44000</v>
      </c>
      <c r="K44" s="713">
        <f t="shared" si="4"/>
        <v>132000</v>
      </c>
      <c r="L44" s="713"/>
      <c r="M44" s="713"/>
      <c r="N44" s="713">
        <f t="shared" si="5"/>
        <v>132000</v>
      </c>
      <c r="O44" s="91" t="s">
        <v>23</v>
      </c>
      <c r="P44" s="659"/>
      <c r="Q44" s="91" t="s">
        <v>40</v>
      </c>
      <c r="R44" s="713"/>
      <c r="S44" s="713"/>
      <c r="T44" s="713"/>
      <c r="U44" s="713"/>
      <c r="V44" s="713"/>
      <c r="W44" s="713"/>
    </row>
    <row r="45" spans="1:24" s="119" customFormat="1">
      <c r="A45" s="9">
        <v>44344</v>
      </c>
      <c r="B45" s="91" t="s">
        <v>23</v>
      </c>
      <c r="C45" s="123" t="s">
        <v>4227</v>
      </c>
      <c r="D45" s="713" t="s">
        <v>4228</v>
      </c>
      <c r="E45" s="712" t="s">
        <v>325</v>
      </c>
      <c r="F45" s="712" t="s">
        <v>326</v>
      </c>
      <c r="G45" s="30">
        <v>1</v>
      </c>
      <c r="H45" s="713">
        <v>129000</v>
      </c>
      <c r="I45" s="713">
        <f t="shared" si="3"/>
        <v>129000</v>
      </c>
      <c r="J45" s="713">
        <f>I45*20%</f>
        <v>25800</v>
      </c>
      <c r="K45" s="713">
        <f t="shared" si="4"/>
        <v>103200</v>
      </c>
      <c r="L45" s="713">
        <v>11000</v>
      </c>
      <c r="M45" s="713"/>
      <c r="N45" s="713">
        <f t="shared" si="5"/>
        <v>114200</v>
      </c>
      <c r="O45" s="91" t="s">
        <v>23</v>
      </c>
      <c r="P45" s="659"/>
      <c r="Q45" s="91" t="s">
        <v>40</v>
      </c>
      <c r="R45" s="713"/>
      <c r="S45" s="713"/>
      <c r="T45" s="713"/>
      <c r="U45" s="713"/>
      <c r="V45" s="713"/>
      <c r="W45" s="713"/>
    </row>
    <row r="46" spans="1:24" s="119" customFormat="1" ht="16.8">
      <c r="A46" s="9">
        <v>44344</v>
      </c>
      <c r="B46" s="91" t="s">
        <v>23</v>
      </c>
      <c r="C46" s="91" t="s">
        <v>431</v>
      </c>
      <c r="D46" s="713" t="s">
        <v>31</v>
      </c>
      <c r="E46" s="718" t="s">
        <v>3951</v>
      </c>
      <c r="F46" s="718" t="s">
        <v>3952</v>
      </c>
      <c r="G46" s="30">
        <v>1</v>
      </c>
      <c r="H46" s="734">
        <v>144000</v>
      </c>
      <c r="I46" s="713">
        <f t="shared" si="3"/>
        <v>144000</v>
      </c>
      <c r="J46" s="713">
        <f>I46*25%+40000</f>
        <v>76000</v>
      </c>
      <c r="K46" s="713">
        <f t="shared" si="4"/>
        <v>68000</v>
      </c>
      <c r="L46" s="713"/>
      <c r="M46" s="713"/>
      <c r="N46" s="713">
        <f t="shared" si="5"/>
        <v>68000</v>
      </c>
      <c r="O46" s="91" t="s">
        <v>23</v>
      </c>
      <c r="P46" s="659"/>
      <c r="Q46" s="91" t="s">
        <v>35</v>
      </c>
      <c r="R46" s="713"/>
      <c r="S46" s="691"/>
      <c r="T46" s="713"/>
      <c r="U46" s="713"/>
      <c r="V46" s="713"/>
      <c r="W46" s="713"/>
    </row>
    <row r="47" spans="1:24" s="119" customFormat="1">
      <c r="A47" s="9">
        <v>44344</v>
      </c>
      <c r="B47" s="91" t="s">
        <v>23</v>
      </c>
      <c r="C47" s="91" t="s">
        <v>431</v>
      </c>
      <c r="D47" s="713" t="s">
        <v>31</v>
      </c>
      <c r="E47" s="718" t="s">
        <v>4165</v>
      </c>
      <c r="F47" s="718" t="s">
        <v>4166</v>
      </c>
      <c r="G47" s="30">
        <v>1</v>
      </c>
      <c r="H47" s="734">
        <v>122000</v>
      </c>
      <c r="I47" s="713">
        <f t="shared" si="3"/>
        <v>122000</v>
      </c>
      <c r="J47" s="713">
        <f>I47*25%</f>
        <v>30500</v>
      </c>
      <c r="K47" s="713">
        <f t="shared" si="4"/>
        <v>91500</v>
      </c>
      <c r="L47" s="713"/>
      <c r="M47" s="713"/>
      <c r="N47" s="713">
        <f t="shared" si="5"/>
        <v>91500</v>
      </c>
      <c r="O47" s="91" t="s">
        <v>23</v>
      </c>
      <c r="P47" s="649"/>
      <c r="Q47" s="91" t="s">
        <v>35</v>
      </c>
      <c r="R47" s="713"/>
      <c r="S47" s="642"/>
      <c r="T47" s="713"/>
      <c r="U47" s="713"/>
      <c r="V47" s="713"/>
      <c r="W47" s="713"/>
    </row>
    <row r="48" spans="1:24" s="119" customFormat="1">
      <c r="A48" s="9">
        <v>44344</v>
      </c>
      <c r="B48" s="91" t="s">
        <v>23</v>
      </c>
      <c r="C48" s="91" t="s">
        <v>431</v>
      </c>
      <c r="D48" s="713" t="s">
        <v>31</v>
      </c>
      <c r="E48" s="718" t="s">
        <v>4168</v>
      </c>
      <c r="F48" s="718" t="s">
        <v>4169</v>
      </c>
      <c r="G48" s="30">
        <v>1</v>
      </c>
      <c r="H48" s="734">
        <v>137000</v>
      </c>
      <c r="I48" s="713">
        <f t="shared" si="3"/>
        <v>137000</v>
      </c>
      <c r="J48" s="713">
        <f>I48*25%</f>
        <v>34250</v>
      </c>
      <c r="K48" s="713">
        <f t="shared" si="4"/>
        <v>102750</v>
      </c>
      <c r="L48" s="713"/>
      <c r="M48" s="713"/>
      <c r="N48" s="713">
        <f t="shared" si="5"/>
        <v>102750</v>
      </c>
      <c r="O48" s="91" t="s">
        <v>23</v>
      </c>
      <c r="P48" s="659"/>
      <c r="Q48" s="91" t="s">
        <v>35</v>
      </c>
      <c r="R48" s="713"/>
      <c r="S48" s="713"/>
      <c r="T48" s="713"/>
      <c r="U48" s="713"/>
      <c r="V48" s="713"/>
      <c r="W48" s="713"/>
    </row>
    <row r="49" spans="1:23" s="119" customFormat="1">
      <c r="A49" s="9">
        <v>44344</v>
      </c>
      <c r="B49" s="10" t="s">
        <v>23</v>
      </c>
      <c r="C49" s="10" t="s">
        <v>4229</v>
      </c>
      <c r="D49" s="713" t="s">
        <v>4230</v>
      </c>
      <c r="E49" s="712" t="s">
        <v>1758</v>
      </c>
      <c r="F49" s="712" t="s">
        <v>1759</v>
      </c>
      <c r="G49" s="30">
        <v>7</v>
      </c>
      <c r="H49" s="713">
        <v>55000</v>
      </c>
      <c r="I49" s="713">
        <f t="shared" si="3"/>
        <v>385000</v>
      </c>
      <c r="J49" s="713">
        <f>I49*20%</f>
        <v>77000</v>
      </c>
      <c r="K49" s="713">
        <f t="shared" si="4"/>
        <v>308000</v>
      </c>
      <c r="L49" s="713"/>
      <c r="M49" s="713"/>
      <c r="N49" s="713">
        <f t="shared" si="5"/>
        <v>308000</v>
      </c>
      <c r="O49" s="10" t="s">
        <v>23</v>
      </c>
      <c r="P49" s="671"/>
      <c r="Q49" s="713"/>
      <c r="R49" s="713"/>
      <c r="S49" s="642"/>
      <c r="T49" s="713"/>
      <c r="U49" s="713"/>
      <c r="V49" s="713"/>
      <c r="W49" s="713"/>
    </row>
    <row r="50" spans="1:23" s="171" customFormat="1" hidden="1">
      <c r="A50" s="137">
        <v>44347</v>
      </c>
      <c r="B50" s="138" t="s">
        <v>43</v>
      </c>
      <c r="C50" s="138" t="s">
        <v>4202</v>
      </c>
      <c r="D50" s="171" t="s">
        <v>4203</v>
      </c>
      <c r="E50" s="146" t="s">
        <v>579</v>
      </c>
      <c r="F50" s="146" t="s">
        <v>72</v>
      </c>
      <c r="G50" s="141">
        <v>1</v>
      </c>
      <c r="H50" s="171">
        <v>108000</v>
      </c>
      <c r="I50" s="171">
        <f t="shared" si="3"/>
        <v>108000</v>
      </c>
      <c r="K50" s="713">
        <f t="shared" si="4"/>
        <v>108000</v>
      </c>
      <c r="M50" s="171">
        <v>-6048</v>
      </c>
      <c r="N50" s="171">
        <f t="shared" si="5"/>
        <v>101952</v>
      </c>
      <c r="O50" s="138" t="s">
        <v>43</v>
      </c>
      <c r="P50" s="642"/>
      <c r="Q50" s="138" t="s">
        <v>54</v>
      </c>
      <c r="S50" s="642"/>
    </row>
    <row r="51" spans="1:23" s="171" customFormat="1" hidden="1">
      <c r="A51" s="137">
        <v>44347</v>
      </c>
      <c r="B51" s="138" t="s">
        <v>43</v>
      </c>
      <c r="C51" s="146" t="s">
        <v>4206</v>
      </c>
      <c r="D51" s="171" t="s">
        <v>4231</v>
      </c>
      <c r="E51" s="146" t="s">
        <v>579</v>
      </c>
      <c r="F51" s="146" t="s">
        <v>72</v>
      </c>
      <c r="G51" s="692">
        <v>1</v>
      </c>
      <c r="H51" s="171">
        <v>108000</v>
      </c>
      <c r="I51" s="171">
        <f t="shared" si="3"/>
        <v>108000</v>
      </c>
      <c r="K51" s="713">
        <f t="shared" si="4"/>
        <v>108000</v>
      </c>
      <c r="M51" s="171">
        <v>-6048</v>
      </c>
      <c r="N51" s="171">
        <f t="shared" si="5"/>
        <v>101952</v>
      </c>
      <c r="O51" s="138" t="s">
        <v>43</v>
      </c>
      <c r="P51" s="648"/>
      <c r="Q51" s="138" t="s">
        <v>54</v>
      </c>
      <c r="S51" s="653"/>
    </row>
    <row r="52" spans="1:23" s="171" customFormat="1" hidden="1">
      <c r="A52" s="137">
        <v>44347</v>
      </c>
      <c r="B52" s="138" t="s">
        <v>43</v>
      </c>
      <c r="C52" s="146" t="s">
        <v>4232</v>
      </c>
      <c r="D52" s="171" t="s">
        <v>4233</v>
      </c>
      <c r="E52" s="693" t="s">
        <v>87</v>
      </c>
      <c r="F52" s="693" t="s">
        <v>110</v>
      </c>
      <c r="G52" s="694">
        <v>1</v>
      </c>
      <c r="H52" s="171">
        <v>75000</v>
      </c>
      <c r="I52" s="171">
        <f t="shared" si="3"/>
        <v>75000</v>
      </c>
      <c r="K52" s="713">
        <f t="shared" si="4"/>
        <v>75000</v>
      </c>
      <c r="L52" s="171">
        <v>18000</v>
      </c>
      <c r="M52" s="171">
        <v>-15152</v>
      </c>
      <c r="N52" s="171">
        <f t="shared" si="5"/>
        <v>77848</v>
      </c>
      <c r="O52" s="138" t="s">
        <v>43</v>
      </c>
      <c r="Q52" s="138" t="s">
        <v>54</v>
      </c>
    </row>
    <row r="53" spans="1:23" s="171" customFormat="1" hidden="1">
      <c r="A53" s="137">
        <v>44347</v>
      </c>
      <c r="B53" s="138" t="s">
        <v>43</v>
      </c>
      <c r="C53" s="146" t="s">
        <v>4232</v>
      </c>
      <c r="D53" s="171" t="s">
        <v>4234</v>
      </c>
      <c r="E53" s="693" t="s">
        <v>4235</v>
      </c>
      <c r="F53" s="693" t="s">
        <v>4236</v>
      </c>
      <c r="G53" s="695">
        <v>1</v>
      </c>
      <c r="H53" s="171">
        <v>105000</v>
      </c>
      <c r="I53" s="171">
        <f t="shared" si="3"/>
        <v>105000</v>
      </c>
      <c r="K53" s="713">
        <f t="shared" si="4"/>
        <v>105000</v>
      </c>
      <c r="N53" s="171">
        <f t="shared" si="5"/>
        <v>105000</v>
      </c>
      <c r="O53" s="138" t="s">
        <v>43</v>
      </c>
      <c r="P53" s="648"/>
      <c r="Q53" s="138" t="s">
        <v>54</v>
      </c>
      <c r="S53" s="648"/>
    </row>
    <row r="54" spans="1:23" s="171" customFormat="1" ht="15" hidden="1" customHeight="1">
      <c r="A54" s="137">
        <v>44347</v>
      </c>
      <c r="B54" s="138" t="s">
        <v>43</v>
      </c>
      <c r="C54" s="146" t="s">
        <v>4232</v>
      </c>
      <c r="D54" s="171" t="s">
        <v>4237</v>
      </c>
      <c r="E54" s="693" t="s">
        <v>4238</v>
      </c>
      <c r="F54" s="693" t="s">
        <v>4239</v>
      </c>
      <c r="G54" s="141">
        <v>1</v>
      </c>
      <c r="H54" s="171">
        <v>97000</v>
      </c>
      <c r="I54" s="171">
        <f t="shared" si="3"/>
        <v>97000</v>
      </c>
      <c r="K54" s="713">
        <f t="shared" si="4"/>
        <v>97000</v>
      </c>
      <c r="N54" s="171">
        <f t="shared" si="5"/>
        <v>97000</v>
      </c>
      <c r="O54" s="138" t="s">
        <v>43</v>
      </c>
      <c r="Q54" s="138" t="s">
        <v>54</v>
      </c>
      <c r="S54" s="696"/>
    </row>
    <row r="55" spans="1:23" s="171" customFormat="1" hidden="1">
      <c r="A55" s="137">
        <v>44347</v>
      </c>
      <c r="B55" s="138" t="s">
        <v>43</v>
      </c>
      <c r="C55" s="146" t="s">
        <v>4240</v>
      </c>
      <c r="D55" s="171" t="s">
        <v>4241</v>
      </c>
      <c r="E55" s="697" t="s">
        <v>95</v>
      </c>
      <c r="F55" s="697" t="s">
        <v>117</v>
      </c>
      <c r="G55" s="141">
        <v>1</v>
      </c>
      <c r="H55" s="171">
        <v>75000</v>
      </c>
      <c r="I55" s="171">
        <f t="shared" si="3"/>
        <v>75000</v>
      </c>
      <c r="K55" s="713">
        <f t="shared" si="4"/>
        <v>75000</v>
      </c>
      <c r="M55" s="171">
        <v>-7700</v>
      </c>
      <c r="N55" s="171">
        <f t="shared" si="5"/>
        <v>67300</v>
      </c>
      <c r="O55" s="138" t="s">
        <v>43</v>
      </c>
      <c r="Q55" s="138" t="s">
        <v>176</v>
      </c>
    </row>
    <row r="56" spans="1:23" s="171" customFormat="1" hidden="1">
      <c r="A56" s="137">
        <v>44347</v>
      </c>
      <c r="B56" s="138" t="s">
        <v>43</v>
      </c>
      <c r="C56" s="698" t="s">
        <v>4240</v>
      </c>
      <c r="D56" s="171" t="s">
        <v>4241</v>
      </c>
      <c r="E56" s="697" t="s">
        <v>4200</v>
      </c>
      <c r="F56" s="697" t="s">
        <v>4201</v>
      </c>
      <c r="G56" s="141">
        <v>1</v>
      </c>
      <c r="H56" s="171">
        <v>62500</v>
      </c>
      <c r="I56" s="171">
        <f t="shared" si="3"/>
        <v>62500</v>
      </c>
      <c r="K56" s="713">
        <f t="shared" si="4"/>
        <v>62500</v>
      </c>
      <c r="N56" s="171">
        <f t="shared" si="5"/>
        <v>62500</v>
      </c>
      <c r="O56" s="138" t="s">
        <v>43</v>
      </c>
      <c r="Q56" s="138" t="s">
        <v>176</v>
      </c>
    </row>
    <row r="57" spans="1:23" s="171" customFormat="1">
      <c r="A57" s="137">
        <v>44347</v>
      </c>
      <c r="B57" s="138" t="s">
        <v>23</v>
      </c>
      <c r="C57" s="138" t="s">
        <v>4242</v>
      </c>
      <c r="D57" s="171" t="s">
        <v>4243</v>
      </c>
      <c r="E57" s="146" t="s">
        <v>4244</v>
      </c>
      <c r="F57" s="146" t="s">
        <v>4245</v>
      </c>
      <c r="G57" s="141">
        <v>1</v>
      </c>
      <c r="H57" s="171">
        <v>95500</v>
      </c>
      <c r="I57" s="171">
        <f t="shared" si="3"/>
        <v>95500</v>
      </c>
      <c r="J57" s="171">
        <f>I57-76400</f>
        <v>19100</v>
      </c>
      <c r="K57" s="713">
        <f t="shared" si="4"/>
        <v>76400</v>
      </c>
      <c r="L57" s="171">
        <v>42000</v>
      </c>
      <c r="N57" s="171">
        <f t="shared" si="5"/>
        <v>118400</v>
      </c>
      <c r="O57" s="138" t="s">
        <v>23</v>
      </c>
      <c r="P57" s="642"/>
      <c r="Q57" s="138" t="s">
        <v>28</v>
      </c>
      <c r="S57" s="642"/>
    </row>
    <row r="58" spans="1:23" s="171" customFormat="1" hidden="1">
      <c r="A58" s="137">
        <v>44347</v>
      </c>
      <c r="B58" s="138" t="s">
        <v>43</v>
      </c>
      <c r="C58" s="146" t="s">
        <v>4246</v>
      </c>
      <c r="D58" s="171" t="s">
        <v>4247</v>
      </c>
      <c r="E58" s="146" t="s">
        <v>4248</v>
      </c>
      <c r="F58" s="146" t="s">
        <v>1391</v>
      </c>
      <c r="G58" s="141">
        <v>1</v>
      </c>
      <c r="H58" s="171">
        <v>59500</v>
      </c>
      <c r="I58" s="171">
        <f t="shared" si="3"/>
        <v>59500</v>
      </c>
      <c r="K58" s="713">
        <f t="shared" si="4"/>
        <v>59500</v>
      </c>
      <c r="M58" s="171">
        <v>-3332</v>
      </c>
      <c r="N58" s="171">
        <f t="shared" si="5"/>
        <v>56168</v>
      </c>
      <c r="O58" s="138" t="s">
        <v>43</v>
      </c>
      <c r="P58" s="699"/>
      <c r="Q58" s="138" t="s">
        <v>176</v>
      </c>
      <c r="S58" s="642"/>
    </row>
    <row r="59" spans="1:23" s="171" customFormat="1" hidden="1">
      <c r="A59" s="137">
        <v>44347</v>
      </c>
      <c r="B59" s="138" t="s">
        <v>43</v>
      </c>
      <c r="C59" s="146" t="s">
        <v>4249</v>
      </c>
      <c r="D59" s="171" t="s">
        <v>4250</v>
      </c>
      <c r="E59" s="146" t="s">
        <v>3035</v>
      </c>
      <c r="F59" s="146" t="s">
        <v>3036</v>
      </c>
      <c r="G59" s="141">
        <v>1</v>
      </c>
      <c r="H59" s="171">
        <v>84000</v>
      </c>
      <c r="I59" s="171">
        <f t="shared" si="3"/>
        <v>84000</v>
      </c>
      <c r="K59" s="713">
        <f t="shared" si="4"/>
        <v>84000</v>
      </c>
      <c r="M59" s="171">
        <v>-4704</v>
      </c>
      <c r="N59" s="171">
        <f t="shared" si="5"/>
        <v>79296</v>
      </c>
      <c r="O59" s="138" t="s">
        <v>43</v>
      </c>
      <c r="P59" s="642"/>
      <c r="Q59" s="138" t="s">
        <v>54</v>
      </c>
      <c r="S59" s="642"/>
    </row>
    <row r="60" spans="1:23" s="171" customFormat="1" hidden="1">
      <c r="A60" s="137">
        <v>44347</v>
      </c>
      <c r="B60" s="138" t="s">
        <v>43</v>
      </c>
      <c r="C60" s="138" t="s">
        <v>4251</v>
      </c>
      <c r="D60" s="171" t="s">
        <v>4252</v>
      </c>
      <c r="E60" s="146" t="s">
        <v>1351</v>
      </c>
      <c r="F60" s="146" t="s">
        <v>1352</v>
      </c>
      <c r="G60" s="141">
        <v>1</v>
      </c>
      <c r="H60" s="171">
        <v>41000</v>
      </c>
      <c r="I60" s="171">
        <f t="shared" si="3"/>
        <v>41000</v>
      </c>
      <c r="K60" s="713">
        <f t="shared" si="4"/>
        <v>41000</v>
      </c>
      <c r="M60" s="171">
        <v>-2296</v>
      </c>
      <c r="N60" s="171">
        <f t="shared" si="5"/>
        <v>38704</v>
      </c>
      <c r="O60" s="138" t="s">
        <v>43</v>
      </c>
      <c r="P60" s="642"/>
      <c r="Q60" s="138" t="s">
        <v>176</v>
      </c>
      <c r="S60" s="642"/>
    </row>
    <row r="61" spans="1:23" s="119" customFormat="1" hidden="1">
      <c r="A61" s="9">
        <v>44349</v>
      </c>
      <c r="B61" s="10" t="s">
        <v>43</v>
      </c>
      <c r="C61" s="11" t="s">
        <v>4253</v>
      </c>
      <c r="D61" s="713" t="s">
        <v>4254</v>
      </c>
      <c r="E61" s="719" t="s">
        <v>3775</v>
      </c>
      <c r="F61" s="719" t="s">
        <v>4255</v>
      </c>
      <c r="G61" s="30">
        <v>1</v>
      </c>
      <c r="H61" s="171">
        <v>115500</v>
      </c>
      <c r="I61" s="171">
        <f t="shared" si="3"/>
        <v>115500</v>
      </c>
      <c r="J61" s="713"/>
      <c r="K61" s="713">
        <f t="shared" si="4"/>
        <v>115500</v>
      </c>
      <c r="L61" s="713"/>
      <c r="M61" s="171">
        <v>-11228</v>
      </c>
      <c r="N61" s="171">
        <f t="shared" si="5"/>
        <v>104272</v>
      </c>
      <c r="O61" s="10" t="s">
        <v>43</v>
      </c>
      <c r="P61" s="649"/>
      <c r="Q61" s="10" t="s">
        <v>54</v>
      </c>
      <c r="R61" s="713"/>
      <c r="S61" s="642"/>
      <c r="T61" s="713"/>
      <c r="U61" s="713"/>
      <c r="V61" s="713"/>
      <c r="W61" s="713"/>
    </row>
    <row r="62" spans="1:23" s="119" customFormat="1" hidden="1">
      <c r="A62" s="9">
        <v>44349</v>
      </c>
      <c r="B62" s="10" t="s">
        <v>43</v>
      </c>
      <c r="C62" s="11" t="s">
        <v>4253</v>
      </c>
      <c r="D62" s="713" t="s">
        <v>4254</v>
      </c>
      <c r="E62" s="719" t="s">
        <v>3024</v>
      </c>
      <c r="F62" s="719" t="s">
        <v>4256</v>
      </c>
      <c r="G62" s="30">
        <v>1</v>
      </c>
      <c r="H62" s="171">
        <v>85000</v>
      </c>
      <c r="I62" s="171">
        <f t="shared" si="3"/>
        <v>85000</v>
      </c>
      <c r="J62" s="713"/>
      <c r="K62" s="713">
        <f t="shared" si="4"/>
        <v>85000</v>
      </c>
      <c r="L62" s="713"/>
      <c r="M62" s="713"/>
      <c r="N62" s="171">
        <f t="shared" si="5"/>
        <v>85000</v>
      </c>
      <c r="O62" s="10" t="s">
        <v>43</v>
      </c>
      <c r="P62" s="649"/>
      <c r="Q62" s="10" t="s">
        <v>54</v>
      </c>
      <c r="R62" s="713"/>
      <c r="S62" s="642"/>
      <c r="T62" s="713"/>
      <c r="U62" s="713"/>
      <c r="V62" s="713"/>
      <c r="W62" s="713"/>
    </row>
    <row r="63" spans="1:23" s="119" customFormat="1">
      <c r="A63" s="9">
        <v>44349</v>
      </c>
      <c r="B63" s="10" t="s">
        <v>23</v>
      </c>
      <c r="C63" s="11" t="s">
        <v>4257</v>
      </c>
      <c r="D63" s="713" t="s">
        <v>4258</v>
      </c>
      <c r="E63" s="720" t="s">
        <v>1428</v>
      </c>
      <c r="F63" s="720" t="s">
        <v>1429</v>
      </c>
      <c r="G63" s="30">
        <v>1</v>
      </c>
      <c r="H63" s="171">
        <v>41000</v>
      </c>
      <c r="I63" s="171">
        <f t="shared" si="3"/>
        <v>41000</v>
      </c>
      <c r="J63" s="713"/>
      <c r="K63" s="713">
        <f t="shared" si="4"/>
        <v>41000</v>
      </c>
      <c r="L63" s="713">
        <v>7000</v>
      </c>
      <c r="M63" s="675"/>
      <c r="N63" s="171">
        <f t="shared" si="5"/>
        <v>48000</v>
      </c>
      <c r="O63" s="10" t="s">
        <v>23</v>
      </c>
      <c r="P63" s="676"/>
      <c r="Q63" s="10" t="s">
        <v>28</v>
      </c>
      <c r="R63" s="713"/>
      <c r="S63" s="653"/>
      <c r="T63" s="713"/>
      <c r="U63" s="713"/>
      <c r="V63" s="713"/>
      <c r="W63" s="713"/>
    </row>
    <row r="64" spans="1:23" s="119" customFormat="1">
      <c r="A64" s="9">
        <v>44349</v>
      </c>
      <c r="B64" s="10" t="s">
        <v>23</v>
      </c>
      <c r="C64" s="11" t="s">
        <v>4257</v>
      </c>
      <c r="D64" s="713" t="s">
        <v>4258</v>
      </c>
      <c r="E64" s="720" t="s">
        <v>4259</v>
      </c>
      <c r="F64" s="720" t="s">
        <v>4260</v>
      </c>
      <c r="G64" s="656">
        <v>1</v>
      </c>
      <c r="H64" s="171">
        <v>75500</v>
      </c>
      <c r="I64" s="171">
        <f t="shared" si="3"/>
        <v>75500</v>
      </c>
      <c r="J64" s="713"/>
      <c r="K64" s="713">
        <f t="shared" si="4"/>
        <v>75500</v>
      </c>
      <c r="L64" s="713"/>
      <c r="M64" s="713"/>
      <c r="N64" s="171">
        <f t="shared" si="5"/>
        <v>75500</v>
      </c>
      <c r="O64" s="10" t="s">
        <v>23</v>
      </c>
      <c r="P64" s="677"/>
      <c r="Q64" s="10" t="s">
        <v>28</v>
      </c>
      <c r="R64" s="713"/>
      <c r="S64" s="653"/>
      <c r="T64" s="713"/>
      <c r="U64" s="713"/>
      <c r="V64" s="713"/>
      <c r="W64" s="713"/>
    </row>
    <row r="65" spans="1:23" s="119" customFormat="1" ht="16.8" hidden="1">
      <c r="A65" s="9">
        <v>44349</v>
      </c>
      <c r="B65" s="91" t="s">
        <v>3414</v>
      </c>
      <c r="C65" s="91" t="s">
        <v>4261</v>
      </c>
      <c r="D65" s="713" t="s">
        <v>4262</v>
      </c>
      <c r="E65" s="712" t="s">
        <v>95</v>
      </c>
      <c r="F65" s="712" t="s">
        <v>117</v>
      </c>
      <c r="G65" s="30">
        <v>1</v>
      </c>
      <c r="H65" s="171">
        <v>75000</v>
      </c>
      <c r="I65" s="171">
        <f t="shared" si="3"/>
        <v>75000</v>
      </c>
      <c r="J65" s="713"/>
      <c r="K65" s="713">
        <f t="shared" si="4"/>
        <v>75000</v>
      </c>
      <c r="L65" s="713">
        <v>9000</v>
      </c>
      <c r="M65" s="713">
        <v>-4200</v>
      </c>
      <c r="N65" s="171">
        <f t="shared" si="5"/>
        <v>79800</v>
      </c>
      <c r="O65" s="91" t="s">
        <v>3414</v>
      </c>
      <c r="P65" s="664"/>
      <c r="Q65" s="91" t="s">
        <v>176</v>
      </c>
      <c r="R65" s="713"/>
      <c r="S65" s="700"/>
      <c r="T65" s="713"/>
      <c r="U65" s="713"/>
      <c r="V65" s="713"/>
      <c r="W65" s="713"/>
    </row>
    <row r="66" spans="1:23" s="119" customFormat="1" hidden="1">
      <c r="A66" s="9">
        <v>44349</v>
      </c>
      <c r="B66" s="91" t="s">
        <v>3414</v>
      </c>
      <c r="C66" s="91" t="s">
        <v>4263</v>
      </c>
      <c r="D66" s="713" t="s">
        <v>4264</v>
      </c>
      <c r="E66" s="712" t="s">
        <v>3328</v>
      </c>
      <c r="F66" s="712" t="s">
        <v>3329</v>
      </c>
      <c r="G66" s="30">
        <v>1</v>
      </c>
      <c r="H66" s="171">
        <v>68500</v>
      </c>
      <c r="I66" s="171">
        <f t="shared" ref="I66:I97" si="7">G66*H66</f>
        <v>68500</v>
      </c>
      <c r="J66" s="713"/>
      <c r="K66" s="713">
        <f t="shared" ref="K66:K97" si="8">I66-J66</f>
        <v>68500</v>
      </c>
      <c r="L66" s="713">
        <v>9000</v>
      </c>
      <c r="M66" s="713">
        <v>-3836</v>
      </c>
      <c r="N66" s="171">
        <f t="shared" ref="N66:N97" si="9">K66+L66+M66</f>
        <v>73664</v>
      </c>
      <c r="O66" s="91" t="s">
        <v>3414</v>
      </c>
      <c r="P66" s="676"/>
      <c r="Q66" s="91" t="s">
        <v>176</v>
      </c>
      <c r="R66" s="713"/>
      <c r="S66" s="713"/>
      <c r="T66" s="713"/>
      <c r="U66" s="713"/>
      <c r="V66" s="713"/>
      <c r="W66" s="713"/>
    </row>
    <row r="67" spans="1:23" s="119" customFormat="1" hidden="1">
      <c r="A67" s="9">
        <v>44349</v>
      </c>
      <c r="B67" s="91" t="s">
        <v>3414</v>
      </c>
      <c r="C67" s="123" t="s">
        <v>4265</v>
      </c>
      <c r="D67" s="713" t="s">
        <v>4266</v>
      </c>
      <c r="E67" s="712" t="s">
        <v>579</v>
      </c>
      <c r="F67" s="712" t="s">
        <v>72</v>
      </c>
      <c r="G67" s="30">
        <v>1</v>
      </c>
      <c r="H67" s="171">
        <v>108000</v>
      </c>
      <c r="I67" s="171">
        <f t="shared" si="7"/>
        <v>108000</v>
      </c>
      <c r="J67" s="713"/>
      <c r="K67" s="713">
        <f t="shared" si="8"/>
        <v>108000</v>
      </c>
      <c r="L67" s="713">
        <v>13000</v>
      </c>
      <c r="M67" s="713">
        <v>-6048</v>
      </c>
      <c r="N67" s="171">
        <f t="shared" si="9"/>
        <v>114952</v>
      </c>
      <c r="O67" s="91" t="s">
        <v>3414</v>
      </c>
      <c r="P67" s="676"/>
      <c r="Q67" s="91" t="s">
        <v>176</v>
      </c>
      <c r="R67" s="713"/>
      <c r="S67" s="713"/>
      <c r="T67" s="713"/>
      <c r="U67" s="713"/>
      <c r="V67" s="713"/>
      <c r="W67" s="713"/>
    </row>
    <row r="68" spans="1:23" s="119" customFormat="1" hidden="1">
      <c r="A68" s="9">
        <v>44349</v>
      </c>
      <c r="B68" s="91" t="s">
        <v>3414</v>
      </c>
      <c r="C68" s="123" t="s">
        <v>4267</v>
      </c>
      <c r="D68" s="713" t="s">
        <v>4268</v>
      </c>
      <c r="E68" s="712" t="s">
        <v>579</v>
      </c>
      <c r="F68" s="712" t="s">
        <v>72</v>
      </c>
      <c r="G68" s="30">
        <v>1</v>
      </c>
      <c r="H68" s="171">
        <v>108000</v>
      </c>
      <c r="I68" s="171">
        <f t="shared" si="7"/>
        <v>108000</v>
      </c>
      <c r="J68" s="713"/>
      <c r="K68" s="713">
        <f t="shared" si="8"/>
        <v>108000</v>
      </c>
      <c r="L68" s="713">
        <v>6000</v>
      </c>
      <c r="M68" s="713">
        <v>-6048</v>
      </c>
      <c r="N68" s="171">
        <f t="shared" si="9"/>
        <v>107952</v>
      </c>
      <c r="O68" s="91" t="s">
        <v>3414</v>
      </c>
      <c r="P68" s="493"/>
      <c r="Q68" s="91" t="s">
        <v>176</v>
      </c>
      <c r="R68" s="713"/>
      <c r="S68" s="713"/>
      <c r="T68" s="713"/>
      <c r="U68" s="713"/>
      <c r="V68" s="713"/>
      <c r="W68" s="713"/>
    </row>
    <row r="69" spans="1:23" s="119" customFormat="1" hidden="1">
      <c r="A69" s="9">
        <v>44349</v>
      </c>
      <c r="B69" s="91" t="s">
        <v>206</v>
      </c>
      <c r="C69" s="123" t="s">
        <v>4269</v>
      </c>
      <c r="D69" s="713" t="s">
        <v>4270</v>
      </c>
      <c r="E69" s="712" t="s">
        <v>4271</v>
      </c>
      <c r="F69" s="712" t="s">
        <v>4272</v>
      </c>
      <c r="G69" s="30">
        <v>1</v>
      </c>
      <c r="H69" s="171">
        <v>65000</v>
      </c>
      <c r="I69" s="171">
        <f t="shared" si="7"/>
        <v>65000</v>
      </c>
      <c r="J69" s="713"/>
      <c r="K69" s="713">
        <f t="shared" si="8"/>
        <v>65000</v>
      </c>
      <c r="L69" s="713">
        <v>17400</v>
      </c>
      <c r="M69" s="713"/>
      <c r="N69" s="171">
        <f t="shared" si="9"/>
        <v>82400</v>
      </c>
      <c r="O69" s="91" t="s">
        <v>206</v>
      </c>
      <c r="P69" s="493"/>
      <c r="Q69" s="91" t="s">
        <v>176</v>
      </c>
      <c r="R69" s="713"/>
      <c r="S69" s="713"/>
      <c r="T69" s="713"/>
      <c r="U69" s="713"/>
      <c r="V69" s="713"/>
      <c r="W69" s="713"/>
    </row>
    <row r="70" spans="1:23" s="119" customFormat="1" hidden="1">
      <c r="A70" s="9">
        <v>44349</v>
      </c>
      <c r="B70" s="91" t="s">
        <v>206</v>
      </c>
      <c r="C70" s="123" t="s">
        <v>4273</v>
      </c>
      <c r="D70" s="713" t="s">
        <v>4274</v>
      </c>
      <c r="E70" s="719" t="s">
        <v>4275</v>
      </c>
      <c r="F70" s="719" t="s">
        <v>4276</v>
      </c>
      <c r="G70" s="30">
        <v>1</v>
      </c>
      <c r="H70" s="171">
        <v>88000</v>
      </c>
      <c r="I70" s="171">
        <f t="shared" si="7"/>
        <v>88000</v>
      </c>
      <c r="J70" s="713"/>
      <c r="K70" s="713">
        <f t="shared" si="8"/>
        <v>88000</v>
      </c>
      <c r="L70" s="713">
        <v>13000</v>
      </c>
      <c r="M70" s="713"/>
      <c r="N70" s="171">
        <f t="shared" si="9"/>
        <v>101000</v>
      </c>
      <c r="O70" s="91" t="s">
        <v>206</v>
      </c>
      <c r="P70" s="493"/>
      <c r="Q70" s="91" t="s">
        <v>40</v>
      </c>
      <c r="R70" s="713"/>
      <c r="S70" s="713"/>
      <c r="T70" s="713"/>
      <c r="U70" s="713"/>
      <c r="V70" s="713"/>
      <c r="W70" s="713"/>
    </row>
    <row r="71" spans="1:23" s="119" customFormat="1" hidden="1">
      <c r="A71" s="9">
        <v>44349</v>
      </c>
      <c r="B71" s="91" t="s">
        <v>206</v>
      </c>
      <c r="C71" s="123" t="s">
        <v>4273</v>
      </c>
      <c r="D71" s="713" t="s">
        <v>4274</v>
      </c>
      <c r="E71" s="719" t="s">
        <v>2169</v>
      </c>
      <c r="F71" s="719" t="s">
        <v>128</v>
      </c>
      <c r="G71" s="30">
        <v>1</v>
      </c>
      <c r="H71" s="171">
        <v>77500</v>
      </c>
      <c r="I71" s="171">
        <f t="shared" si="7"/>
        <v>77500</v>
      </c>
      <c r="J71" s="713"/>
      <c r="K71" s="713">
        <f t="shared" si="8"/>
        <v>77500</v>
      </c>
      <c r="L71" s="713"/>
      <c r="M71" s="713"/>
      <c r="N71" s="171">
        <f t="shared" si="9"/>
        <v>77500</v>
      </c>
      <c r="O71" s="91" t="s">
        <v>206</v>
      </c>
      <c r="P71" s="713"/>
      <c r="Q71" s="91" t="s">
        <v>40</v>
      </c>
      <c r="R71" s="713"/>
      <c r="S71" s="713"/>
      <c r="T71" s="713"/>
      <c r="U71" s="713"/>
      <c r="V71" s="713"/>
      <c r="W71" s="713"/>
    </row>
    <row r="72" spans="1:23" s="119" customFormat="1" hidden="1">
      <c r="A72" s="9">
        <v>44349</v>
      </c>
      <c r="B72" s="91" t="s">
        <v>206</v>
      </c>
      <c r="C72" s="123" t="s">
        <v>4273</v>
      </c>
      <c r="D72" s="713" t="s">
        <v>4274</v>
      </c>
      <c r="E72" s="719" t="s">
        <v>4277</v>
      </c>
      <c r="F72" s="719" t="s">
        <v>4278</v>
      </c>
      <c r="G72" s="30">
        <v>1</v>
      </c>
      <c r="H72" s="171">
        <v>88000</v>
      </c>
      <c r="I72" s="171">
        <f t="shared" si="7"/>
        <v>88000</v>
      </c>
      <c r="J72" s="713"/>
      <c r="K72" s="713">
        <f t="shared" si="8"/>
        <v>88000</v>
      </c>
      <c r="L72" s="713"/>
      <c r="M72" s="713"/>
      <c r="N72" s="171">
        <f t="shared" si="9"/>
        <v>88000</v>
      </c>
      <c r="O72" s="91" t="s">
        <v>206</v>
      </c>
      <c r="P72" s="649"/>
      <c r="Q72" s="91" t="s">
        <v>40</v>
      </c>
      <c r="R72" s="713"/>
      <c r="S72" s="642"/>
      <c r="T72" s="713"/>
      <c r="U72" s="713"/>
      <c r="V72" s="713"/>
      <c r="W72" s="713"/>
    </row>
    <row r="73" spans="1:23" s="119" customFormat="1" hidden="1">
      <c r="A73" s="9">
        <v>44349</v>
      </c>
      <c r="B73" s="91" t="s">
        <v>177</v>
      </c>
      <c r="C73" s="123" t="s">
        <v>3826</v>
      </c>
      <c r="D73" s="713" t="s">
        <v>3827</v>
      </c>
      <c r="E73" s="712" t="s">
        <v>4279</v>
      </c>
      <c r="F73" s="712" t="s">
        <v>4280</v>
      </c>
      <c r="G73" s="30">
        <v>1</v>
      </c>
      <c r="H73" s="171">
        <v>142000</v>
      </c>
      <c r="I73" s="171">
        <f t="shared" si="7"/>
        <v>142000</v>
      </c>
      <c r="J73" s="713"/>
      <c r="K73" s="713">
        <f t="shared" si="8"/>
        <v>142000</v>
      </c>
      <c r="L73" s="713">
        <v>5000</v>
      </c>
      <c r="M73" s="713"/>
      <c r="N73" s="171">
        <f t="shared" si="9"/>
        <v>147000</v>
      </c>
      <c r="O73" s="91" t="s">
        <v>177</v>
      </c>
      <c r="P73" s="649"/>
      <c r="Q73" s="91" t="s">
        <v>54</v>
      </c>
      <c r="R73" s="713"/>
      <c r="S73" s="681"/>
      <c r="T73" s="713"/>
      <c r="U73" s="713"/>
      <c r="V73" s="713"/>
      <c r="W73" s="713"/>
    </row>
    <row r="74" spans="1:23" s="119" customFormat="1" ht="17.25" hidden="1" customHeight="1">
      <c r="A74" s="9">
        <v>44349</v>
      </c>
      <c r="B74" s="91" t="s">
        <v>313</v>
      </c>
      <c r="C74" s="123" t="s">
        <v>4281</v>
      </c>
      <c r="D74" s="713" t="s">
        <v>4282</v>
      </c>
      <c r="E74" s="721" t="s">
        <v>4283</v>
      </c>
      <c r="F74" s="721" t="s">
        <v>3471</v>
      </c>
      <c r="G74" s="30">
        <v>1</v>
      </c>
      <c r="H74" s="171">
        <v>59000</v>
      </c>
      <c r="I74" s="171">
        <f t="shared" si="7"/>
        <v>59000</v>
      </c>
      <c r="J74" s="713">
        <f>I74*20%</f>
        <v>11800</v>
      </c>
      <c r="K74" s="713">
        <f t="shared" si="8"/>
        <v>47200</v>
      </c>
      <c r="L74" s="713">
        <v>56004</v>
      </c>
      <c r="M74" s="713"/>
      <c r="N74" s="171">
        <f t="shared" si="9"/>
        <v>103204</v>
      </c>
      <c r="O74" s="91" t="s">
        <v>313</v>
      </c>
      <c r="P74" s="713"/>
      <c r="Q74" s="91" t="s">
        <v>28</v>
      </c>
      <c r="R74" s="713"/>
      <c r="S74" s="664"/>
      <c r="T74" s="713"/>
      <c r="U74" s="713"/>
      <c r="V74" s="713"/>
      <c r="W74" s="713"/>
    </row>
    <row r="75" spans="1:23" s="119" customFormat="1" hidden="1">
      <c r="A75" s="9">
        <v>44349</v>
      </c>
      <c r="B75" s="91" t="s">
        <v>313</v>
      </c>
      <c r="C75" s="123" t="s">
        <v>4281</v>
      </c>
      <c r="D75" s="713" t="s">
        <v>4282</v>
      </c>
      <c r="E75" s="721" t="s">
        <v>441</v>
      </c>
      <c r="F75" s="721" t="s">
        <v>1257</v>
      </c>
      <c r="G75" s="30">
        <v>1</v>
      </c>
      <c r="H75" s="171">
        <v>198000</v>
      </c>
      <c r="I75" s="171">
        <f t="shared" si="7"/>
        <v>198000</v>
      </c>
      <c r="J75" s="713">
        <f>I75*20%</f>
        <v>39600</v>
      </c>
      <c r="K75" s="713">
        <f t="shared" si="8"/>
        <v>158400</v>
      </c>
      <c r="L75" s="713"/>
      <c r="M75" s="713"/>
      <c r="N75" s="171">
        <f t="shared" si="9"/>
        <v>158400</v>
      </c>
      <c r="O75" s="91" t="s">
        <v>313</v>
      </c>
      <c r="P75" s="677"/>
      <c r="Q75" s="91" t="s">
        <v>28</v>
      </c>
      <c r="R75" s="713"/>
      <c r="S75" s="711"/>
      <c r="T75" s="713"/>
      <c r="U75" s="713"/>
      <c r="V75" s="713"/>
      <c r="W75" s="713"/>
    </row>
    <row r="76" spans="1:23" s="119" customFormat="1" hidden="1">
      <c r="A76" s="9">
        <v>44349</v>
      </c>
      <c r="B76" s="91" t="s">
        <v>313</v>
      </c>
      <c r="C76" s="123" t="s">
        <v>4281</v>
      </c>
      <c r="D76" s="713" t="s">
        <v>4282</v>
      </c>
      <c r="E76" s="721" t="s">
        <v>4284</v>
      </c>
      <c r="F76" s="721" t="s">
        <v>1299</v>
      </c>
      <c r="G76" s="30">
        <v>6</v>
      </c>
      <c r="H76" s="171">
        <v>59000</v>
      </c>
      <c r="I76" s="171">
        <f t="shared" si="7"/>
        <v>354000</v>
      </c>
      <c r="J76" s="713">
        <f>I76*20%</f>
        <v>70800</v>
      </c>
      <c r="K76" s="713">
        <f t="shared" si="8"/>
        <v>283200</v>
      </c>
      <c r="L76" s="713"/>
      <c r="M76" s="713"/>
      <c r="N76" s="171">
        <f t="shared" si="9"/>
        <v>283200</v>
      </c>
      <c r="O76" s="91" t="s">
        <v>313</v>
      </c>
      <c r="P76" s="711"/>
      <c r="Q76" s="91" t="s">
        <v>28</v>
      </c>
      <c r="R76" s="713"/>
      <c r="S76" s="711"/>
      <c r="T76" s="713"/>
      <c r="U76" s="713"/>
      <c r="V76" s="713"/>
      <c r="W76" s="713"/>
    </row>
    <row r="77" spans="1:23" s="119" customFormat="1">
      <c r="A77" s="9">
        <v>44349</v>
      </c>
      <c r="B77" s="91" t="s">
        <v>23</v>
      </c>
      <c r="C77" s="123" t="s">
        <v>4217</v>
      </c>
      <c r="E77" s="722" t="s">
        <v>4286</v>
      </c>
      <c r="F77" s="722" t="s">
        <v>4287</v>
      </c>
      <c r="G77" s="30">
        <v>2</v>
      </c>
      <c r="H77" s="734">
        <v>92000</v>
      </c>
      <c r="I77" s="171">
        <f t="shared" si="7"/>
        <v>184000</v>
      </c>
      <c r="J77" s="713">
        <f t="shared" ref="J77:J82" si="10">I77*25%</f>
        <v>46000</v>
      </c>
      <c r="K77" s="713">
        <f t="shared" si="8"/>
        <v>138000</v>
      </c>
      <c r="L77" s="713">
        <v>33000</v>
      </c>
      <c r="M77" s="713"/>
      <c r="N77" s="171">
        <f t="shared" si="9"/>
        <v>171000</v>
      </c>
      <c r="O77" s="91" t="s">
        <v>23</v>
      </c>
      <c r="P77" s="711"/>
      <c r="Q77" s="10" t="s">
        <v>40</v>
      </c>
      <c r="R77" s="713"/>
      <c r="S77" s="711"/>
      <c r="T77" s="713"/>
      <c r="U77" s="713"/>
      <c r="V77" s="713"/>
      <c r="W77" s="713"/>
    </row>
    <row r="78" spans="1:23" s="119" customFormat="1">
      <c r="A78" s="9">
        <v>44349</v>
      </c>
      <c r="B78" s="91" t="s">
        <v>23</v>
      </c>
      <c r="C78" s="123" t="s">
        <v>4217</v>
      </c>
      <c r="D78" s="713" t="s">
        <v>4288</v>
      </c>
      <c r="E78" s="722" t="s">
        <v>4289</v>
      </c>
      <c r="F78" s="722" t="s">
        <v>4290</v>
      </c>
      <c r="G78" s="30">
        <v>2</v>
      </c>
      <c r="H78" s="734">
        <v>106000</v>
      </c>
      <c r="I78" s="171">
        <f t="shared" si="7"/>
        <v>212000</v>
      </c>
      <c r="J78" s="713">
        <f t="shared" si="10"/>
        <v>53000</v>
      </c>
      <c r="K78" s="713">
        <f t="shared" si="8"/>
        <v>159000</v>
      </c>
      <c r="L78" s="713"/>
      <c r="M78" s="713"/>
      <c r="N78" s="171">
        <f t="shared" si="9"/>
        <v>159000</v>
      </c>
      <c r="O78" s="91" t="s">
        <v>23</v>
      </c>
      <c r="P78" s="713"/>
      <c r="Q78" s="10" t="s">
        <v>40</v>
      </c>
      <c r="R78" s="713"/>
      <c r="S78" s="713"/>
      <c r="T78" s="713"/>
      <c r="U78" s="713"/>
      <c r="V78" s="713"/>
      <c r="W78" s="713"/>
    </row>
    <row r="79" spans="1:23" s="119" customFormat="1">
      <c r="A79" s="9">
        <v>44349</v>
      </c>
      <c r="B79" s="91" t="s">
        <v>23</v>
      </c>
      <c r="C79" s="123" t="s">
        <v>4217</v>
      </c>
      <c r="D79" s="713" t="s">
        <v>4291</v>
      </c>
      <c r="E79" s="722" t="s">
        <v>837</v>
      </c>
      <c r="F79" s="722" t="s">
        <v>838</v>
      </c>
      <c r="G79" s="30">
        <v>2</v>
      </c>
      <c r="H79" s="734">
        <v>166000</v>
      </c>
      <c r="I79" s="171">
        <f t="shared" si="7"/>
        <v>332000</v>
      </c>
      <c r="J79" s="713">
        <f t="shared" si="10"/>
        <v>83000</v>
      </c>
      <c r="K79" s="713">
        <f t="shared" si="8"/>
        <v>249000</v>
      </c>
      <c r="L79" s="713"/>
      <c r="M79" s="713"/>
      <c r="N79" s="171">
        <f t="shared" si="9"/>
        <v>249000</v>
      </c>
      <c r="O79" s="91" t="s">
        <v>23</v>
      </c>
      <c r="P79" s="713"/>
      <c r="Q79" s="10" t="s">
        <v>40</v>
      </c>
      <c r="R79" s="713"/>
      <c r="S79" s="171"/>
      <c r="T79" s="713"/>
      <c r="U79" s="713"/>
      <c r="V79" s="713"/>
      <c r="W79" s="713"/>
    </row>
    <row r="80" spans="1:23" s="119" customFormat="1">
      <c r="A80" s="9">
        <v>44349</v>
      </c>
      <c r="B80" s="91" t="s">
        <v>23</v>
      </c>
      <c r="C80" s="123" t="s">
        <v>4217</v>
      </c>
      <c r="D80" s="713" t="s">
        <v>4292</v>
      </c>
      <c r="E80" s="722" t="s">
        <v>3511</v>
      </c>
      <c r="F80" s="722" t="s">
        <v>3512</v>
      </c>
      <c r="G80" s="30">
        <v>2</v>
      </c>
      <c r="H80" s="734">
        <v>209000</v>
      </c>
      <c r="I80" s="171">
        <f t="shared" si="7"/>
        <v>418000</v>
      </c>
      <c r="J80" s="713">
        <f t="shared" si="10"/>
        <v>104500</v>
      </c>
      <c r="K80" s="713">
        <f t="shared" si="8"/>
        <v>313500</v>
      </c>
      <c r="L80" s="713"/>
      <c r="M80" s="713"/>
      <c r="N80" s="171">
        <f t="shared" si="9"/>
        <v>313500</v>
      </c>
      <c r="O80" s="91" t="s">
        <v>23</v>
      </c>
      <c r="P80" s="713"/>
      <c r="Q80" s="10" t="s">
        <v>40</v>
      </c>
      <c r="R80" s="713"/>
      <c r="S80" s="713"/>
      <c r="T80" s="713"/>
      <c r="U80" s="713"/>
      <c r="V80" s="713"/>
      <c r="W80" s="713"/>
    </row>
    <row r="81" spans="1:23" s="119" customFormat="1">
      <c r="A81" s="9">
        <v>44349</v>
      </c>
      <c r="B81" s="91" t="s">
        <v>23</v>
      </c>
      <c r="C81" s="123" t="s">
        <v>4217</v>
      </c>
      <c r="D81" s="713" t="s">
        <v>4293</v>
      </c>
      <c r="E81" s="722" t="s">
        <v>4294</v>
      </c>
      <c r="F81" s="722" t="s">
        <v>4295</v>
      </c>
      <c r="G81" s="30">
        <v>2</v>
      </c>
      <c r="H81" s="734">
        <v>106000</v>
      </c>
      <c r="I81" s="171">
        <f t="shared" si="7"/>
        <v>212000</v>
      </c>
      <c r="J81" s="713">
        <f t="shared" si="10"/>
        <v>53000</v>
      </c>
      <c r="K81" s="713">
        <f t="shared" si="8"/>
        <v>159000</v>
      </c>
      <c r="L81" s="713"/>
      <c r="M81" s="713"/>
      <c r="N81" s="171">
        <f t="shared" si="9"/>
        <v>159000</v>
      </c>
      <c r="O81" s="91" t="s">
        <v>23</v>
      </c>
      <c r="P81" s="713"/>
      <c r="Q81" s="10" t="s">
        <v>40</v>
      </c>
      <c r="R81" s="713"/>
      <c r="S81" s="713"/>
      <c r="T81" s="713"/>
      <c r="U81" s="713"/>
      <c r="V81" s="713"/>
      <c r="W81" s="713"/>
    </row>
    <row r="82" spans="1:23" s="119" customFormat="1">
      <c r="A82" s="9">
        <v>44349</v>
      </c>
      <c r="B82" s="91" t="s">
        <v>23</v>
      </c>
      <c r="C82" s="123" t="s">
        <v>4217</v>
      </c>
      <c r="D82" s="713" t="s">
        <v>4296</v>
      </c>
      <c r="E82" s="722" t="s">
        <v>3700</v>
      </c>
      <c r="F82" s="722" t="s">
        <v>4297</v>
      </c>
      <c r="G82" s="30">
        <v>2</v>
      </c>
      <c r="H82" s="734">
        <v>282500</v>
      </c>
      <c r="I82" s="171">
        <f t="shared" si="7"/>
        <v>565000</v>
      </c>
      <c r="J82" s="713">
        <f t="shared" si="10"/>
        <v>141250</v>
      </c>
      <c r="K82" s="713">
        <f t="shared" si="8"/>
        <v>423750</v>
      </c>
      <c r="L82" s="713"/>
      <c r="M82" s="713"/>
      <c r="N82" s="171">
        <f t="shared" si="9"/>
        <v>423750</v>
      </c>
      <c r="O82" s="91" t="s">
        <v>23</v>
      </c>
      <c r="P82" s="713"/>
      <c r="Q82" s="10" t="s">
        <v>40</v>
      </c>
      <c r="R82" s="713"/>
      <c r="S82" s="713"/>
      <c r="T82" s="713"/>
      <c r="U82" s="713"/>
      <c r="V82" s="713"/>
      <c r="W82" s="713"/>
    </row>
    <row r="83" spans="1:23" s="119" customFormat="1" hidden="1">
      <c r="A83" s="9">
        <v>44349</v>
      </c>
      <c r="B83" s="91" t="s">
        <v>313</v>
      </c>
      <c r="C83" s="91" t="s">
        <v>4298</v>
      </c>
      <c r="D83" s="713" t="s">
        <v>4299</v>
      </c>
      <c r="E83" s="712" t="s">
        <v>1713</v>
      </c>
      <c r="F83" s="712" t="s">
        <v>1714</v>
      </c>
      <c r="G83" s="30">
        <v>1</v>
      </c>
      <c r="H83" s="713">
        <v>139000</v>
      </c>
      <c r="I83" s="171">
        <f t="shared" si="7"/>
        <v>139000</v>
      </c>
      <c r="J83" s="713"/>
      <c r="K83" s="713">
        <f t="shared" si="8"/>
        <v>139000</v>
      </c>
      <c r="L83" s="713">
        <v>20078</v>
      </c>
      <c r="M83" s="713"/>
      <c r="N83" s="171">
        <f t="shared" si="9"/>
        <v>159078</v>
      </c>
      <c r="O83" s="91" t="s">
        <v>313</v>
      </c>
      <c r="P83" s="671"/>
      <c r="Q83" s="91" t="s">
        <v>54</v>
      </c>
      <c r="R83" s="713"/>
      <c r="S83" s="642"/>
      <c r="T83" s="713"/>
      <c r="U83" s="713"/>
      <c r="V83" s="713"/>
      <c r="W83" s="713"/>
    </row>
    <row r="84" spans="1:23" s="119" customFormat="1">
      <c r="A84" s="9">
        <v>44349</v>
      </c>
      <c r="B84" s="91" t="s">
        <v>23</v>
      </c>
      <c r="C84" s="123" t="s">
        <v>4300</v>
      </c>
      <c r="D84" s="713" t="s">
        <v>4301</v>
      </c>
      <c r="E84" s="712" t="s">
        <v>4302</v>
      </c>
      <c r="F84" s="712" t="s">
        <v>4303</v>
      </c>
      <c r="G84" s="30">
        <v>1</v>
      </c>
      <c r="H84" s="713">
        <v>94000</v>
      </c>
      <c r="I84" s="171">
        <f t="shared" si="7"/>
        <v>94000</v>
      </c>
      <c r="J84" s="713"/>
      <c r="K84" s="713">
        <f t="shared" si="8"/>
        <v>94000</v>
      </c>
      <c r="L84" s="713">
        <v>7000</v>
      </c>
      <c r="M84" s="713"/>
      <c r="N84" s="171">
        <f t="shared" si="9"/>
        <v>101000</v>
      </c>
      <c r="O84" s="91" t="s">
        <v>23</v>
      </c>
      <c r="P84" s="671"/>
      <c r="Q84" s="10" t="s">
        <v>28</v>
      </c>
      <c r="R84" s="713"/>
      <c r="S84" s="642"/>
      <c r="T84" s="713"/>
      <c r="U84" s="713"/>
      <c r="V84" s="713"/>
      <c r="W84" s="713"/>
    </row>
    <row r="85" spans="1:23" s="119" customFormat="1" hidden="1">
      <c r="A85" s="9">
        <v>44349</v>
      </c>
      <c r="B85" s="91" t="s">
        <v>43</v>
      </c>
      <c r="C85" s="91" t="s">
        <v>4304</v>
      </c>
      <c r="D85" s="713" t="s">
        <v>4305</v>
      </c>
      <c r="E85" s="712" t="s">
        <v>4306</v>
      </c>
      <c r="F85" s="712" t="s">
        <v>4307</v>
      </c>
      <c r="G85" s="30">
        <v>1</v>
      </c>
      <c r="H85" s="713">
        <v>99000</v>
      </c>
      <c r="I85" s="171">
        <f t="shared" si="7"/>
        <v>99000</v>
      </c>
      <c r="J85" s="713"/>
      <c r="K85" s="713">
        <f t="shared" si="8"/>
        <v>99000</v>
      </c>
      <c r="L85" s="713">
        <v>28000</v>
      </c>
      <c r="M85" s="713">
        <v>-5544</v>
      </c>
      <c r="N85" s="171">
        <f t="shared" si="9"/>
        <v>121456</v>
      </c>
      <c r="O85" s="91" t="s">
        <v>43</v>
      </c>
      <c r="P85" s="649"/>
      <c r="Q85" s="85" t="s">
        <v>176</v>
      </c>
      <c r="R85" s="713"/>
      <c r="S85" s="642"/>
      <c r="T85" s="713"/>
      <c r="U85" s="713"/>
      <c r="V85" s="713"/>
      <c r="W85" s="713"/>
    </row>
    <row r="86" spans="1:23" s="119" customFormat="1" hidden="1">
      <c r="A86" s="9">
        <v>44350</v>
      </c>
      <c r="B86" s="91" t="s">
        <v>43</v>
      </c>
      <c r="C86" s="91" t="s">
        <v>4308</v>
      </c>
      <c r="D86" s="713" t="s">
        <v>4309</v>
      </c>
      <c r="E86" s="712" t="s">
        <v>130</v>
      </c>
      <c r="F86" s="712" t="s">
        <v>132</v>
      </c>
      <c r="G86" s="30">
        <v>1</v>
      </c>
      <c r="H86" s="713">
        <v>28000</v>
      </c>
      <c r="I86" s="171">
        <f t="shared" si="7"/>
        <v>28000</v>
      </c>
      <c r="J86" s="86"/>
      <c r="K86" s="713">
        <f t="shared" si="8"/>
        <v>28000</v>
      </c>
      <c r="L86" s="86"/>
      <c r="M86" s="86">
        <v>-1568</v>
      </c>
      <c r="N86" s="171">
        <f t="shared" si="9"/>
        <v>26432</v>
      </c>
      <c r="O86" s="91" t="s">
        <v>43</v>
      </c>
      <c r="P86" s="685"/>
      <c r="Q86" s="85" t="s">
        <v>54</v>
      </c>
      <c r="R86" s="86"/>
      <c r="S86" s="687"/>
      <c r="T86" s="86"/>
      <c r="U86" s="86"/>
      <c r="V86" s="86"/>
      <c r="W86" s="86"/>
    </row>
    <row r="87" spans="1:23" s="119" customFormat="1">
      <c r="A87" s="9">
        <v>44350</v>
      </c>
      <c r="B87" s="91" t="s">
        <v>23</v>
      </c>
      <c r="C87" s="123" t="s">
        <v>4310</v>
      </c>
      <c r="D87" s="713" t="s">
        <v>4311</v>
      </c>
      <c r="E87" s="712" t="s">
        <v>4312</v>
      </c>
      <c r="F87" s="712" t="s">
        <v>1686</v>
      </c>
      <c r="G87" s="30">
        <v>1</v>
      </c>
      <c r="H87" s="713">
        <v>211000</v>
      </c>
      <c r="I87" s="171">
        <f t="shared" si="7"/>
        <v>211000</v>
      </c>
      <c r="J87" s="86"/>
      <c r="K87" s="713">
        <f t="shared" si="8"/>
        <v>211000</v>
      </c>
      <c r="L87" s="86">
        <v>11000</v>
      </c>
      <c r="M87" s="86"/>
      <c r="N87" s="171">
        <f t="shared" si="9"/>
        <v>222000</v>
      </c>
      <c r="O87" s="91" t="s">
        <v>23</v>
      </c>
      <c r="P87" s="685"/>
      <c r="Q87" s="85" t="s">
        <v>54</v>
      </c>
      <c r="R87" s="86"/>
      <c r="S87" s="642"/>
      <c r="T87" s="86"/>
      <c r="U87" s="86"/>
      <c r="V87" s="86"/>
      <c r="W87" s="86"/>
    </row>
    <row r="88" spans="1:23" s="119" customFormat="1">
      <c r="A88" s="9">
        <v>44350</v>
      </c>
      <c r="B88" s="91" t="s">
        <v>23</v>
      </c>
      <c r="C88" s="123" t="s">
        <v>4313</v>
      </c>
      <c r="D88" s="713" t="s">
        <v>4314</v>
      </c>
      <c r="E88" s="712" t="s">
        <v>4315</v>
      </c>
      <c r="F88" s="712" t="s">
        <v>4316</v>
      </c>
      <c r="G88" s="30">
        <v>4</v>
      </c>
      <c r="H88" s="713">
        <v>100000</v>
      </c>
      <c r="I88" s="171">
        <f t="shared" si="7"/>
        <v>400000</v>
      </c>
      <c r="J88" s="86"/>
      <c r="K88" s="86">
        <f t="shared" si="8"/>
        <v>400000</v>
      </c>
      <c r="L88" s="86">
        <v>90000</v>
      </c>
      <c r="M88" s="86"/>
      <c r="N88" s="171">
        <f t="shared" si="9"/>
        <v>490000</v>
      </c>
      <c r="O88" s="91" t="s">
        <v>23</v>
      </c>
      <c r="P88" s="649"/>
      <c r="Q88" s="85" t="s">
        <v>40</v>
      </c>
      <c r="R88" s="86"/>
      <c r="S88" s="642"/>
      <c r="T88" s="86"/>
      <c r="U88" s="86"/>
      <c r="V88" s="86"/>
      <c r="W88" s="86"/>
    </row>
    <row r="89" spans="1:23" s="119" customFormat="1">
      <c r="A89" s="9">
        <v>44350</v>
      </c>
      <c r="B89" s="91" t="s">
        <v>23</v>
      </c>
      <c r="C89" s="123" t="s">
        <v>4317</v>
      </c>
      <c r="D89" s="713" t="s">
        <v>4318</v>
      </c>
      <c r="E89" s="712" t="s">
        <v>4319</v>
      </c>
      <c r="F89" s="712" t="s">
        <v>4320</v>
      </c>
      <c r="G89" s="30">
        <v>1</v>
      </c>
      <c r="H89" s="713">
        <v>131000</v>
      </c>
      <c r="I89" s="171">
        <f t="shared" si="7"/>
        <v>131000</v>
      </c>
      <c r="J89" s="86"/>
      <c r="K89" s="713">
        <f t="shared" si="8"/>
        <v>131000</v>
      </c>
      <c r="L89" s="86">
        <v>51000</v>
      </c>
      <c r="M89" s="86"/>
      <c r="N89" s="171">
        <f t="shared" si="9"/>
        <v>182000</v>
      </c>
      <c r="O89" s="91" t="s">
        <v>23</v>
      </c>
      <c r="P89" s="86"/>
      <c r="Q89" s="91" t="s">
        <v>40</v>
      </c>
      <c r="R89" s="86"/>
      <c r="S89" s="86"/>
      <c r="T89" s="86"/>
      <c r="U89" s="86"/>
      <c r="V89" s="86"/>
      <c r="W89" s="86"/>
    </row>
    <row r="90" spans="1:23" s="119" customFormat="1">
      <c r="A90" s="9">
        <v>44350</v>
      </c>
      <c r="B90" s="91" t="s">
        <v>23</v>
      </c>
      <c r="C90" s="123" t="s">
        <v>4321</v>
      </c>
      <c r="D90" s="713" t="s">
        <v>4322</v>
      </c>
      <c r="E90" s="712" t="s">
        <v>4323</v>
      </c>
      <c r="F90" s="712" t="s">
        <v>4324</v>
      </c>
      <c r="G90" s="30">
        <v>2</v>
      </c>
      <c r="H90" s="713">
        <v>116000</v>
      </c>
      <c r="I90" s="171">
        <f t="shared" si="7"/>
        <v>232000</v>
      </c>
      <c r="J90" s="86">
        <f>I90*20%</f>
        <v>46400</v>
      </c>
      <c r="K90" s="713">
        <f t="shared" si="8"/>
        <v>185600</v>
      </c>
      <c r="L90" s="86">
        <v>17000</v>
      </c>
      <c r="M90" s="86"/>
      <c r="N90" s="171">
        <f t="shared" si="9"/>
        <v>202600</v>
      </c>
      <c r="O90" s="91" t="s">
        <v>23</v>
      </c>
      <c r="P90" s="649"/>
      <c r="Q90" s="91" t="s">
        <v>40</v>
      </c>
      <c r="R90" s="86"/>
      <c r="S90" s="642"/>
      <c r="T90" s="86"/>
      <c r="U90" s="86"/>
      <c r="V90" s="86"/>
      <c r="W90" s="86"/>
    </row>
    <row r="91" spans="1:23" s="119" customFormat="1">
      <c r="A91" s="9">
        <v>44351</v>
      </c>
      <c r="B91" s="91" t="s">
        <v>23</v>
      </c>
      <c r="C91" s="91" t="s">
        <v>4325</v>
      </c>
      <c r="D91" s="713" t="s">
        <v>4326</v>
      </c>
      <c r="E91" s="715" t="s">
        <v>3682</v>
      </c>
      <c r="F91" s="715" t="s">
        <v>3683</v>
      </c>
      <c r="G91" s="30">
        <v>1</v>
      </c>
      <c r="H91" s="713">
        <v>114000</v>
      </c>
      <c r="I91" s="171">
        <f t="shared" si="7"/>
        <v>114000</v>
      </c>
      <c r="J91" s="86"/>
      <c r="K91" s="713">
        <f t="shared" si="8"/>
        <v>114000</v>
      </c>
      <c r="L91" s="86">
        <v>44000</v>
      </c>
      <c r="M91" s="86"/>
      <c r="N91" s="171">
        <f t="shared" si="9"/>
        <v>158000</v>
      </c>
      <c r="O91" s="91" t="s">
        <v>23</v>
      </c>
      <c r="P91" s="649"/>
      <c r="Q91" s="91" t="s">
        <v>54</v>
      </c>
      <c r="R91" s="86"/>
      <c r="S91" s="642"/>
      <c r="T91" s="86"/>
      <c r="U91" s="86"/>
      <c r="V91" s="86"/>
      <c r="W91" s="86"/>
    </row>
    <row r="92" spans="1:23" s="119" customFormat="1">
      <c r="A92" s="9">
        <v>44351</v>
      </c>
      <c r="B92" s="91" t="s">
        <v>23</v>
      </c>
      <c r="C92" s="91" t="s">
        <v>4325</v>
      </c>
      <c r="D92" s="713" t="s">
        <v>4326</v>
      </c>
      <c r="E92" s="715" t="s">
        <v>2630</v>
      </c>
      <c r="F92" s="715" t="s">
        <v>1254</v>
      </c>
      <c r="G92" s="30">
        <v>1</v>
      </c>
      <c r="H92" s="713">
        <v>70000</v>
      </c>
      <c r="I92" s="171">
        <f t="shared" si="7"/>
        <v>70000</v>
      </c>
      <c r="J92" s="86"/>
      <c r="K92" s="713">
        <f t="shared" si="8"/>
        <v>70000</v>
      </c>
      <c r="L92" s="86"/>
      <c r="M92" s="86"/>
      <c r="N92" s="171">
        <f t="shared" si="9"/>
        <v>70000</v>
      </c>
      <c r="O92" s="91" t="s">
        <v>23</v>
      </c>
      <c r="P92" s="86"/>
      <c r="Q92" s="91" t="s">
        <v>54</v>
      </c>
      <c r="R92" s="86"/>
      <c r="S92" s="86"/>
      <c r="T92" s="86"/>
      <c r="U92" s="86"/>
      <c r="V92" s="86"/>
      <c r="W92" s="86"/>
    </row>
    <row r="93" spans="1:23" s="119" customFormat="1">
      <c r="A93" s="9">
        <v>44351</v>
      </c>
      <c r="B93" s="91" t="s">
        <v>23</v>
      </c>
      <c r="C93" s="91" t="s">
        <v>4327</v>
      </c>
      <c r="D93" s="713" t="s">
        <v>4328</v>
      </c>
      <c r="E93" s="712" t="s">
        <v>4329</v>
      </c>
      <c r="F93" s="712" t="s">
        <v>4330</v>
      </c>
      <c r="G93" s="30">
        <v>1</v>
      </c>
      <c r="H93" s="713">
        <v>70000</v>
      </c>
      <c r="I93" s="171">
        <f t="shared" si="7"/>
        <v>70000</v>
      </c>
      <c r="J93" s="86"/>
      <c r="K93" s="713">
        <f t="shared" si="8"/>
        <v>70000</v>
      </c>
      <c r="L93" s="86">
        <v>7000</v>
      </c>
      <c r="M93" s="86"/>
      <c r="N93" s="171">
        <f t="shared" si="9"/>
        <v>77000</v>
      </c>
      <c r="O93" s="91" t="s">
        <v>23</v>
      </c>
      <c r="P93" s="86"/>
      <c r="Q93" s="91" t="s">
        <v>28</v>
      </c>
      <c r="R93" s="86"/>
      <c r="S93" s="86"/>
      <c r="T93" s="86"/>
      <c r="U93" s="86"/>
      <c r="V93" s="86"/>
      <c r="W93" s="86"/>
    </row>
    <row r="94" spans="1:23" s="119" customFormat="1" hidden="1">
      <c r="A94" s="9">
        <v>44354</v>
      </c>
      <c r="B94" s="91" t="s">
        <v>43</v>
      </c>
      <c r="C94" s="123" t="s">
        <v>4331</v>
      </c>
      <c r="D94" s="713" t="s">
        <v>4332</v>
      </c>
      <c r="E94" s="712" t="s">
        <v>579</v>
      </c>
      <c r="F94" s="712" t="s">
        <v>72</v>
      </c>
      <c r="G94" s="684">
        <v>1</v>
      </c>
      <c r="H94" s="713">
        <v>108000</v>
      </c>
      <c r="I94" s="171">
        <f t="shared" si="7"/>
        <v>108000</v>
      </c>
      <c r="J94" s="86"/>
      <c r="K94" s="320">
        <f t="shared" si="8"/>
        <v>108000</v>
      </c>
      <c r="L94" s="86">
        <v>16000</v>
      </c>
      <c r="M94" s="119">
        <v>-6048</v>
      </c>
      <c r="N94" s="171">
        <f t="shared" si="9"/>
        <v>117952</v>
      </c>
      <c r="O94" s="91" t="s">
        <v>43</v>
      </c>
      <c r="P94" s="649"/>
      <c r="Q94" s="91" t="s">
        <v>54</v>
      </c>
      <c r="R94" s="86"/>
      <c r="S94" s="642"/>
      <c r="T94" s="86"/>
      <c r="U94" s="86"/>
      <c r="V94" s="86"/>
      <c r="W94" s="86"/>
    </row>
    <row r="95" spans="1:23" s="119" customFormat="1" ht="15.6" hidden="1">
      <c r="A95" s="9">
        <v>44354</v>
      </c>
      <c r="B95" s="91" t="s">
        <v>43</v>
      </c>
      <c r="C95" s="123" t="s">
        <v>4333</v>
      </c>
      <c r="D95" s="713" t="s">
        <v>4334</v>
      </c>
      <c r="E95" s="712" t="s">
        <v>4284</v>
      </c>
      <c r="F95" s="712" t="s">
        <v>1299</v>
      </c>
      <c r="G95" s="30">
        <v>1</v>
      </c>
      <c r="H95" s="713">
        <v>59500</v>
      </c>
      <c r="I95" s="171">
        <f t="shared" si="7"/>
        <v>59500</v>
      </c>
      <c r="J95" s="86"/>
      <c r="K95" s="320">
        <f t="shared" si="8"/>
        <v>59500</v>
      </c>
      <c r="L95" s="86"/>
      <c r="M95" s="86">
        <v>-3332</v>
      </c>
      <c r="N95" s="171">
        <f t="shared" si="9"/>
        <v>56168</v>
      </c>
      <c r="O95" s="91" t="s">
        <v>43</v>
      </c>
      <c r="P95" s="649"/>
      <c r="Q95" s="91" t="s">
        <v>54</v>
      </c>
      <c r="R95" s="86"/>
      <c r="S95" s="679"/>
      <c r="T95" s="86"/>
      <c r="U95" s="86"/>
      <c r="V95" s="86"/>
      <c r="W95" s="86"/>
    </row>
    <row r="96" spans="1:23" s="119" customFormat="1" hidden="1">
      <c r="A96" s="9">
        <v>44354</v>
      </c>
      <c r="B96" s="91" t="s">
        <v>177</v>
      </c>
      <c r="C96" s="91" t="s">
        <v>2466</v>
      </c>
      <c r="D96" s="713" t="s">
        <v>4335</v>
      </c>
      <c r="E96" s="712" t="s">
        <v>2604</v>
      </c>
      <c r="F96" s="712" t="s">
        <v>2605</v>
      </c>
      <c r="G96" s="30">
        <v>1</v>
      </c>
      <c r="H96" s="713">
        <v>42000</v>
      </c>
      <c r="I96" s="171">
        <f t="shared" si="7"/>
        <v>42000</v>
      </c>
      <c r="J96" s="86"/>
      <c r="K96" s="320">
        <f t="shared" si="8"/>
        <v>42000</v>
      </c>
      <c r="L96" s="86">
        <v>5000</v>
      </c>
      <c r="M96" s="86"/>
      <c r="N96" s="171">
        <f t="shared" si="9"/>
        <v>47000</v>
      </c>
      <c r="O96" s="91" t="s">
        <v>177</v>
      </c>
      <c r="P96" s="649"/>
      <c r="Q96" s="91" t="s">
        <v>54</v>
      </c>
      <c r="R96" s="86"/>
      <c r="S96" s="642"/>
      <c r="T96" s="86"/>
      <c r="U96" s="86"/>
      <c r="V96" s="86"/>
      <c r="W96" s="86"/>
    </row>
    <row r="97" spans="1:23" s="119" customFormat="1" ht="345.6">
      <c r="A97" s="9">
        <v>44354</v>
      </c>
      <c r="B97" s="91" t="s">
        <v>23</v>
      </c>
      <c r="C97" s="123" t="s">
        <v>4336</v>
      </c>
      <c r="D97" s="1099" t="s">
        <v>9424</v>
      </c>
      <c r="E97" s="712" t="s">
        <v>4337</v>
      </c>
      <c r="F97" s="712" t="s">
        <v>4338</v>
      </c>
      <c r="G97" s="30">
        <v>1</v>
      </c>
      <c r="H97" s="713">
        <v>106000</v>
      </c>
      <c r="I97" s="171">
        <f t="shared" si="7"/>
        <v>106000</v>
      </c>
      <c r="J97" s="86"/>
      <c r="K97" s="320">
        <f t="shared" si="8"/>
        <v>106000</v>
      </c>
      <c r="L97" s="86">
        <v>17000</v>
      </c>
      <c r="M97" s="86"/>
      <c r="N97" s="171">
        <f t="shared" si="9"/>
        <v>123000</v>
      </c>
      <c r="O97" s="91" t="s">
        <v>23</v>
      </c>
      <c r="P97" s="649"/>
      <c r="Q97" s="91" t="s">
        <v>40</v>
      </c>
      <c r="R97" s="86"/>
      <c r="S97" s="320">
        <v>77372048</v>
      </c>
      <c r="T97" s="86"/>
      <c r="U97" s="86"/>
      <c r="V97" s="86"/>
      <c r="W97" s="86"/>
    </row>
    <row r="98" spans="1:23" s="119" customFormat="1">
      <c r="A98" s="9">
        <v>44354</v>
      </c>
      <c r="B98" s="91" t="s">
        <v>23</v>
      </c>
      <c r="C98" s="123" t="s">
        <v>4339</v>
      </c>
      <c r="D98" s="713" t="s">
        <v>4340</v>
      </c>
      <c r="E98" s="712" t="s">
        <v>4341</v>
      </c>
      <c r="F98" s="712" t="s">
        <v>4342</v>
      </c>
      <c r="G98" s="30">
        <v>2</v>
      </c>
      <c r="H98" s="713">
        <v>87000</v>
      </c>
      <c r="I98" s="171">
        <f t="shared" ref="I98:I129" si="11">G98*H98</f>
        <v>174000</v>
      </c>
      <c r="J98" s="119">
        <f>I98*20%</f>
        <v>34800</v>
      </c>
      <c r="K98" s="320">
        <f t="shared" ref="K98:K129" si="12">I98-J98</f>
        <v>139200</v>
      </c>
      <c r="L98" s="86">
        <v>11000</v>
      </c>
      <c r="M98" s="86"/>
      <c r="N98" s="171">
        <f t="shared" ref="N98:N129" si="13">K98+L98+M98</f>
        <v>150200</v>
      </c>
      <c r="O98" s="91" t="s">
        <v>23</v>
      </c>
      <c r="P98" s="649"/>
      <c r="Q98" s="91" t="s">
        <v>40</v>
      </c>
      <c r="R98" s="86"/>
      <c r="S98" s="642"/>
      <c r="T98" s="86"/>
      <c r="U98" s="86"/>
      <c r="V98" s="86"/>
      <c r="W98" s="86"/>
    </row>
    <row r="99" spans="1:23" s="119" customFormat="1">
      <c r="A99" s="9">
        <v>44354</v>
      </c>
      <c r="B99" s="91" t="s">
        <v>23</v>
      </c>
      <c r="C99" s="123" t="s">
        <v>4339</v>
      </c>
      <c r="D99" s="713" t="s">
        <v>4343</v>
      </c>
      <c r="E99" s="712" t="s">
        <v>4344</v>
      </c>
      <c r="F99" s="712" t="s">
        <v>4345</v>
      </c>
      <c r="G99" s="30">
        <v>1</v>
      </c>
      <c r="H99" s="713">
        <v>359000</v>
      </c>
      <c r="I99" s="171">
        <f t="shared" si="11"/>
        <v>359000</v>
      </c>
      <c r="J99" s="119">
        <f>I99*20%</f>
        <v>71800</v>
      </c>
      <c r="K99" s="320">
        <f t="shared" si="12"/>
        <v>287200</v>
      </c>
      <c r="L99" s="86">
        <v>45000</v>
      </c>
      <c r="M99" s="86"/>
      <c r="N99" s="171">
        <f t="shared" si="13"/>
        <v>332200</v>
      </c>
      <c r="O99" s="91" t="s">
        <v>23</v>
      </c>
      <c r="P99" s="649"/>
      <c r="Q99" s="91" t="s">
        <v>40</v>
      </c>
      <c r="R99" s="86"/>
      <c r="S99" s="653"/>
      <c r="T99" s="86"/>
      <c r="U99" s="86"/>
      <c r="V99" s="86"/>
      <c r="W99" s="86"/>
    </row>
    <row r="100" spans="1:23" s="119" customFormat="1" hidden="1">
      <c r="A100" s="9">
        <v>44354</v>
      </c>
      <c r="B100" s="91" t="s">
        <v>206</v>
      </c>
      <c r="C100" s="91" t="s">
        <v>4346</v>
      </c>
      <c r="D100" s="713" t="s">
        <v>4347</v>
      </c>
      <c r="E100" s="712" t="s">
        <v>4348</v>
      </c>
      <c r="F100" s="712" t="s">
        <v>4349</v>
      </c>
      <c r="G100" s="30">
        <v>1</v>
      </c>
      <c r="H100" s="713">
        <v>67000</v>
      </c>
      <c r="I100" s="171">
        <f t="shared" si="11"/>
        <v>67000</v>
      </c>
      <c r="K100" s="320">
        <f t="shared" si="12"/>
        <v>67000</v>
      </c>
      <c r="L100" s="86">
        <v>14400</v>
      </c>
      <c r="M100" s="86"/>
      <c r="N100" s="171">
        <f t="shared" si="13"/>
        <v>81400</v>
      </c>
      <c r="O100" s="91" t="s">
        <v>206</v>
      </c>
      <c r="P100" s="671"/>
      <c r="Q100" s="91" t="s">
        <v>40</v>
      </c>
      <c r="R100" s="86"/>
      <c r="S100" s="668"/>
      <c r="T100" s="86"/>
      <c r="U100" s="86"/>
      <c r="V100" s="86"/>
      <c r="W100" s="86"/>
    </row>
    <row r="101" spans="1:23" s="119" customFormat="1" hidden="1">
      <c r="A101" s="9">
        <v>44355</v>
      </c>
      <c r="B101" s="91" t="s">
        <v>43</v>
      </c>
      <c r="C101" s="123" t="s">
        <v>4350</v>
      </c>
      <c r="D101" s="713" t="s">
        <v>4351</v>
      </c>
      <c r="E101" s="712" t="s">
        <v>1648</v>
      </c>
      <c r="F101" s="712" t="s">
        <v>1649</v>
      </c>
      <c r="G101" s="30">
        <v>1</v>
      </c>
      <c r="H101" s="713">
        <v>145000</v>
      </c>
      <c r="I101" s="171">
        <f t="shared" si="11"/>
        <v>145000</v>
      </c>
      <c r="K101" s="320">
        <f t="shared" si="12"/>
        <v>145000</v>
      </c>
      <c r="L101" s="86">
        <v>3000</v>
      </c>
      <c r="M101" s="86">
        <v>-8120</v>
      </c>
      <c r="N101" s="171">
        <f t="shared" si="13"/>
        <v>139880</v>
      </c>
      <c r="O101" s="91" t="s">
        <v>43</v>
      </c>
      <c r="P101" s="685"/>
      <c r="Q101" s="91" t="s">
        <v>176</v>
      </c>
      <c r="R101" s="86"/>
      <c r="S101" s="653"/>
      <c r="T101" s="86"/>
      <c r="U101" s="86"/>
      <c r="V101" s="86"/>
      <c r="W101" s="86"/>
    </row>
    <row r="102" spans="1:23" s="119" customFormat="1" hidden="1">
      <c r="A102" s="9">
        <v>44355</v>
      </c>
      <c r="B102" s="91" t="s">
        <v>170</v>
      </c>
      <c r="C102" s="123" t="s">
        <v>4352</v>
      </c>
      <c r="D102" s="713" t="s">
        <v>4353</v>
      </c>
      <c r="E102" s="712" t="s">
        <v>4354</v>
      </c>
      <c r="F102" s="712" t="s">
        <v>4355</v>
      </c>
      <c r="G102" s="30">
        <v>1</v>
      </c>
      <c r="H102" s="713">
        <v>39000</v>
      </c>
      <c r="I102" s="171">
        <f t="shared" si="11"/>
        <v>39000</v>
      </c>
      <c r="K102" s="320">
        <f t="shared" si="12"/>
        <v>39000</v>
      </c>
      <c r="L102" s="119">
        <f>28000-28000</f>
        <v>0</v>
      </c>
      <c r="M102" s="86"/>
      <c r="N102" s="171">
        <f t="shared" si="13"/>
        <v>39000</v>
      </c>
      <c r="O102" s="91" t="s">
        <v>170</v>
      </c>
      <c r="P102" s="649"/>
      <c r="Q102" s="91" t="s">
        <v>478</v>
      </c>
      <c r="R102" s="86"/>
      <c r="S102" s="672"/>
      <c r="T102" s="86"/>
      <c r="U102" s="86"/>
      <c r="V102" s="86"/>
      <c r="W102" s="86"/>
    </row>
    <row r="103" spans="1:23" s="119" customFormat="1">
      <c r="A103" s="9">
        <v>44355</v>
      </c>
      <c r="B103" s="91" t="s">
        <v>23</v>
      </c>
      <c r="C103" s="123" t="s">
        <v>4356</v>
      </c>
      <c r="D103" s="713" t="s">
        <v>4357</v>
      </c>
      <c r="E103" s="712" t="s">
        <v>4109</v>
      </c>
      <c r="F103" s="712" t="s">
        <v>4110</v>
      </c>
      <c r="G103" s="30">
        <v>1</v>
      </c>
      <c r="H103" s="713">
        <v>120000</v>
      </c>
      <c r="I103" s="171">
        <f t="shared" si="11"/>
        <v>120000</v>
      </c>
      <c r="K103" s="320">
        <f t="shared" si="12"/>
        <v>120000</v>
      </c>
      <c r="L103" s="119">
        <v>17000</v>
      </c>
      <c r="N103" s="171">
        <f t="shared" si="13"/>
        <v>137000</v>
      </c>
      <c r="O103" s="91" t="s">
        <v>23</v>
      </c>
      <c r="P103" s="649"/>
      <c r="Q103" s="91" t="s">
        <v>40</v>
      </c>
      <c r="R103" s="86"/>
      <c r="S103" s="642"/>
      <c r="T103" s="86"/>
      <c r="U103" s="86"/>
      <c r="V103" s="86"/>
      <c r="W103" s="86"/>
    </row>
    <row r="104" spans="1:23" s="119" customFormat="1">
      <c r="A104" s="9">
        <v>44355</v>
      </c>
      <c r="B104" s="91" t="s">
        <v>23</v>
      </c>
      <c r="C104" s="723" t="s">
        <v>4358</v>
      </c>
      <c r="D104" s="713" t="s">
        <v>4359</v>
      </c>
      <c r="E104" s="712" t="s">
        <v>2547</v>
      </c>
      <c r="F104" s="712" t="s">
        <v>2548</v>
      </c>
      <c r="G104" s="30">
        <v>1</v>
      </c>
      <c r="H104" s="713">
        <v>101000</v>
      </c>
      <c r="I104" s="171">
        <f t="shared" si="11"/>
        <v>101000</v>
      </c>
      <c r="J104" s="119">
        <f>I104-70700</f>
        <v>30300</v>
      </c>
      <c r="K104" s="320">
        <f t="shared" si="12"/>
        <v>70700</v>
      </c>
      <c r="L104" s="119">
        <v>10000</v>
      </c>
      <c r="N104" s="171">
        <f t="shared" si="13"/>
        <v>80700</v>
      </c>
      <c r="O104" s="91" t="s">
        <v>23</v>
      </c>
      <c r="P104" s="713"/>
      <c r="Q104" s="91" t="s">
        <v>40</v>
      </c>
      <c r="R104" s="86"/>
      <c r="S104" s="642"/>
      <c r="T104" s="86"/>
      <c r="U104" s="86"/>
      <c r="V104" s="86"/>
      <c r="W104" s="86"/>
    </row>
    <row r="105" spans="1:23" s="119" customFormat="1">
      <c r="A105" s="9">
        <v>44355</v>
      </c>
      <c r="B105" s="91" t="s">
        <v>23</v>
      </c>
      <c r="C105" s="123" t="s">
        <v>4217</v>
      </c>
      <c r="D105" s="713" t="s">
        <v>4285</v>
      </c>
      <c r="E105" s="718" t="s">
        <v>4360</v>
      </c>
      <c r="F105" s="718" t="s">
        <v>4361</v>
      </c>
      <c r="G105" s="30">
        <v>2</v>
      </c>
      <c r="H105" s="84">
        <v>53000</v>
      </c>
      <c r="I105" s="171">
        <f t="shared" si="11"/>
        <v>106000</v>
      </c>
      <c r="J105" s="119">
        <f>I105*25%</f>
        <v>26500</v>
      </c>
      <c r="K105" s="320">
        <f t="shared" si="12"/>
        <v>79500</v>
      </c>
      <c r="L105" s="119">
        <v>22000</v>
      </c>
      <c r="N105" s="171">
        <f t="shared" si="13"/>
        <v>101500</v>
      </c>
      <c r="O105" s="91" t="s">
        <v>23</v>
      </c>
      <c r="P105" s="649"/>
      <c r="Q105" s="91" t="s">
        <v>40</v>
      </c>
      <c r="R105" s="86"/>
      <c r="S105" s="642"/>
      <c r="T105" s="86"/>
      <c r="U105" s="86"/>
      <c r="V105" s="86"/>
      <c r="W105" s="86"/>
    </row>
    <row r="106" spans="1:23" s="119" customFormat="1">
      <c r="A106" s="9">
        <v>44355</v>
      </c>
      <c r="B106" s="91" t="s">
        <v>23</v>
      </c>
      <c r="C106" s="123" t="s">
        <v>4217</v>
      </c>
      <c r="D106" s="713" t="s">
        <v>4288</v>
      </c>
      <c r="E106" s="718" t="s">
        <v>4362</v>
      </c>
      <c r="F106" s="718" t="s">
        <v>509</v>
      </c>
      <c r="G106" s="30">
        <v>2</v>
      </c>
      <c r="H106" s="84">
        <v>97500</v>
      </c>
      <c r="I106" s="171">
        <f t="shared" si="11"/>
        <v>195000</v>
      </c>
      <c r="J106" s="119">
        <f>I106*25%</f>
        <v>48750</v>
      </c>
      <c r="K106" s="320">
        <f t="shared" si="12"/>
        <v>146250</v>
      </c>
      <c r="N106" s="171">
        <f t="shared" si="13"/>
        <v>146250</v>
      </c>
      <c r="O106" s="91" t="s">
        <v>23</v>
      </c>
      <c r="P106" s="667"/>
      <c r="Q106" s="91" t="s">
        <v>40</v>
      </c>
      <c r="R106" s="86"/>
      <c r="S106" s="171"/>
      <c r="T106" s="86"/>
      <c r="U106" s="86"/>
      <c r="V106" s="86"/>
      <c r="W106" s="86"/>
    </row>
    <row r="107" spans="1:23" s="119" customFormat="1">
      <c r="A107" s="9">
        <v>44355</v>
      </c>
      <c r="B107" s="91" t="s">
        <v>23</v>
      </c>
      <c r="C107" s="123" t="s">
        <v>4217</v>
      </c>
      <c r="D107" s="713" t="s">
        <v>4291</v>
      </c>
      <c r="E107" s="718" t="s">
        <v>3476</v>
      </c>
      <c r="F107" s="718" t="s">
        <v>3477</v>
      </c>
      <c r="G107" s="30">
        <v>2</v>
      </c>
      <c r="H107" s="84">
        <v>100500</v>
      </c>
      <c r="I107" s="171">
        <f t="shared" si="11"/>
        <v>201000</v>
      </c>
      <c r="J107" s="119">
        <f>I107*25%</f>
        <v>50250</v>
      </c>
      <c r="K107" s="320">
        <f t="shared" si="12"/>
        <v>150750</v>
      </c>
      <c r="N107" s="171">
        <f t="shared" si="13"/>
        <v>150750</v>
      </c>
      <c r="O107" s="91" t="s">
        <v>23</v>
      </c>
      <c r="P107" s="713"/>
      <c r="Q107" s="91" t="s">
        <v>40</v>
      </c>
      <c r="R107" s="86"/>
      <c r="S107" s="493"/>
      <c r="T107" s="86"/>
      <c r="U107" s="86"/>
      <c r="V107" s="86"/>
      <c r="W107" s="86"/>
    </row>
    <row r="108" spans="1:23" s="119" customFormat="1">
      <c r="A108" s="9">
        <v>44355</v>
      </c>
      <c r="B108" s="91" t="s">
        <v>23</v>
      </c>
      <c r="C108" s="123" t="s">
        <v>4217</v>
      </c>
      <c r="D108" s="713" t="s">
        <v>4292</v>
      </c>
      <c r="E108" s="718" t="s">
        <v>4363</v>
      </c>
      <c r="F108" s="718" t="s">
        <v>4364</v>
      </c>
      <c r="G108" s="30">
        <v>2</v>
      </c>
      <c r="H108" s="84">
        <v>160000</v>
      </c>
      <c r="I108" s="171">
        <f t="shared" si="11"/>
        <v>320000</v>
      </c>
      <c r="J108" s="119">
        <f>I108*25%</f>
        <v>80000</v>
      </c>
      <c r="K108" s="320">
        <f t="shared" si="12"/>
        <v>240000</v>
      </c>
      <c r="N108" s="171">
        <f t="shared" si="13"/>
        <v>240000</v>
      </c>
      <c r="O108" s="91" t="s">
        <v>23</v>
      </c>
      <c r="P108" s="585"/>
      <c r="Q108" s="91" t="s">
        <v>40</v>
      </c>
      <c r="R108" s="86"/>
      <c r="S108" s="642"/>
      <c r="T108" s="86"/>
      <c r="U108" s="86"/>
      <c r="V108" s="86"/>
      <c r="W108" s="86"/>
    </row>
    <row r="109" spans="1:23" s="119" customFormat="1">
      <c r="A109" s="9">
        <v>44355</v>
      </c>
      <c r="B109" s="91" t="s">
        <v>23</v>
      </c>
      <c r="C109" s="123" t="s">
        <v>4365</v>
      </c>
      <c r="D109" s="713" t="s">
        <v>4366</v>
      </c>
      <c r="E109" s="712" t="s">
        <v>4367</v>
      </c>
      <c r="F109" s="712" t="s">
        <v>4368</v>
      </c>
      <c r="G109" s="30">
        <v>1</v>
      </c>
      <c r="H109" s="119">
        <v>77500</v>
      </c>
      <c r="I109" s="171">
        <f t="shared" si="11"/>
        <v>77500</v>
      </c>
      <c r="K109" s="320">
        <f t="shared" si="12"/>
        <v>77500</v>
      </c>
      <c r="L109" s="119">
        <v>70000</v>
      </c>
      <c r="N109" s="171">
        <f t="shared" si="13"/>
        <v>147500</v>
      </c>
      <c r="O109" s="91" t="s">
        <v>23</v>
      </c>
      <c r="P109" s="671"/>
      <c r="Q109" s="91" t="s">
        <v>54</v>
      </c>
      <c r="R109" s="86"/>
      <c r="S109" s="171"/>
      <c r="T109" s="86"/>
      <c r="U109" s="86"/>
      <c r="V109" s="86"/>
      <c r="W109" s="86"/>
    </row>
    <row r="110" spans="1:23" s="119" customFormat="1" ht="244.8">
      <c r="A110" s="9">
        <v>44355</v>
      </c>
      <c r="B110" s="91" t="s">
        <v>23</v>
      </c>
      <c r="C110" s="123" t="s">
        <v>4369</v>
      </c>
      <c r="D110" s="1099" t="s">
        <v>9423</v>
      </c>
      <c r="E110" s="712" t="s">
        <v>4370</v>
      </c>
      <c r="F110" s="712" t="s">
        <v>4371</v>
      </c>
      <c r="G110" s="30">
        <v>1</v>
      </c>
      <c r="H110" s="119">
        <v>100000</v>
      </c>
      <c r="I110" s="171">
        <f t="shared" si="11"/>
        <v>100000</v>
      </c>
      <c r="K110" s="320">
        <f t="shared" si="12"/>
        <v>100000</v>
      </c>
      <c r="L110" s="119">
        <v>51000</v>
      </c>
      <c r="N110" s="171">
        <f t="shared" si="13"/>
        <v>151000</v>
      </c>
      <c r="O110" s="91" t="s">
        <v>23</v>
      </c>
      <c r="P110" s="671"/>
      <c r="Q110" s="91" t="s">
        <v>40</v>
      </c>
      <c r="R110" s="642"/>
      <c r="S110" s="171"/>
      <c r="T110" s="86"/>
      <c r="U110" s="86"/>
      <c r="V110" s="86"/>
      <c r="W110" s="86"/>
    </row>
    <row r="111" spans="1:23" s="119" customFormat="1">
      <c r="A111" s="9">
        <v>44355</v>
      </c>
      <c r="B111" s="91" t="s">
        <v>23</v>
      </c>
      <c r="C111" s="91" t="s">
        <v>4372</v>
      </c>
      <c r="D111" s="713" t="s">
        <v>4373</v>
      </c>
      <c r="E111" s="712" t="s">
        <v>4374</v>
      </c>
      <c r="F111" s="712" t="s">
        <v>4375</v>
      </c>
      <c r="G111" s="30">
        <v>3</v>
      </c>
      <c r="H111" s="119">
        <v>82000</v>
      </c>
      <c r="I111" s="171">
        <f t="shared" si="11"/>
        <v>246000</v>
      </c>
      <c r="K111" s="320">
        <f t="shared" si="12"/>
        <v>246000</v>
      </c>
      <c r="L111" s="119">
        <v>47000</v>
      </c>
      <c r="N111" s="171">
        <f t="shared" si="13"/>
        <v>293000</v>
      </c>
      <c r="O111" s="91" t="s">
        <v>23</v>
      </c>
      <c r="P111" s="649"/>
      <c r="Q111" s="91" t="s">
        <v>40</v>
      </c>
      <c r="R111" s="670"/>
      <c r="S111" s="642"/>
      <c r="T111" s="86"/>
      <c r="U111" s="86"/>
      <c r="V111" s="86"/>
      <c r="W111" s="86"/>
    </row>
    <row r="112" spans="1:23" s="119" customFormat="1">
      <c r="A112" s="9">
        <v>44355</v>
      </c>
      <c r="B112" s="91" t="s">
        <v>23</v>
      </c>
      <c r="C112" s="123" t="s">
        <v>4376</v>
      </c>
      <c r="D112" s="713" t="s">
        <v>4377</v>
      </c>
      <c r="E112" s="712" t="s">
        <v>3150</v>
      </c>
      <c r="F112" s="712" t="s">
        <v>3151</v>
      </c>
      <c r="G112" s="30">
        <v>1</v>
      </c>
      <c r="H112" s="119">
        <v>142000</v>
      </c>
      <c r="I112" s="171">
        <f t="shared" si="11"/>
        <v>142000</v>
      </c>
      <c r="K112" s="320">
        <f t="shared" si="12"/>
        <v>142000</v>
      </c>
      <c r="L112" s="119">
        <v>7000</v>
      </c>
      <c r="N112" s="171">
        <f t="shared" si="13"/>
        <v>149000</v>
      </c>
      <c r="O112" s="91" t="s">
        <v>23</v>
      </c>
      <c r="P112" s="671"/>
      <c r="Q112" s="91" t="s">
        <v>28</v>
      </c>
      <c r="R112" s="86"/>
      <c r="S112" s="171"/>
      <c r="T112" s="86"/>
      <c r="U112" s="86"/>
      <c r="V112" s="86"/>
      <c r="W112" s="86"/>
    </row>
    <row r="113" spans="1:23" s="119" customFormat="1">
      <c r="A113" s="9">
        <v>44355</v>
      </c>
      <c r="B113" s="91" t="s">
        <v>23</v>
      </c>
      <c r="C113" s="123" t="s">
        <v>4378</v>
      </c>
      <c r="D113" s="713" t="s">
        <v>4379</v>
      </c>
      <c r="E113" s="712" t="s">
        <v>4380</v>
      </c>
      <c r="F113" s="712" t="s">
        <v>4381</v>
      </c>
      <c r="G113" s="30">
        <v>1</v>
      </c>
      <c r="H113" s="119">
        <v>81000</v>
      </c>
      <c r="I113" s="171">
        <f t="shared" si="11"/>
        <v>81000</v>
      </c>
      <c r="K113" s="320">
        <f t="shared" si="12"/>
        <v>81000</v>
      </c>
      <c r="L113" s="119">
        <v>9000</v>
      </c>
      <c r="M113" s="711"/>
      <c r="N113" s="171">
        <f t="shared" si="13"/>
        <v>90000</v>
      </c>
      <c r="O113" s="91" t="s">
        <v>23</v>
      </c>
      <c r="Q113" s="91" t="s">
        <v>28</v>
      </c>
      <c r="S113" s="171"/>
      <c r="V113" s="86"/>
      <c r="W113" s="86"/>
    </row>
    <row r="114" spans="1:23" s="119" customFormat="1">
      <c r="A114" s="9">
        <v>44355</v>
      </c>
      <c r="B114" s="91" t="s">
        <v>23</v>
      </c>
      <c r="C114" s="123" t="s">
        <v>4382</v>
      </c>
      <c r="D114" s="713" t="s">
        <v>4383</v>
      </c>
      <c r="E114" s="712" t="s">
        <v>4384</v>
      </c>
      <c r="F114" s="712" t="s">
        <v>1323</v>
      </c>
      <c r="G114" s="30">
        <v>1</v>
      </c>
      <c r="H114" s="119">
        <v>98500</v>
      </c>
      <c r="I114" s="171">
        <f t="shared" si="11"/>
        <v>98500</v>
      </c>
      <c r="K114" s="320">
        <f t="shared" si="12"/>
        <v>98500</v>
      </c>
      <c r="L114" s="119">
        <v>36000</v>
      </c>
      <c r="N114" s="171">
        <f t="shared" si="13"/>
        <v>134500</v>
      </c>
      <c r="O114" s="91" t="s">
        <v>23</v>
      </c>
      <c r="Q114" s="91" t="s">
        <v>54</v>
      </c>
      <c r="S114" s="171"/>
      <c r="V114" s="86"/>
      <c r="W114" s="86"/>
    </row>
    <row r="115" spans="1:23" s="119" customFormat="1">
      <c r="A115" s="9">
        <v>44355</v>
      </c>
      <c r="B115" s="10" t="s">
        <v>23</v>
      </c>
      <c r="C115" s="11" t="s">
        <v>4385</v>
      </c>
      <c r="D115" s="713" t="s">
        <v>4386</v>
      </c>
      <c r="E115" s="724" t="s">
        <v>4387</v>
      </c>
      <c r="F115" s="724" t="s">
        <v>4388</v>
      </c>
      <c r="G115" s="30">
        <v>1</v>
      </c>
      <c r="H115" s="705">
        <v>122000</v>
      </c>
      <c r="I115" s="171">
        <f t="shared" si="11"/>
        <v>122000</v>
      </c>
      <c r="J115" s="119">
        <f t="shared" ref="J115:J134" si="14">I115*35%</f>
        <v>42700</v>
      </c>
      <c r="K115" s="320">
        <f t="shared" si="12"/>
        <v>79300</v>
      </c>
      <c r="N115" s="171">
        <f t="shared" si="13"/>
        <v>79300</v>
      </c>
      <c r="O115" s="10" t="s">
        <v>23</v>
      </c>
      <c r="Q115" s="10" t="s">
        <v>4389</v>
      </c>
      <c r="S115" s="171"/>
      <c r="V115" s="86"/>
      <c r="W115" s="86"/>
    </row>
    <row r="116" spans="1:23" s="119" customFormat="1">
      <c r="A116" s="9">
        <v>44355</v>
      </c>
      <c r="B116" s="10" t="s">
        <v>23</v>
      </c>
      <c r="C116" s="11" t="s">
        <v>4385</v>
      </c>
      <c r="D116" s="713" t="s">
        <v>4386</v>
      </c>
      <c r="E116" s="724" t="s">
        <v>4390</v>
      </c>
      <c r="F116" s="724" t="s">
        <v>4391</v>
      </c>
      <c r="G116" s="30">
        <v>1</v>
      </c>
      <c r="H116" s="705">
        <v>84000</v>
      </c>
      <c r="I116" s="171">
        <f t="shared" si="11"/>
        <v>84000</v>
      </c>
      <c r="J116" s="119">
        <f t="shared" si="14"/>
        <v>29399.999999999996</v>
      </c>
      <c r="K116" s="320">
        <f t="shared" si="12"/>
        <v>54600</v>
      </c>
      <c r="N116" s="171">
        <f t="shared" si="13"/>
        <v>54600</v>
      </c>
      <c r="O116" s="10" t="s">
        <v>23</v>
      </c>
      <c r="Q116" s="10" t="s">
        <v>4389</v>
      </c>
      <c r="S116" s="171"/>
      <c r="V116" s="86"/>
      <c r="W116" s="86"/>
    </row>
    <row r="117" spans="1:23" s="119" customFormat="1">
      <c r="A117" s="9">
        <v>44355</v>
      </c>
      <c r="B117" s="10" t="s">
        <v>23</v>
      </c>
      <c r="C117" s="11" t="s">
        <v>4385</v>
      </c>
      <c r="D117" s="713" t="s">
        <v>4386</v>
      </c>
      <c r="E117" s="724" t="s">
        <v>4392</v>
      </c>
      <c r="F117" s="724" t="s">
        <v>4393</v>
      </c>
      <c r="G117" s="30">
        <v>1</v>
      </c>
      <c r="H117" s="705">
        <v>71500</v>
      </c>
      <c r="I117" s="171">
        <f t="shared" si="11"/>
        <v>71500</v>
      </c>
      <c r="J117" s="119">
        <f t="shared" si="14"/>
        <v>25025</v>
      </c>
      <c r="K117" s="320">
        <f t="shared" si="12"/>
        <v>46475</v>
      </c>
      <c r="N117" s="171">
        <f t="shared" si="13"/>
        <v>46475</v>
      </c>
      <c r="O117" s="10" t="s">
        <v>23</v>
      </c>
      <c r="Q117" s="10" t="s">
        <v>4389</v>
      </c>
      <c r="S117" s="171"/>
      <c r="V117" s="86"/>
      <c r="W117" s="86"/>
    </row>
    <row r="118" spans="1:23" s="119" customFormat="1">
      <c r="A118" s="9">
        <v>44355</v>
      </c>
      <c r="B118" s="10" t="s">
        <v>23</v>
      </c>
      <c r="C118" s="11" t="s">
        <v>4385</v>
      </c>
      <c r="D118" s="713" t="s">
        <v>4386</v>
      </c>
      <c r="E118" s="724" t="s">
        <v>4394</v>
      </c>
      <c r="F118" s="724" t="s">
        <v>4395</v>
      </c>
      <c r="G118" s="30">
        <v>1</v>
      </c>
      <c r="H118" s="705">
        <v>75000</v>
      </c>
      <c r="I118" s="171">
        <f t="shared" si="11"/>
        <v>75000</v>
      </c>
      <c r="J118" s="119">
        <f t="shared" si="14"/>
        <v>26250</v>
      </c>
      <c r="K118" s="320">
        <f t="shared" si="12"/>
        <v>48750</v>
      </c>
      <c r="N118" s="171">
        <f t="shared" si="13"/>
        <v>48750</v>
      </c>
      <c r="O118" s="10" t="s">
        <v>23</v>
      </c>
      <c r="P118" s="649"/>
      <c r="Q118" s="10" t="s">
        <v>4389</v>
      </c>
      <c r="V118" s="86"/>
      <c r="W118" s="86"/>
    </row>
    <row r="119" spans="1:23" s="119" customFormat="1">
      <c r="A119" s="9">
        <v>44355</v>
      </c>
      <c r="B119" s="10" t="s">
        <v>23</v>
      </c>
      <c r="C119" s="11" t="s">
        <v>4385</v>
      </c>
      <c r="D119" s="713" t="s">
        <v>4386</v>
      </c>
      <c r="E119" s="724" t="s">
        <v>4396</v>
      </c>
      <c r="F119" s="724" t="s">
        <v>4397</v>
      </c>
      <c r="G119" s="30">
        <v>1</v>
      </c>
      <c r="H119" s="705">
        <v>82000</v>
      </c>
      <c r="I119" s="171">
        <f t="shared" si="11"/>
        <v>82000</v>
      </c>
      <c r="J119" s="119">
        <f t="shared" si="14"/>
        <v>28699.999999999996</v>
      </c>
      <c r="K119" s="320">
        <f t="shared" si="12"/>
        <v>53300</v>
      </c>
      <c r="N119" s="171">
        <f t="shared" si="13"/>
        <v>53300</v>
      </c>
      <c r="O119" s="10" t="s">
        <v>23</v>
      </c>
      <c r="P119" s="649"/>
      <c r="Q119" s="10" t="s">
        <v>4389</v>
      </c>
      <c r="S119" s="642"/>
      <c r="V119" s="86"/>
      <c r="W119" s="86"/>
    </row>
    <row r="120" spans="1:23" s="119" customFormat="1">
      <c r="A120" s="9">
        <v>44355</v>
      </c>
      <c r="B120" s="10" t="s">
        <v>23</v>
      </c>
      <c r="C120" s="11" t="s">
        <v>4385</v>
      </c>
      <c r="D120" s="713" t="s">
        <v>4386</v>
      </c>
      <c r="E120" s="724" t="s">
        <v>1030</v>
      </c>
      <c r="F120" s="724" t="s">
        <v>1031</v>
      </c>
      <c r="G120" s="30">
        <v>1</v>
      </c>
      <c r="H120" s="705">
        <v>150000</v>
      </c>
      <c r="I120" s="171">
        <f t="shared" si="11"/>
        <v>150000</v>
      </c>
      <c r="J120" s="119">
        <f t="shared" si="14"/>
        <v>52500</v>
      </c>
      <c r="K120" s="320">
        <f t="shared" si="12"/>
        <v>97500</v>
      </c>
      <c r="N120" s="171">
        <f t="shared" si="13"/>
        <v>97500</v>
      </c>
      <c r="O120" s="10" t="s">
        <v>23</v>
      </c>
      <c r="P120" s="649"/>
      <c r="Q120" s="10" t="s">
        <v>4389</v>
      </c>
      <c r="S120" s="642"/>
      <c r="V120" s="86"/>
      <c r="W120" s="86"/>
    </row>
    <row r="121" spans="1:23" s="119" customFormat="1" ht="15" customHeight="1">
      <c r="A121" s="9">
        <v>44355</v>
      </c>
      <c r="B121" s="10" t="s">
        <v>23</v>
      </c>
      <c r="C121" s="11" t="s">
        <v>4385</v>
      </c>
      <c r="D121" s="713" t="s">
        <v>4386</v>
      </c>
      <c r="E121" s="724" t="s">
        <v>4398</v>
      </c>
      <c r="F121" s="724" t="s">
        <v>4399</v>
      </c>
      <c r="G121" s="30">
        <v>1</v>
      </c>
      <c r="H121" s="705">
        <v>79000</v>
      </c>
      <c r="I121" s="171">
        <f t="shared" si="11"/>
        <v>79000</v>
      </c>
      <c r="J121" s="119">
        <f t="shared" si="14"/>
        <v>27650</v>
      </c>
      <c r="K121" s="320">
        <f t="shared" si="12"/>
        <v>51350</v>
      </c>
      <c r="N121" s="171">
        <f t="shared" si="13"/>
        <v>51350</v>
      </c>
      <c r="O121" s="10" t="s">
        <v>23</v>
      </c>
      <c r="P121" s="649"/>
      <c r="Q121" s="10" t="s">
        <v>4389</v>
      </c>
      <c r="S121" s="642"/>
      <c r="V121" s="86"/>
      <c r="W121" s="86"/>
    </row>
    <row r="122" spans="1:23" s="119" customFormat="1">
      <c r="A122" s="9">
        <v>44355</v>
      </c>
      <c r="B122" s="10" t="s">
        <v>23</v>
      </c>
      <c r="C122" s="11" t="s">
        <v>4385</v>
      </c>
      <c r="D122" s="713" t="s">
        <v>4386</v>
      </c>
      <c r="E122" s="724" t="s">
        <v>4400</v>
      </c>
      <c r="F122" s="724" t="s">
        <v>4401</v>
      </c>
      <c r="G122" s="35">
        <v>1</v>
      </c>
      <c r="H122" s="705">
        <v>80500</v>
      </c>
      <c r="I122" s="171">
        <f t="shared" si="11"/>
        <v>80500</v>
      </c>
      <c r="J122" s="119">
        <f t="shared" si="14"/>
        <v>28175</v>
      </c>
      <c r="K122" s="320">
        <f t="shared" si="12"/>
        <v>52325</v>
      </c>
      <c r="N122" s="171">
        <f t="shared" si="13"/>
        <v>52325</v>
      </c>
      <c r="O122" s="10" t="s">
        <v>23</v>
      </c>
      <c r="P122" s="649"/>
      <c r="Q122" s="10" t="s">
        <v>4389</v>
      </c>
      <c r="S122" s="642"/>
      <c r="V122" s="86"/>
      <c r="W122" s="86"/>
    </row>
    <row r="123" spans="1:23" s="119" customFormat="1">
      <c r="A123" s="9">
        <v>44355</v>
      </c>
      <c r="B123" s="10" t="s">
        <v>23</v>
      </c>
      <c r="C123" s="11" t="s">
        <v>4385</v>
      </c>
      <c r="D123" s="713" t="s">
        <v>4386</v>
      </c>
      <c r="E123" s="724" t="s">
        <v>4402</v>
      </c>
      <c r="F123" s="724" t="s">
        <v>4403</v>
      </c>
      <c r="G123" s="30">
        <v>1</v>
      </c>
      <c r="H123" s="705">
        <v>82500</v>
      </c>
      <c r="I123" s="171">
        <f t="shared" si="11"/>
        <v>82500</v>
      </c>
      <c r="J123" s="119">
        <f t="shared" si="14"/>
        <v>28874.999999999996</v>
      </c>
      <c r="K123" s="320">
        <f t="shared" si="12"/>
        <v>53625</v>
      </c>
      <c r="L123" s="86"/>
      <c r="M123" s="86"/>
      <c r="N123" s="171">
        <f t="shared" si="13"/>
        <v>53625</v>
      </c>
      <c r="O123" s="10" t="s">
        <v>23</v>
      </c>
      <c r="Q123" s="10" t="s">
        <v>4389</v>
      </c>
      <c r="S123" s="672"/>
      <c r="V123" s="86"/>
      <c r="W123" s="86"/>
    </row>
    <row r="124" spans="1:23" s="119" customFormat="1">
      <c r="A124" s="9">
        <v>44355</v>
      </c>
      <c r="B124" s="10" t="s">
        <v>23</v>
      </c>
      <c r="C124" s="11" t="s">
        <v>4385</v>
      </c>
      <c r="D124" s="713" t="s">
        <v>4386</v>
      </c>
      <c r="E124" s="724" t="s">
        <v>4404</v>
      </c>
      <c r="F124" s="724" t="s">
        <v>4405</v>
      </c>
      <c r="G124" s="30">
        <v>1</v>
      </c>
      <c r="H124" s="705">
        <v>72000</v>
      </c>
      <c r="I124" s="171">
        <f t="shared" si="11"/>
        <v>72000</v>
      </c>
      <c r="J124" s="119">
        <f t="shared" si="14"/>
        <v>25200</v>
      </c>
      <c r="K124" s="320">
        <f t="shared" si="12"/>
        <v>46800</v>
      </c>
      <c r="L124" s="86"/>
      <c r="M124" s="86"/>
      <c r="N124" s="171">
        <f t="shared" si="13"/>
        <v>46800</v>
      </c>
      <c r="O124" s="10" t="s">
        <v>23</v>
      </c>
      <c r="Q124" s="10" t="s">
        <v>4389</v>
      </c>
      <c r="V124" s="86"/>
      <c r="W124" s="86"/>
    </row>
    <row r="125" spans="1:23" s="119" customFormat="1">
      <c r="A125" s="9">
        <v>44355</v>
      </c>
      <c r="B125" s="10" t="s">
        <v>23</v>
      </c>
      <c r="C125" s="11" t="s">
        <v>4385</v>
      </c>
      <c r="D125" s="713" t="s">
        <v>4386</v>
      </c>
      <c r="E125" s="724" t="s">
        <v>4406</v>
      </c>
      <c r="F125" s="724" t="s">
        <v>4407</v>
      </c>
      <c r="G125" s="30">
        <v>1</v>
      </c>
      <c r="H125" s="705">
        <v>170000</v>
      </c>
      <c r="I125" s="171">
        <f t="shared" si="11"/>
        <v>170000</v>
      </c>
      <c r="J125" s="119">
        <f t="shared" si="14"/>
        <v>59499.999999999993</v>
      </c>
      <c r="K125" s="320">
        <f t="shared" si="12"/>
        <v>110500</v>
      </c>
      <c r="L125" s="86"/>
      <c r="M125" s="86"/>
      <c r="N125" s="171">
        <f t="shared" si="13"/>
        <v>110500</v>
      </c>
      <c r="O125" s="10" t="s">
        <v>23</v>
      </c>
      <c r="P125" s="666"/>
      <c r="Q125" s="10" t="s">
        <v>4389</v>
      </c>
      <c r="R125" s="666"/>
      <c r="S125" s="642"/>
      <c r="V125" s="86"/>
      <c r="W125" s="86"/>
    </row>
    <row r="126" spans="1:23" s="119" customFormat="1">
      <c r="A126" s="9">
        <v>44355</v>
      </c>
      <c r="B126" s="10" t="s">
        <v>23</v>
      </c>
      <c r="C126" s="11" t="s">
        <v>4385</v>
      </c>
      <c r="D126" s="713" t="s">
        <v>4386</v>
      </c>
      <c r="E126" s="724" t="s">
        <v>2914</v>
      </c>
      <c r="F126" s="724" t="s">
        <v>2915</v>
      </c>
      <c r="G126" s="30">
        <v>1</v>
      </c>
      <c r="H126" s="705">
        <v>124500</v>
      </c>
      <c r="I126" s="171">
        <f t="shared" si="11"/>
        <v>124500</v>
      </c>
      <c r="J126" s="119">
        <f t="shared" si="14"/>
        <v>43575</v>
      </c>
      <c r="K126" s="320">
        <f t="shared" si="12"/>
        <v>80925</v>
      </c>
      <c r="L126" s="86"/>
      <c r="M126" s="86"/>
      <c r="N126" s="171">
        <f t="shared" si="13"/>
        <v>80925</v>
      </c>
      <c r="O126" s="10" t="s">
        <v>23</v>
      </c>
      <c r="Q126" s="10" t="s">
        <v>4389</v>
      </c>
      <c r="V126" s="86"/>
      <c r="W126" s="86"/>
    </row>
    <row r="127" spans="1:23" s="119" customFormat="1">
      <c r="A127" s="9">
        <v>44355</v>
      </c>
      <c r="B127" s="10" t="s">
        <v>23</v>
      </c>
      <c r="C127" s="11" t="s">
        <v>4385</v>
      </c>
      <c r="D127" s="713" t="s">
        <v>4386</v>
      </c>
      <c r="E127" s="724" t="s">
        <v>4408</v>
      </c>
      <c r="F127" s="724" t="s">
        <v>4409</v>
      </c>
      <c r="G127" s="30">
        <v>1</v>
      </c>
      <c r="H127" s="705">
        <v>62000</v>
      </c>
      <c r="I127" s="171">
        <f t="shared" si="11"/>
        <v>62000</v>
      </c>
      <c r="J127" s="119">
        <f t="shared" si="14"/>
        <v>21700</v>
      </c>
      <c r="K127" s="320">
        <f t="shared" si="12"/>
        <v>40300</v>
      </c>
      <c r="L127" s="86"/>
      <c r="M127" s="86"/>
      <c r="N127" s="171">
        <f t="shared" si="13"/>
        <v>40300</v>
      </c>
      <c r="O127" s="10" t="s">
        <v>23</v>
      </c>
      <c r="P127" s="687"/>
      <c r="Q127" s="10" t="s">
        <v>4389</v>
      </c>
      <c r="S127" s="687"/>
      <c r="V127" s="86"/>
      <c r="W127" s="86"/>
    </row>
    <row r="128" spans="1:23" s="119" customFormat="1" ht="15.6">
      <c r="A128" s="9">
        <v>44355</v>
      </c>
      <c r="B128" s="10" t="s">
        <v>23</v>
      </c>
      <c r="C128" s="11" t="s">
        <v>4385</v>
      </c>
      <c r="D128" s="713" t="s">
        <v>4386</v>
      </c>
      <c r="E128" s="724" t="s">
        <v>4410</v>
      </c>
      <c r="F128" s="724" t="s">
        <v>4411</v>
      </c>
      <c r="G128" s="30">
        <v>1</v>
      </c>
      <c r="H128" s="705">
        <v>57000</v>
      </c>
      <c r="I128" s="171">
        <f t="shared" si="11"/>
        <v>57000</v>
      </c>
      <c r="J128" s="119">
        <f t="shared" si="14"/>
        <v>19950</v>
      </c>
      <c r="K128" s="320">
        <f t="shared" si="12"/>
        <v>37050</v>
      </c>
      <c r="L128" s="86"/>
      <c r="M128" s="86"/>
      <c r="N128" s="171">
        <f t="shared" si="13"/>
        <v>37050</v>
      </c>
      <c r="O128" s="10" t="s">
        <v>23</v>
      </c>
      <c r="P128" s="700"/>
      <c r="Q128" s="10" t="s">
        <v>4389</v>
      </c>
      <c r="S128" s="679"/>
      <c r="V128" s="86"/>
      <c r="W128" s="86"/>
    </row>
    <row r="129" spans="1:23" s="119" customFormat="1">
      <c r="A129" s="9">
        <v>44355</v>
      </c>
      <c r="B129" s="10" t="s">
        <v>23</v>
      </c>
      <c r="C129" s="11" t="s">
        <v>4385</v>
      </c>
      <c r="D129" s="713" t="s">
        <v>4386</v>
      </c>
      <c r="E129" s="724" t="s">
        <v>4412</v>
      </c>
      <c r="F129" s="724" t="s">
        <v>4413</v>
      </c>
      <c r="G129" s="30">
        <v>1</v>
      </c>
      <c r="H129" s="705">
        <v>135500</v>
      </c>
      <c r="I129" s="171">
        <f t="shared" si="11"/>
        <v>135500</v>
      </c>
      <c r="J129" s="119">
        <f t="shared" si="14"/>
        <v>47425</v>
      </c>
      <c r="K129" s="320">
        <f t="shared" si="12"/>
        <v>88075</v>
      </c>
      <c r="L129" s="86"/>
      <c r="M129" s="86"/>
      <c r="N129" s="171">
        <f t="shared" si="13"/>
        <v>88075</v>
      </c>
      <c r="O129" s="10" t="s">
        <v>23</v>
      </c>
      <c r="Q129" s="10" t="s">
        <v>4389</v>
      </c>
      <c r="V129" s="86"/>
      <c r="W129" s="86"/>
    </row>
    <row r="130" spans="1:23" s="119" customFormat="1">
      <c r="A130" s="9">
        <v>44355</v>
      </c>
      <c r="B130" s="10" t="s">
        <v>23</v>
      </c>
      <c r="C130" s="11" t="s">
        <v>4385</v>
      </c>
      <c r="D130" s="713" t="s">
        <v>4386</v>
      </c>
      <c r="E130" s="724" t="s">
        <v>1778</v>
      </c>
      <c r="F130" s="724" t="s">
        <v>1779</v>
      </c>
      <c r="G130" s="30">
        <v>1</v>
      </c>
      <c r="H130" s="705">
        <v>114000</v>
      </c>
      <c r="I130" s="171">
        <f t="shared" ref="I130:I161" si="15">G130*H130</f>
        <v>114000</v>
      </c>
      <c r="J130" s="119">
        <f t="shared" si="14"/>
        <v>39900</v>
      </c>
      <c r="K130" s="320">
        <f t="shared" ref="K130:K161" si="16">I130-J130</f>
        <v>74100</v>
      </c>
      <c r="L130" s="86"/>
      <c r="M130" s="86"/>
      <c r="N130" s="171">
        <f t="shared" ref="N130:N160" si="17">K130+L130+M130</f>
        <v>74100</v>
      </c>
      <c r="O130" s="10" t="s">
        <v>23</v>
      </c>
      <c r="Q130" s="10" t="s">
        <v>4389</v>
      </c>
      <c r="V130" s="86"/>
      <c r="W130" s="86"/>
    </row>
    <row r="131" spans="1:23" s="119" customFormat="1">
      <c r="A131" s="9">
        <v>44355</v>
      </c>
      <c r="B131" s="10" t="s">
        <v>23</v>
      </c>
      <c r="C131" s="11" t="s">
        <v>4385</v>
      </c>
      <c r="D131" s="713" t="s">
        <v>4386</v>
      </c>
      <c r="E131" s="724" t="s">
        <v>4414</v>
      </c>
      <c r="F131" s="724" t="s">
        <v>4415</v>
      </c>
      <c r="G131" s="30">
        <v>1</v>
      </c>
      <c r="H131" s="705">
        <v>75500</v>
      </c>
      <c r="I131" s="171">
        <f t="shared" si="15"/>
        <v>75500</v>
      </c>
      <c r="J131" s="119">
        <f t="shared" si="14"/>
        <v>26425</v>
      </c>
      <c r="K131" s="320">
        <f t="shared" si="16"/>
        <v>49075</v>
      </c>
      <c r="L131" s="86"/>
      <c r="M131" s="86"/>
      <c r="N131" s="171">
        <f t="shared" si="17"/>
        <v>49075</v>
      </c>
      <c r="O131" s="10" t="s">
        <v>23</v>
      </c>
      <c r="P131" s="649"/>
      <c r="Q131" s="10" t="s">
        <v>4389</v>
      </c>
      <c r="R131" s="642"/>
      <c r="V131" s="86"/>
      <c r="W131" s="86"/>
    </row>
    <row r="132" spans="1:23" s="119" customFormat="1">
      <c r="A132" s="9">
        <v>44355</v>
      </c>
      <c r="B132" s="10" t="s">
        <v>23</v>
      </c>
      <c r="C132" s="11" t="s">
        <v>4385</v>
      </c>
      <c r="D132" s="713" t="s">
        <v>4386</v>
      </c>
      <c r="E132" s="724" t="s">
        <v>3303</v>
      </c>
      <c r="F132" s="724" t="s">
        <v>3304</v>
      </c>
      <c r="G132" s="30">
        <v>1</v>
      </c>
      <c r="H132" s="84">
        <v>85000</v>
      </c>
      <c r="I132" s="171">
        <f t="shared" si="15"/>
        <v>85000</v>
      </c>
      <c r="J132" s="119">
        <f t="shared" si="14"/>
        <v>29749.999999999996</v>
      </c>
      <c r="K132" s="320">
        <f t="shared" si="16"/>
        <v>55250</v>
      </c>
      <c r="L132" s="86"/>
      <c r="M132" s="86"/>
      <c r="N132" s="171">
        <f t="shared" si="17"/>
        <v>55250</v>
      </c>
      <c r="O132" s="10" t="s">
        <v>23</v>
      </c>
      <c r="P132" s="649"/>
      <c r="Q132" s="10" t="s">
        <v>4389</v>
      </c>
      <c r="R132" s="642"/>
      <c r="V132" s="86"/>
      <c r="W132" s="86"/>
    </row>
    <row r="133" spans="1:23" s="119" customFormat="1">
      <c r="A133" s="9">
        <v>44355</v>
      </c>
      <c r="B133" s="10" t="s">
        <v>23</v>
      </c>
      <c r="C133" s="11" t="s">
        <v>4385</v>
      </c>
      <c r="D133" s="713" t="s">
        <v>4386</v>
      </c>
      <c r="E133" s="724" t="s">
        <v>2904</v>
      </c>
      <c r="F133" s="724" t="s">
        <v>2905</v>
      </c>
      <c r="G133" s="30">
        <v>1</v>
      </c>
      <c r="H133" s="84">
        <v>180000</v>
      </c>
      <c r="I133" s="171">
        <f t="shared" si="15"/>
        <v>180000</v>
      </c>
      <c r="J133" s="119">
        <f t="shared" si="14"/>
        <v>62999.999999999993</v>
      </c>
      <c r="K133" s="320">
        <f t="shared" si="16"/>
        <v>117000</v>
      </c>
      <c r="L133" s="86"/>
      <c r="M133" s="86"/>
      <c r="N133" s="171">
        <f t="shared" si="17"/>
        <v>117000</v>
      </c>
      <c r="O133" s="10" t="s">
        <v>23</v>
      </c>
      <c r="P133" s="649"/>
      <c r="Q133" s="10" t="s">
        <v>4389</v>
      </c>
      <c r="R133" s="642"/>
      <c r="V133" s="86"/>
      <c r="W133" s="86"/>
    </row>
    <row r="134" spans="1:23" s="119" customFormat="1" ht="15.6">
      <c r="A134" s="9">
        <v>44355</v>
      </c>
      <c r="B134" s="10" t="s">
        <v>23</v>
      </c>
      <c r="C134" s="11" t="s">
        <v>4385</v>
      </c>
      <c r="D134" s="713" t="s">
        <v>4386</v>
      </c>
      <c r="E134" s="724" t="s">
        <v>4416</v>
      </c>
      <c r="F134" s="724" t="s">
        <v>2899</v>
      </c>
      <c r="G134" s="30">
        <v>1</v>
      </c>
      <c r="H134" s="84">
        <v>84000</v>
      </c>
      <c r="I134" s="171">
        <f t="shared" si="15"/>
        <v>84000</v>
      </c>
      <c r="J134" s="119">
        <f t="shared" si="14"/>
        <v>29399.999999999996</v>
      </c>
      <c r="K134" s="320">
        <f t="shared" si="16"/>
        <v>54600</v>
      </c>
      <c r="L134" s="86"/>
      <c r="M134" s="86"/>
      <c r="N134" s="171">
        <f t="shared" si="17"/>
        <v>54600</v>
      </c>
      <c r="O134" s="701" t="s">
        <v>23</v>
      </c>
      <c r="P134" s="666"/>
      <c r="Q134" s="702" t="s">
        <v>4389</v>
      </c>
      <c r="R134" s="86"/>
      <c r="S134" s="679"/>
      <c r="T134" s="86"/>
      <c r="U134" s="86"/>
      <c r="V134" s="86"/>
      <c r="W134" s="86"/>
    </row>
    <row r="135" spans="1:23" s="119" customFormat="1">
      <c r="A135" s="9">
        <v>44356</v>
      </c>
      <c r="B135" s="282" t="s">
        <v>23</v>
      </c>
      <c r="C135" s="283" t="s">
        <v>4417</v>
      </c>
      <c r="D135" s="713" t="s">
        <v>4418</v>
      </c>
      <c r="E135" s="725" t="s">
        <v>2352</v>
      </c>
      <c r="F135" s="725" t="s">
        <v>2353</v>
      </c>
      <c r="G135" s="30">
        <v>2</v>
      </c>
      <c r="H135" s="119">
        <v>159000</v>
      </c>
      <c r="I135" s="171">
        <f t="shared" si="15"/>
        <v>318000</v>
      </c>
      <c r="K135" s="320">
        <f t="shared" si="16"/>
        <v>318000</v>
      </c>
      <c r="L135" s="86">
        <v>38000</v>
      </c>
      <c r="M135" s="86"/>
      <c r="N135" s="171">
        <f t="shared" si="17"/>
        <v>356000</v>
      </c>
      <c r="O135" s="282" t="s">
        <v>23</v>
      </c>
      <c r="P135" s="667"/>
      <c r="Q135" s="91" t="s">
        <v>40</v>
      </c>
      <c r="R135" s="86"/>
      <c r="S135" s="171"/>
      <c r="T135" s="86"/>
      <c r="U135" s="86"/>
      <c r="V135" s="86"/>
      <c r="W135" s="86"/>
    </row>
    <row r="136" spans="1:23" s="119" customFormat="1">
      <c r="A136" s="9">
        <v>44356</v>
      </c>
      <c r="B136" s="282" t="s">
        <v>23</v>
      </c>
      <c r="C136" s="283" t="s">
        <v>4417</v>
      </c>
      <c r="D136" s="713" t="s">
        <v>4418</v>
      </c>
      <c r="E136" s="725" t="s">
        <v>4419</v>
      </c>
      <c r="F136" s="725" t="s">
        <v>4420</v>
      </c>
      <c r="G136" s="30">
        <v>2</v>
      </c>
      <c r="H136" s="119">
        <v>95000</v>
      </c>
      <c r="I136" s="171">
        <f t="shared" si="15"/>
        <v>190000</v>
      </c>
      <c r="K136" s="320">
        <f t="shared" si="16"/>
        <v>190000</v>
      </c>
      <c r="L136" s="86"/>
      <c r="M136" s="86"/>
      <c r="N136" s="171">
        <f t="shared" si="17"/>
        <v>190000</v>
      </c>
      <c r="O136" s="282" t="s">
        <v>23</v>
      </c>
      <c r="P136" s="648"/>
      <c r="Q136" s="91" t="s">
        <v>40</v>
      </c>
      <c r="R136" s="711"/>
      <c r="S136" s="703"/>
      <c r="T136" s="86"/>
      <c r="U136" s="86"/>
      <c r="V136" s="86"/>
      <c r="W136" s="86"/>
    </row>
    <row r="137" spans="1:23" s="119" customFormat="1">
      <c r="A137" s="9">
        <v>44356</v>
      </c>
      <c r="B137" s="282" t="s">
        <v>23</v>
      </c>
      <c r="C137" s="282" t="s">
        <v>4421</v>
      </c>
      <c r="D137" s="713" t="s">
        <v>4422</v>
      </c>
      <c r="E137" s="712" t="s">
        <v>4423</v>
      </c>
      <c r="F137" s="712" t="s">
        <v>4424</v>
      </c>
      <c r="G137" s="30">
        <v>1</v>
      </c>
      <c r="H137" s="119">
        <v>85500</v>
      </c>
      <c r="I137" s="171">
        <f t="shared" si="15"/>
        <v>85500</v>
      </c>
      <c r="K137" s="320">
        <f t="shared" si="16"/>
        <v>85500</v>
      </c>
      <c r="L137" s="86">
        <v>46000</v>
      </c>
      <c r="M137" s="86"/>
      <c r="N137" s="171">
        <f t="shared" si="17"/>
        <v>131500</v>
      </c>
      <c r="O137" s="282" t="s">
        <v>23</v>
      </c>
      <c r="P137" s="171"/>
      <c r="Q137" s="91" t="s">
        <v>40</v>
      </c>
      <c r="R137" s="86"/>
      <c r="S137" s="703"/>
      <c r="T137" s="86"/>
      <c r="U137" s="86"/>
      <c r="V137" s="86"/>
      <c r="W137" s="86"/>
    </row>
    <row r="138" spans="1:23" s="119" customFormat="1" hidden="1">
      <c r="A138" s="9">
        <v>44356</v>
      </c>
      <c r="B138" s="282" t="s">
        <v>43</v>
      </c>
      <c r="C138" s="283" t="s">
        <v>4425</v>
      </c>
      <c r="D138" s="713" t="s">
        <v>4426</v>
      </c>
      <c r="E138" s="712" t="s">
        <v>4427</v>
      </c>
      <c r="F138" s="712" t="s">
        <v>3387</v>
      </c>
      <c r="G138" s="30">
        <v>1</v>
      </c>
      <c r="H138" s="119">
        <v>57500</v>
      </c>
      <c r="I138" s="171">
        <f t="shared" si="15"/>
        <v>57500</v>
      </c>
      <c r="K138" s="320">
        <f t="shared" si="16"/>
        <v>57500</v>
      </c>
      <c r="L138" s="86">
        <v>19000</v>
      </c>
      <c r="M138" s="713">
        <v>-3220</v>
      </c>
      <c r="N138" s="171">
        <f t="shared" si="17"/>
        <v>73280</v>
      </c>
      <c r="O138" s="282" t="s">
        <v>43</v>
      </c>
      <c r="P138" s="649"/>
      <c r="Q138" s="91" t="s">
        <v>54</v>
      </c>
      <c r="R138" s="642"/>
      <c r="S138" s="672"/>
      <c r="T138" s="86"/>
      <c r="U138" s="86"/>
      <c r="V138" s="86"/>
      <c r="W138" s="86"/>
    </row>
    <row r="139" spans="1:23" s="119" customFormat="1" hidden="1">
      <c r="A139" s="9">
        <v>44356</v>
      </c>
      <c r="B139" s="282" t="s">
        <v>317</v>
      </c>
      <c r="C139" s="282" t="s">
        <v>4428</v>
      </c>
      <c r="D139" s="713" t="s">
        <v>4429</v>
      </c>
      <c r="E139" s="712" t="s">
        <v>1387</v>
      </c>
      <c r="F139" s="712" t="s">
        <v>1388</v>
      </c>
      <c r="G139" s="30">
        <v>1</v>
      </c>
      <c r="H139" s="119">
        <v>79000</v>
      </c>
      <c r="I139" s="171">
        <f t="shared" si="15"/>
        <v>79000</v>
      </c>
      <c r="K139" s="320">
        <f t="shared" si="16"/>
        <v>79000</v>
      </c>
      <c r="L139" s="86">
        <f>8000-8000</f>
        <v>0</v>
      </c>
      <c r="M139" s="86"/>
      <c r="N139" s="171">
        <f t="shared" si="17"/>
        <v>79000</v>
      </c>
      <c r="O139" s="282" t="s">
        <v>317</v>
      </c>
      <c r="P139" s="171"/>
      <c r="Q139" s="91" t="s">
        <v>54</v>
      </c>
      <c r="R139" s="86"/>
      <c r="S139" s="703"/>
      <c r="T139" s="86"/>
      <c r="U139" s="86"/>
      <c r="V139" s="86"/>
      <c r="W139" s="86"/>
    </row>
    <row r="140" spans="1:23" s="171" customFormat="1">
      <c r="A140" s="9">
        <v>44356</v>
      </c>
      <c r="B140" s="282" t="s">
        <v>23</v>
      </c>
      <c r="C140" s="282" t="s">
        <v>4430</v>
      </c>
      <c r="D140" s="171" t="s">
        <v>4431</v>
      </c>
      <c r="E140" s="712" t="s">
        <v>4432</v>
      </c>
      <c r="F140" s="712" t="s">
        <v>4433</v>
      </c>
      <c r="G140" s="30">
        <v>1</v>
      </c>
      <c r="H140" s="171">
        <v>57000</v>
      </c>
      <c r="I140" s="171">
        <f t="shared" si="15"/>
        <v>57000</v>
      </c>
      <c r="J140" s="119"/>
      <c r="K140" s="320">
        <f t="shared" si="16"/>
        <v>57000</v>
      </c>
      <c r="L140" s="171">
        <v>20000</v>
      </c>
      <c r="N140" s="171">
        <f t="shared" si="17"/>
        <v>77000</v>
      </c>
      <c r="O140" s="282" t="s">
        <v>23</v>
      </c>
      <c r="Q140" s="91" t="s">
        <v>40</v>
      </c>
      <c r="R140" s="668"/>
    </row>
    <row r="141" spans="1:23" s="171" customFormat="1">
      <c r="A141" s="9">
        <v>44356</v>
      </c>
      <c r="B141" s="713" t="s">
        <v>23</v>
      </c>
      <c r="C141" s="282" t="s">
        <v>4434</v>
      </c>
      <c r="D141" s="171" t="s">
        <v>4435</v>
      </c>
      <c r="E141" s="712" t="s">
        <v>4436</v>
      </c>
      <c r="F141" s="712" t="s">
        <v>3916</v>
      </c>
      <c r="G141" s="659">
        <v>20</v>
      </c>
      <c r="H141" s="84">
        <v>58000</v>
      </c>
      <c r="I141" s="171">
        <f t="shared" si="15"/>
        <v>1160000</v>
      </c>
      <c r="J141" s="119">
        <f>I141*30%</f>
        <v>348000</v>
      </c>
      <c r="K141" s="320">
        <f t="shared" si="16"/>
        <v>812000</v>
      </c>
      <c r="L141" s="171">
        <v>90000</v>
      </c>
      <c r="N141" s="171">
        <f t="shared" si="17"/>
        <v>902000</v>
      </c>
      <c r="O141" s="713" t="s">
        <v>23</v>
      </c>
      <c r="Q141" s="713" t="s">
        <v>40</v>
      </c>
    </row>
    <row r="142" spans="1:23" s="119" customFormat="1">
      <c r="A142" s="9">
        <v>44356</v>
      </c>
      <c r="B142" s="713" t="s">
        <v>23</v>
      </c>
      <c r="C142" s="282" t="s">
        <v>4434</v>
      </c>
      <c r="D142" s="171" t="s">
        <v>4435</v>
      </c>
      <c r="E142" s="712" t="s">
        <v>1717</v>
      </c>
      <c r="F142" s="712" t="s">
        <v>1718</v>
      </c>
      <c r="G142" s="659">
        <v>20</v>
      </c>
      <c r="H142" s="84">
        <v>58000</v>
      </c>
      <c r="I142" s="171">
        <f t="shared" si="15"/>
        <v>1160000</v>
      </c>
      <c r="J142" s="119">
        <f t="shared" ref="J142:J143" si="18">I142*30%</f>
        <v>348000</v>
      </c>
      <c r="K142" s="320">
        <f t="shared" si="16"/>
        <v>812000</v>
      </c>
      <c r="L142" s="171"/>
      <c r="N142" s="171">
        <f t="shared" si="17"/>
        <v>812000</v>
      </c>
      <c r="O142" s="713" t="s">
        <v>23</v>
      </c>
      <c r="Q142" s="713" t="s">
        <v>40</v>
      </c>
    </row>
    <row r="143" spans="1:23" s="119" customFormat="1">
      <c r="A143" s="9">
        <v>44356</v>
      </c>
      <c r="B143" s="713" t="s">
        <v>23</v>
      </c>
      <c r="C143" s="282" t="s">
        <v>4434</v>
      </c>
      <c r="D143" s="171" t="s">
        <v>4435</v>
      </c>
      <c r="E143" s="712" t="s">
        <v>4437</v>
      </c>
      <c r="F143" s="712" t="s">
        <v>4438</v>
      </c>
      <c r="G143" s="659">
        <v>20</v>
      </c>
      <c r="H143" s="84">
        <v>60500</v>
      </c>
      <c r="I143" s="171">
        <f t="shared" si="15"/>
        <v>1210000</v>
      </c>
      <c r="J143" s="119">
        <f t="shared" si="18"/>
        <v>363000</v>
      </c>
      <c r="K143" s="320">
        <f t="shared" si="16"/>
        <v>847000</v>
      </c>
      <c r="L143" s="171"/>
      <c r="N143" s="171">
        <f t="shared" si="17"/>
        <v>847000</v>
      </c>
      <c r="O143" s="713" t="s">
        <v>23</v>
      </c>
      <c r="Q143" s="713" t="s">
        <v>40</v>
      </c>
    </row>
    <row r="144" spans="1:23" s="119" customFormat="1" hidden="1">
      <c r="A144" s="9">
        <v>44357</v>
      </c>
      <c r="B144" s="10" t="s">
        <v>43</v>
      </c>
      <c r="C144" s="10" t="s">
        <v>4439</v>
      </c>
      <c r="D144" s="713" t="s">
        <v>4440</v>
      </c>
      <c r="E144" s="712" t="s">
        <v>4441</v>
      </c>
      <c r="F144" s="712" t="s">
        <v>4226</v>
      </c>
      <c r="G144" s="30">
        <v>1</v>
      </c>
      <c r="H144" s="119">
        <v>126000</v>
      </c>
      <c r="I144" s="171">
        <f t="shared" si="15"/>
        <v>126000</v>
      </c>
      <c r="K144" s="320">
        <f t="shared" si="16"/>
        <v>126000</v>
      </c>
      <c r="L144" s="171">
        <v>8000</v>
      </c>
      <c r="M144" s="119">
        <v>-7056</v>
      </c>
      <c r="N144" s="171">
        <f t="shared" si="17"/>
        <v>126944</v>
      </c>
      <c r="O144" s="10" t="s">
        <v>43</v>
      </c>
      <c r="Q144" s="10" t="s">
        <v>54</v>
      </c>
    </row>
    <row r="145" spans="1:23" s="119" customFormat="1" hidden="1">
      <c r="A145" s="9">
        <v>44358</v>
      </c>
      <c r="B145" s="91" t="s">
        <v>43</v>
      </c>
      <c r="C145" s="123" t="s">
        <v>4442</v>
      </c>
      <c r="D145" s="713" t="s">
        <v>4443</v>
      </c>
      <c r="E145" s="712" t="s">
        <v>4444</v>
      </c>
      <c r="F145" s="712" t="s">
        <v>4445</v>
      </c>
      <c r="G145" s="30">
        <v>1</v>
      </c>
      <c r="H145" s="119">
        <v>61500</v>
      </c>
      <c r="I145" s="171">
        <f t="shared" si="15"/>
        <v>61500</v>
      </c>
      <c r="K145" s="320">
        <f t="shared" si="16"/>
        <v>61500</v>
      </c>
      <c r="L145" s="171"/>
      <c r="M145" s="119">
        <v>-3444</v>
      </c>
      <c r="N145" s="171">
        <f t="shared" si="17"/>
        <v>58056</v>
      </c>
      <c r="O145" s="91" t="s">
        <v>43</v>
      </c>
      <c r="Q145" s="91" t="s">
        <v>54</v>
      </c>
    </row>
    <row r="146" spans="1:23" s="171" customFormat="1" hidden="1">
      <c r="A146" s="9">
        <v>44358</v>
      </c>
      <c r="B146" s="91" t="s">
        <v>170</v>
      </c>
      <c r="C146" s="123" t="s">
        <v>4446</v>
      </c>
      <c r="D146" s="171" t="s">
        <v>4447</v>
      </c>
      <c r="E146" s="712" t="s">
        <v>4448</v>
      </c>
      <c r="F146" s="712" t="s">
        <v>4449</v>
      </c>
      <c r="G146" s="30">
        <v>1</v>
      </c>
      <c r="H146" s="171">
        <v>200000</v>
      </c>
      <c r="I146" s="171">
        <f t="shared" si="15"/>
        <v>200000</v>
      </c>
      <c r="J146" s="119">
        <f>I146*20%</f>
        <v>40000</v>
      </c>
      <c r="K146" s="320">
        <f t="shared" si="16"/>
        <v>160000</v>
      </c>
      <c r="L146" s="171">
        <v>6000</v>
      </c>
      <c r="N146" s="171">
        <f t="shared" si="17"/>
        <v>166000</v>
      </c>
      <c r="O146" s="91" t="s">
        <v>170</v>
      </c>
      <c r="Q146" s="91" t="s">
        <v>28</v>
      </c>
    </row>
    <row r="147" spans="1:23" s="171" customFormat="1" hidden="1">
      <c r="A147" s="9">
        <v>44358</v>
      </c>
      <c r="B147" s="91" t="s">
        <v>313</v>
      </c>
      <c r="C147" s="123" t="s">
        <v>4450</v>
      </c>
      <c r="D147" s="171" t="s">
        <v>4451</v>
      </c>
      <c r="E147" s="715" t="s">
        <v>4271</v>
      </c>
      <c r="F147" s="715" t="s">
        <v>4272</v>
      </c>
      <c r="G147" s="30">
        <v>1</v>
      </c>
      <c r="H147" s="171">
        <v>65000</v>
      </c>
      <c r="I147" s="171">
        <f t="shared" si="15"/>
        <v>65000</v>
      </c>
      <c r="J147" s="119"/>
      <c r="K147" s="320">
        <f t="shared" si="16"/>
        <v>65000</v>
      </c>
      <c r="L147" s="171">
        <v>70003</v>
      </c>
      <c r="N147" s="171">
        <f t="shared" si="17"/>
        <v>135003</v>
      </c>
      <c r="O147" s="91" t="s">
        <v>313</v>
      </c>
      <c r="Q147" s="91" t="s">
        <v>54</v>
      </c>
    </row>
    <row r="148" spans="1:23" s="171" customFormat="1" hidden="1">
      <c r="A148" s="9">
        <v>44358</v>
      </c>
      <c r="B148" s="91" t="s">
        <v>313</v>
      </c>
      <c r="C148" s="123" t="s">
        <v>4450</v>
      </c>
      <c r="D148" s="171" t="s">
        <v>4451</v>
      </c>
      <c r="E148" s="715" t="s">
        <v>4452</v>
      </c>
      <c r="F148" s="715" t="s">
        <v>4453</v>
      </c>
      <c r="G148" s="30">
        <v>1</v>
      </c>
      <c r="H148" s="171">
        <v>150500</v>
      </c>
      <c r="I148" s="171">
        <f t="shared" si="15"/>
        <v>150500</v>
      </c>
      <c r="J148" s="119"/>
      <c r="K148" s="320">
        <f t="shared" si="16"/>
        <v>150500</v>
      </c>
      <c r="N148" s="171">
        <f t="shared" si="17"/>
        <v>150500</v>
      </c>
      <c r="O148" s="91" t="s">
        <v>313</v>
      </c>
      <c r="P148" s="649"/>
      <c r="Q148" s="91" t="s">
        <v>54</v>
      </c>
      <c r="R148" s="642"/>
    </row>
    <row r="149" spans="1:23" s="171" customFormat="1" hidden="1">
      <c r="A149" s="9">
        <v>44358</v>
      </c>
      <c r="B149" s="91" t="s">
        <v>313</v>
      </c>
      <c r="C149" s="123" t="s">
        <v>4450</v>
      </c>
      <c r="D149" s="171" t="s">
        <v>4451</v>
      </c>
      <c r="E149" s="715" t="s">
        <v>4454</v>
      </c>
      <c r="F149" s="715" t="s">
        <v>4455</v>
      </c>
      <c r="G149" s="30">
        <v>1</v>
      </c>
      <c r="H149" s="171">
        <v>65000</v>
      </c>
      <c r="I149" s="171">
        <f t="shared" si="15"/>
        <v>65000</v>
      </c>
      <c r="J149" s="119"/>
      <c r="K149" s="320">
        <f t="shared" si="16"/>
        <v>65000</v>
      </c>
      <c r="N149" s="171">
        <f t="shared" si="17"/>
        <v>65000</v>
      </c>
      <c r="O149" s="91" t="s">
        <v>313</v>
      </c>
      <c r="P149" s="642"/>
      <c r="Q149" s="91" t="s">
        <v>54</v>
      </c>
      <c r="S149" s="642"/>
    </row>
    <row r="150" spans="1:23" s="119" customFormat="1" hidden="1">
      <c r="A150" s="9">
        <v>44358</v>
      </c>
      <c r="B150" s="91" t="s">
        <v>313</v>
      </c>
      <c r="C150" s="123" t="s">
        <v>4450</v>
      </c>
      <c r="D150" s="171" t="s">
        <v>4451</v>
      </c>
      <c r="E150" s="715" t="s">
        <v>4456</v>
      </c>
      <c r="F150" s="715" t="s">
        <v>4457</v>
      </c>
      <c r="G150" s="30">
        <v>1</v>
      </c>
      <c r="H150" s="171">
        <v>63000</v>
      </c>
      <c r="I150" s="171">
        <f t="shared" si="15"/>
        <v>63000</v>
      </c>
      <c r="K150" s="320">
        <f t="shared" si="16"/>
        <v>63000</v>
      </c>
      <c r="L150" s="171"/>
      <c r="M150" s="86"/>
      <c r="N150" s="171">
        <f t="shared" si="17"/>
        <v>63000</v>
      </c>
      <c r="O150" s="91" t="s">
        <v>313</v>
      </c>
      <c r="P150" s="671"/>
      <c r="Q150" s="91" t="s">
        <v>54</v>
      </c>
      <c r="R150" s="86"/>
      <c r="S150" s="642"/>
      <c r="T150" s="86"/>
      <c r="U150" s="86"/>
      <c r="V150" s="86"/>
      <c r="W150" s="86"/>
    </row>
    <row r="151" spans="1:23" s="119" customFormat="1" hidden="1">
      <c r="A151" s="9">
        <v>44358</v>
      </c>
      <c r="B151" s="91" t="s">
        <v>313</v>
      </c>
      <c r="C151" s="123" t="s">
        <v>4450</v>
      </c>
      <c r="D151" s="171" t="s">
        <v>4451</v>
      </c>
      <c r="E151" s="715" t="s">
        <v>4458</v>
      </c>
      <c r="F151" s="715" t="s">
        <v>499</v>
      </c>
      <c r="G151" s="30">
        <v>1</v>
      </c>
      <c r="H151" s="171">
        <v>93000</v>
      </c>
      <c r="I151" s="171">
        <f t="shared" si="15"/>
        <v>93000</v>
      </c>
      <c r="K151" s="320">
        <f t="shared" si="16"/>
        <v>93000</v>
      </c>
      <c r="L151" s="171"/>
      <c r="M151" s="86"/>
      <c r="N151" s="171">
        <f t="shared" si="17"/>
        <v>93000</v>
      </c>
      <c r="O151" s="91" t="s">
        <v>313</v>
      </c>
      <c r="P151" s="649"/>
      <c r="Q151" s="91" t="s">
        <v>54</v>
      </c>
      <c r="R151" s="86"/>
      <c r="S151" s="642"/>
      <c r="T151" s="86"/>
      <c r="U151" s="86"/>
      <c r="V151" s="86"/>
      <c r="W151" s="86"/>
    </row>
    <row r="152" spans="1:23" s="119" customFormat="1" hidden="1">
      <c r="A152" s="9">
        <v>44358</v>
      </c>
      <c r="B152" s="91" t="s">
        <v>313</v>
      </c>
      <c r="C152" s="123" t="s">
        <v>4450</v>
      </c>
      <c r="D152" s="171" t="s">
        <v>4451</v>
      </c>
      <c r="E152" s="715" t="s">
        <v>4459</v>
      </c>
      <c r="F152" s="715" t="s">
        <v>4460</v>
      </c>
      <c r="G152" s="30">
        <v>1</v>
      </c>
      <c r="H152" s="171">
        <v>169000</v>
      </c>
      <c r="I152" s="171">
        <f t="shared" si="15"/>
        <v>169000</v>
      </c>
      <c r="K152" s="320">
        <f t="shared" si="16"/>
        <v>169000</v>
      </c>
      <c r="L152" s="171"/>
      <c r="M152" s="86"/>
      <c r="N152" s="171">
        <f t="shared" si="17"/>
        <v>169000</v>
      </c>
      <c r="O152" s="91" t="s">
        <v>313</v>
      </c>
      <c r="P152" s="649"/>
      <c r="Q152" s="91" t="s">
        <v>54</v>
      </c>
      <c r="R152" s="86"/>
      <c r="S152" s="642"/>
      <c r="T152" s="86"/>
      <c r="U152" s="86"/>
      <c r="V152" s="86"/>
      <c r="W152" s="86"/>
    </row>
    <row r="153" spans="1:23" s="119" customFormat="1" hidden="1">
      <c r="A153" s="9">
        <v>44358</v>
      </c>
      <c r="B153" s="91" t="s">
        <v>313</v>
      </c>
      <c r="C153" s="91" t="s">
        <v>4461</v>
      </c>
      <c r="D153" s="713" t="s">
        <v>4462</v>
      </c>
      <c r="E153" s="726" t="s">
        <v>1699</v>
      </c>
      <c r="F153" s="726" t="s">
        <v>1219</v>
      </c>
      <c r="G153" s="30">
        <v>1</v>
      </c>
      <c r="H153" s="171">
        <v>94500</v>
      </c>
      <c r="I153" s="171">
        <f t="shared" si="15"/>
        <v>94500</v>
      </c>
      <c r="K153" s="320">
        <f t="shared" si="16"/>
        <v>94500</v>
      </c>
      <c r="L153" s="171">
        <v>30050</v>
      </c>
      <c r="M153" s="86"/>
      <c r="N153" s="171">
        <f t="shared" si="17"/>
        <v>124550</v>
      </c>
      <c r="O153" s="91" t="s">
        <v>313</v>
      </c>
      <c r="P153" s="649"/>
      <c r="Q153" s="91" t="s">
        <v>40</v>
      </c>
      <c r="R153" s="86"/>
      <c r="S153" s="642"/>
      <c r="T153" s="86"/>
      <c r="U153" s="86"/>
      <c r="V153" s="86"/>
      <c r="W153" s="86"/>
    </row>
    <row r="154" spans="1:23" s="119" customFormat="1" hidden="1">
      <c r="A154" s="9">
        <v>44358</v>
      </c>
      <c r="B154" s="91" t="s">
        <v>313</v>
      </c>
      <c r="C154" s="91" t="s">
        <v>4461</v>
      </c>
      <c r="D154" s="713" t="s">
        <v>4462</v>
      </c>
      <c r="E154" s="726" t="s">
        <v>4463</v>
      </c>
      <c r="F154" s="726" t="s">
        <v>4464</v>
      </c>
      <c r="G154" s="30">
        <v>1</v>
      </c>
      <c r="H154" s="171">
        <v>161000</v>
      </c>
      <c r="I154" s="171">
        <f t="shared" si="15"/>
        <v>161000</v>
      </c>
      <c r="K154" s="320">
        <f t="shared" si="16"/>
        <v>161000</v>
      </c>
      <c r="L154" s="171"/>
      <c r="M154" s="86"/>
      <c r="N154" s="171">
        <f t="shared" si="17"/>
        <v>161000</v>
      </c>
      <c r="O154" s="91" t="s">
        <v>313</v>
      </c>
      <c r="P154" s="649"/>
      <c r="Q154" s="91" t="s">
        <v>40</v>
      </c>
      <c r="R154" s="86"/>
      <c r="S154" s="642"/>
      <c r="T154" s="86"/>
      <c r="U154" s="86"/>
      <c r="V154" s="86"/>
      <c r="W154" s="86"/>
    </row>
    <row r="155" spans="1:23" s="119" customFormat="1" hidden="1">
      <c r="A155" s="9">
        <v>44358</v>
      </c>
      <c r="B155" s="91" t="s">
        <v>313</v>
      </c>
      <c r="C155" s="91" t="s">
        <v>4461</v>
      </c>
      <c r="D155" s="713" t="s">
        <v>4462</v>
      </c>
      <c r="E155" s="726" t="s">
        <v>4465</v>
      </c>
      <c r="F155" s="726" t="s">
        <v>4466</v>
      </c>
      <c r="G155" s="30">
        <v>1</v>
      </c>
      <c r="H155" s="171">
        <v>129000</v>
      </c>
      <c r="I155" s="171">
        <f t="shared" si="15"/>
        <v>129000</v>
      </c>
      <c r="K155" s="320">
        <f t="shared" si="16"/>
        <v>129000</v>
      </c>
      <c r="L155" s="171"/>
      <c r="M155" s="86"/>
      <c r="N155" s="171">
        <f t="shared" si="17"/>
        <v>129000</v>
      </c>
      <c r="O155" s="91" t="s">
        <v>313</v>
      </c>
      <c r="P155" s="649"/>
      <c r="Q155" s="91" t="s">
        <v>40</v>
      </c>
      <c r="R155" s="86"/>
      <c r="S155" s="642"/>
      <c r="T155" s="86"/>
      <c r="U155" s="86"/>
      <c r="V155" s="86"/>
      <c r="W155" s="86"/>
    </row>
    <row r="156" spans="1:23" s="119" customFormat="1" hidden="1">
      <c r="A156" s="9">
        <v>44358</v>
      </c>
      <c r="B156" s="91" t="s">
        <v>313</v>
      </c>
      <c r="C156" s="91" t="s">
        <v>4461</v>
      </c>
      <c r="D156" s="713" t="s">
        <v>4462</v>
      </c>
      <c r="E156" s="726" t="s">
        <v>4467</v>
      </c>
      <c r="F156" s="726" t="s">
        <v>4468</v>
      </c>
      <c r="G156" s="30">
        <v>1</v>
      </c>
      <c r="H156" s="171">
        <v>127000</v>
      </c>
      <c r="I156" s="171">
        <f t="shared" si="15"/>
        <v>127000</v>
      </c>
      <c r="K156" s="320">
        <f t="shared" si="16"/>
        <v>127000</v>
      </c>
      <c r="L156" s="171"/>
      <c r="N156" s="171">
        <f t="shared" si="17"/>
        <v>127000</v>
      </c>
      <c r="O156" s="91" t="s">
        <v>313</v>
      </c>
      <c r="P156" s="649"/>
      <c r="Q156" s="91" t="s">
        <v>40</v>
      </c>
      <c r="R156" s="713"/>
      <c r="S156" s="642"/>
      <c r="T156" s="86"/>
      <c r="U156" s="86"/>
      <c r="V156" s="86"/>
      <c r="W156" s="86"/>
    </row>
    <row r="157" spans="1:23" s="119" customFormat="1" hidden="1">
      <c r="A157" s="9">
        <v>44358</v>
      </c>
      <c r="B157" s="91" t="s">
        <v>313</v>
      </c>
      <c r="C157" s="91" t="s">
        <v>4461</v>
      </c>
      <c r="D157" s="713" t="s">
        <v>4462</v>
      </c>
      <c r="E157" s="726" t="s">
        <v>4469</v>
      </c>
      <c r="F157" s="726" t="s">
        <v>4470</v>
      </c>
      <c r="G157" s="30">
        <v>1</v>
      </c>
      <c r="H157" s="171">
        <v>93000</v>
      </c>
      <c r="I157" s="171">
        <f t="shared" si="15"/>
        <v>93000</v>
      </c>
      <c r="K157" s="320">
        <f t="shared" si="16"/>
        <v>93000</v>
      </c>
      <c r="L157" s="171"/>
      <c r="M157" s="86"/>
      <c r="N157" s="171">
        <f t="shared" si="17"/>
        <v>93000</v>
      </c>
      <c r="O157" s="91" t="s">
        <v>313</v>
      </c>
      <c r="P157" s="649"/>
      <c r="Q157" s="91" t="s">
        <v>40</v>
      </c>
      <c r="R157" s="713"/>
      <c r="S157" s="642"/>
      <c r="T157" s="86"/>
      <c r="U157" s="86"/>
      <c r="V157" s="86"/>
      <c r="W157" s="86"/>
    </row>
    <row r="158" spans="1:23" s="119" customFormat="1" hidden="1">
      <c r="A158" s="9">
        <v>44358</v>
      </c>
      <c r="B158" s="91" t="s">
        <v>313</v>
      </c>
      <c r="C158" s="91" t="s">
        <v>4461</v>
      </c>
      <c r="D158" s="713" t="s">
        <v>4462</v>
      </c>
      <c r="E158" s="726" t="s">
        <v>4471</v>
      </c>
      <c r="F158" s="726" t="s">
        <v>4472</v>
      </c>
      <c r="G158" s="30">
        <v>2</v>
      </c>
      <c r="H158" s="171">
        <v>38000</v>
      </c>
      <c r="I158" s="171">
        <f t="shared" si="15"/>
        <v>76000</v>
      </c>
      <c r="K158" s="320">
        <f t="shared" si="16"/>
        <v>76000</v>
      </c>
      <c r="L158" s="86"/>
      <c r="N158" s="171">
        <f t="shared" si="17"/>
        <v>76000</v>
      </c>
      <c r="O158" s="91" t="s">
        <v>313</v>
      </c>
      <c r="P158" s="667"/>
      <c r="Q158" s="91" t="s">
        <v>40</v>
      </c>
      <c r="R158" s="713"/>
      <c r="S158" s="171"/>
      <c r="T158" s="86"/>
      <c r="U158" s="86"/>
      <c r="V158" s="86"/>
      <c r="W158" s="86"/>
    </row>
    <row r="159" spans="1:23" s="119" customFormat="1">
      <c r="A159" s="9">
        <v>44358</v>
      </c>
      <c r="B159" s="91" t="s">
        <v>23</v>
      </c>
      <c r="C159" s="91" t="s">
        <v>4473</v>
      </c>
      <c r="D159" s="713" t="s">
        <v>4474</v>
      </c>
      <c r="E159" s="712" t="s">
        <v>2731</v>
      </c>
      <c r="F159" s="712" t="s">
        <v>2732</v>
      </c>
      <c r="G159" s="30">
        <v>1</v>
      </c>
      <c r="H159" s="171">
        <v>90000</v>
      </c>
      <c r="I159" s="171">
        <f t="shared" si="15"/>
        <v>90000</v>
      </c>
      <c r="K159" s="320">
        <f t="shared" si="16"/>
        <v>90000</v>
      </c>
      <c r="L159" s="171">
        <v>26000</v>
      </c>
      <c r="M159" s="86"/>
      <c r="N159" s="171">
        <f t="shared" si="17"/>
        <v>116000</v>
      </c>
      <c r="O159" s="91" t="s">
        <v>23</v>
      </c>
      <c r="P159" s="704"/>
      <c r="Q159" s="91" t="s">
        <v>40</v>
      </c>
      <c r="R159" s="711"/>
      <c r="S159" s="171"/>
      <c r="T159" s="86"/>
      <c r="U159" s="86"/>
      <c r="V159" s="86"/>
      <c r="W159" s="86"/>
    </row>
    <row r="160" spans="1:23" s="119" customFormat="1">
      <c r="A160" s="9">
        <v>44358</v>
      </c>
      <c r="B160" s="91" t="s">
        <v>23</v>
      </c>
      <c r="C160" s="123" t="s">
        <v>4475</v>
      </c>
      <c r="D160" s="713" t="s">
        <v>4476</v>
      </c>
      <c r="E160" s="712" t="s">
        <v>4477</v>
      </c>
      <c r="F160" s="712" t="s">
        <v>4478</v>
      </c>
      <c r="G160" s="30">
        <v>1</v>
      </c>
      <c r="H160" s="171">
        <v>226000</v>
      </c>
      <c r="I160" s="171">
        <f t="shared" si="15"/>
        <v>226000</v>
      </c>
      <c r="K160" s="320">
        <f t="shared" si="16"/>
        <v>226000</v>
      </c>
      <c r="L160" s="86">
        <v>19000</v>
      </c>
      <c r="N160" s="171">
        <f t="shared" si="17"/>
        <v>245000</v>
      </c>
      <c r="O160" s="91" t="s">
        <v>23</v>
      </c>
      <c r="P160" s="713"/>
      <c r="Q160" s="91" t="s">
        <v>40</v>
      </c>
      <c r="S160" s="12"/>
    </row>
    <row r="161" spans="1:17" s="119" customFormat="1" hidden="1">
      <c r="A161" s="9">
        <v>44358</v>
      </c>
      <c r="B161" s="78" t="s">
        <v>43</v>
      </c>
      <c r="C161" s="78" t="s">
        <v>4479</v>
      </c>
      <c r="D161" s="713" t="s">
        <v>4480</v>
      </c>
      <c r="E161" s="712" t="s">
        <v>233</v>
      </c>
      <c r="F161" s="712" t="s">
        <v>234</v>
      </c>
      <c r="G161" s="35">
        <v>1</v>
      </c>
      <c r="H161" s="171">
        <v>83500</v>
      </c>
      <c r="I161" s="171">
        <f t="shared" si="15"/>
        <v>83500</v>
      </c>
      <c r="K161" s="320">
        <f t="shared" si="16"/>
        <v>83500</v>
      </c>
      <c r="M161" s="86">
        <v>-8484</v>
      </c>
      <c r="N161" s="171">
        <f>K161+M161+L161</f>
        <v>75016</v>
      </c>
      <c r="O161" s="78" t="s">
        <v>43</v>
      </c>
      <c r="Q161" s="78" t="s">
        <v>54</v>
      </c>
    </row>
    <row r="162" spans="1:17" s="119" customFormat="1" hidden="1">
      <c r="A162" s="9">
        <v>44358</v>
      </c>
      <c r="B162" s="78" t="s">
        <v>43</v>
      </c>
      <c r="C162" s="78" t="s">
        <v>4479</v>
      </c>
      <c r="D162" s="713" t="s">
        <v>4480</v>
      </c>
      <c r="E162" s="712" t="s">
        <v>1802</v>
      </c>
      <c r="F162" s="712" t="s">
        <v>1803</v>
      </c>
      <c r="G162" s="35">
        <v>1</v>
      </c>
      <c r="H162" s="171">
        <v>68000</v>
      </c>
      <c r="I162" s="171">
        <f t="shared" ref="I162:I236" si="19">G162*H162</f>
        <v>68000</v>
      </c>
      <c r="K162" s="320">
        <f t="shared" ref="K162:K193" si="20">I162-J162</f>
        <v>68000</v>
      </c>
      <c r="L162" s="86"/>
      <c r="N162" s="171">
        <f t="shared" ref="N162:N193" si="21">K162+L162+M162</f>
        <v>68000</v>
      </c>
      <c r="O162" s="78" t="s">
        <v>43</v>
      </c>
      <c r="Q162" s="78" t="s">
        <v>54</v>
      </c>
    </row>
    <row r="163" spans="1:17" s="119" customFormat="1" hidden="1">
      <c r="A163" s="9">
        <v>44361</v>
      </c>
      <c r="B163" s="91" t="s">
        <v>43</v>
      </c>
      <c r="C163" s="123" t="s">
        <v>4481</v>
      </c>
      <c r="D163" s="713" t="s">
        <v>4482</v>
      </c>
      <c r="E163" s="712" t="s">
        <v>4284</v>
      </c>
      <c r="F163" s="712" t="s">
        <v>1299</v>
      </c>
      <c r="G163" s="30">
        <v>1</v>
      </c>
      <c r="H163" s="171">
        <v>59500</v>
      </c>
      <c r="I163" s="171">
        <f t="shared" si="19"/>
        <v>59500</v>
      </c>
      <c r="K163" s="320">
        <f t="shared" si="20"/>
        <v>59500</v>
      </c>
      <c r="L163" s="86">
        <v>1000</v>
      </c>
      <c r="M163" s="119">
        <v>-3332</v>
      </c>
      <c r="N163" s="171">
        <f t="shared" si="21"/>
        <v>57168</v>
      </c>
      <c r="O163" s="91" t="s">
        <v>43</v>
      </c>
      <c r="Q163" s="91" t="s">
        <v>54</v>
      </c>
    </row>
    <row r="164" spans="1:17" s="119" customFormat="1" hidden="1">
      <c r="A164" s="9">
        <v>44361</v>
      </c>
      <c r="B164" s="91" t="s">
        <v>43</v>
      </c>
      <c r="C164" s="123" t="s">
        <v>4483</v>
      </c>
      <c r="D164" s="713" t="s">
        <v>4484</v>
      </c>
      <c r="E164" s="712" t="s">
        <v>4485</v>
      </c>
      <c r="F164" s="712" t="s">
        <v>4486</v>
      </c>
      <c r="G164" s="30">
        <v>1</v>
      </c>
      <c r="H164" s="171">
        <v>56000</v>
      </c>
      <c r="I164" s="171">
        <f t="shared" si="19"/>
        <v>56000</v>
      </c>
      <c r="K164" s="320">
        <f t="shared" si="20"/>
        <v>56000</v>
      </c>
      <c r="L164" s="86"/>
      <c r="M164" s="119">
        <v>-3136</v>
      </c>
      <c r="N164" s="171">
        <f t="shared" si="21"/>
        <v>52864</v>
      </c>
      <c r="O164" s="91" t="s">
        <v>43</v>
      </c>
      <c r="Q164" s="91" t="s">
        <v>54</v>
      </c>
    </row>
    <row r="165" spans="1:17" s="119" customFormat="1">
      <c r="A165" s="9">
        <v>44361</v>
      </c>
      <c r="B165" s="91" t="s">
        <v>23</v>
      </c>
      <c r="C165" s="123" t="s">
        <v>4057</v>
      </c>
      <c r="D165" s="713" t="s">
        <v>4487</v>
      </c>
      <c r="E165" s="712" t="s">
        <v>3725</v>
      </c>
      <c r="F165" s="712" t="s">
        <v>3726</v>
      </c>
      <c r="G165" s="30">
        <v>2</v>
      </c>
      <c r="H165" s="171">
        <v>180000</v>
      </c>
      <c r="I165" s="171">
        <f t="shared" si="19"/>
        <v>360000</v>
      </c>
      <c r="K165" s="320">
        <f t="shared" si="20"/>
        <v>360000</v>
      </c>
      <c r="L165" s="86">
        <v>49000</v>
      </c>
      <c r="N165" s="171">
        <f t="shared" si="21"/>
        <v>409000</v>
      </c>
      <c r="O165" s="91" t="s">
        <v>23</v>
      </c>
      <c r="Q165" s="91" t="s">
        <v>40</v>
      </c>
    </row>
    <row r="166" spans="1:17" s="119" customFormat="1">
      <c r="A166" s="9">
        <v>44361</v>
      </c>
      <c r="B166" s="91" t="s">
        <v>23</v>
      </c>
      <c r="C166" s="91" t="s">
        <v>1271</v>
      </c>
      <c r="D166" s="713" t="s">
        <v>31</v>
      </c>
      <c r="E166" s="712" t="s">
        <v>2873</v>
      </c>
      <c r="F166" s="712" t="s">
        <v>2874</v>
      </c>
      <c r="G166" s="706">
        <v>1</v>
      </c>
      <c r="H166" s="171">
        <v>125000</v>
      </c>
      <c r="I166" s="171">
        <f t="shared" si="19"/>
        <v>125000</v>
      </c>
      <c r="K166" s="320">
        <f t="shared" si="20"/>
        <v>125000</v>
      </c>
      <c r="L166" s="86"/>
      <c r="N166" s="171">
        <f t="shared" si="21"/>
        <v>125000</v>
      </c>
      <c r="O166" s="91" t="s">
        <v>23</v>
      </c>
      <c r="Q166" s="91" t="s">
        <v>35</v>
      </c>
    </row>
    <row r="167" spans="1:17" s="119" customFormat="1" hidden="1">
      <c r="A167" s="9">
        <v>44361</v>
      </c>
      <c r="B167" s="91" t="s">
        <v>313</v>
      </c>
      <c r="C167" s="123" t="s">
        <v>4488</v>
      </c>
      <c r="D167" s="713" t="s">
        <v>4489</v>
      </c>
      <c r="E167" s="714" t="s">
        <v>1042</v>
      </c>
      <c r="F167" s="714" t="s">
        <v>1043</v>
      </c>
      <c r="G167" s="174">
        <v>3</v>
      </c>
      <c r="H167" s="171">
        <v>115500</v>
      </c>
      <c r="I167" s="171">
        <f t="shared" si="19"/>
        <v>346500</v>
      </c>
      <c r="K167" s="320">
        <f t="shared" si="20"/>
        <v>346500</v>
      </c>
      <c r="L167" s="86">
        <v>187058</v>
      </c>
      <c r="N167" s="171">
        <f t="shared" si="21"/>
        <v>533558</v>
      </c>
      <c r="O167" s="91" t="s">
        <v>313</v>
      </c>
      <c r="Q167" s="91" t="s">
        <v>40</v>
      </c>
    </row>
    <row r="168" spans="1:17" s="119" customFormat="1" hidden="1">
      <c r="A168" s="9">
        <v>44361</v>
      </c>
      <c r="B168" s="91" t="s">
        <v>313</v>
      </c>
      <c r="C168" s="123" t="s">
        <v>4488</v>
      </c>
      <c r="D168" s="713" t="s">
        <v>4489</v>
      </c>
      <c r="E168" s="714" t="s">
        <v>4490</v>
      </c>
      <c r="F168" s="714" t="s">
        <v>4491</v>
      </c>
      <c r="G168" s="174">
        <v>3</v>
      </c>
      <c r="H168" s="171">
        <v>164000</v>
      </c>
      <c r="I168" s="171">
        <f t="shared" si="19"/>
        <v>492000</v>
      </c>
      <c r="K168" s="320">
        <f t="shared" si="20"/>
        <v>492000</v>
      </c>
      <c r="L168" s="86"/>
      <c r="N168" s="171">
        <f t="shared" si="21"/>
        <v>492000</v>
      </c>
      <c r="O168" s="91" t="s">
        <v>313</v>
      </c>
      <c r="Q168" s="91" t="s">
        <v>40</v>
      </c>
    </row>
    <row r="169" spans="1:17" s="119" customFormat="1" hidden="1">
      <c r="A169" s="9">
        <v>44361</v>
      </c>
      <c r="B169" s="91" t="s">
        <v>313</v>
      </c>
      <c r="C169" s="123" t="s">
        <v>4488</v>
      </c>
      <c r="D169" s="713" t="s">
        <v>4489</v>
      </c>
      <c r="E169" s="714" t="s">
        <v>4492</v>
      </c>
      <c r="F169" s="714" t="s">
        <v>4493</v>
      </c>
      <c r="G169" s="174">
        <v>2</v>
      </c>
      <c r="H169" s="171">
        <v>337000</v>
      </c>
      <c r="I169" s="171">
        <f t="shared" si="19"/>
        <v>674000</v>
      </c>
      <c r="K169" s="320">
        <f t="shared" si="20"/>
        <v>674000</v>
      </c>
      <c r="L169" s="86"/>
      <c r="N169" s="171">
        <f t="shared" si="21"/>
        <v>674000</v>
      </c>
      <c r="O169" s="91" t="s">
        <v>313</v>
      </c>
      <c r="Q169" s="91" t="s">
        <v>40</v>
      </c>
    </row>
    <row r="170" spans="1:17" s="119" customFormat="1" hidden="1">
      <c r="A170" s="9">
        <v>44361</v>
      </c>
      <c r="B170" s="91" t="s">
        <v>313</v>
      </c>
      <c r="C170" s="123" t="s">
        <v>4488</v>
      </c>
      <c r="D170" s="713" t="s">
        <v>4489</v>
      </c>
      <c r="E170" s="714" t="s">
        <v>2402</v>
      </c>
      <c r="F170" s="714" t="s">
        <v>2403</v>
      </c>
      <c r="G170" s="174">
        <v>3</v>
      </c>
      <c r="H170" s="171">
        <v>55000</v>
      </c>
      <c r="I170" s="171">
        <f t="shared" si="19"/>
        <v>165000</v>
      </c>
      <c r="K170" s="320">
        <f t="shared" si="20"/>
        <v>165000</v>
      </c>
      <c r="L170" s="86"/>
      <c r="N170" s="171">
        <f t="shared" si="21"/>
        <v>165000</v>
      </c>
      <c r="O170" s="91" t="s">
        <v>313</v>
      </c>
      <c r="Q170" s="91" t="s">
        <v>40</v>
      </c>
    </row>
    <row r="171" spans="1:17" s="119" customFormat="1" hidden="1">
      <c r="A171" s="9">
        <v>44361</v>
      </c>
      <c r="B171" s="91" t="s">
        <v>313</v>
      </c>
      <c r="C171" s="123" t="s">
        <v>4488</v>
      </c>
      <c r="D171" s="713" t="s">
        <v>4489</v>
      </c>
      <c r="E171" s="714" t="s">
        <v>4494</v>
      </c>
      <c r="F171" s="714" t="s">
        <v>4495</v>
      </c>
      <c r="G171" s="174">
        <v>3</v>
      </c>
      <c r="H171" s="171">
        <v>59500</v>
      </c>
      <c r="I171" s="171">
        <f t="shared" si="19"/>
        <v>178500</v>
      </c>
      <c r="K171" s="320">
        <f t="shared" si="20"/>
        <v>178500</v>
      </c>
      <c r="L171" s="86"/>
      <c r="N171" s="171">
        <f t="shared" si="21"/>
        <v>178500</v>
      </c>
      <c r="O171" s="91" t="s">
        <v>313</v>
      </c>
      <c r="Q171" s="91" t="s">
        <v>40</v>
      </c>
    </row>
    <row r="172" spans="1:17" s="119" customFormat="1" hidden="1">
      <c r="A172" s="9">
        <v>44361</v>
      </c>
      <c r="B172" s="91" t="s">
        <v>313</v>
      </c>
      <c r="C172" s="123" t="s">
        <v>4488</v>
      </c>
      <c r="D172" s="713" t="s">
        <v>4489</v>
      </c>
      <c r="E172" s="714" t="s">
        <v>4496</v>
      </c>
      <c r="F172" s="714" t="s">
        <v>4497</v>
      </c>
      <c r="G172" s="174">
        <v>2</v>
      </c>
      <c r="H172" s="171">
        <v>352000</v>
      </c>
      <c r="I172" s="171">
        <f t="shared" si="19"/>
        <v>704000</v>
      </c>
      <c r="K172" s="320">
        <f t="shared" si="20"/>
        <v>704000</v>
      </c>
      <c r="L172" s="86"/>
      <c r="N172" s="171">
        <f t="shared" si="21"/>
        <v>704000</v>
      </c>
      <c r="O172" s="91" t="s">
        <v>313</v>
      </c>
      <c r="Q172" s="91" t="s">
        <v>40</v>
      </c>
    </row>
    <row r="173" spans="1:17" s="119" customFormat="1" hidden="1">
      <c r="A173" s="9">
        <v>44361</v>
      </c>
      <c r="B173" s="91" t="s">
        <v>313</v>
      </c>
      <c r="C173" s="123" t="s">
        <v>4488</v>
      </c>
      <c r="D173" s="713" t="s">
        <v>4489</v>
      </c>
      <c r="E173" s="714" t="s">
        <v>4498</v>
      </c>
      <c r="F173" s="714" t="s">
        <v>4499</v>
      </c>
      <c r="G173" s="174">
        <v>2</v>
      </c>
      <c r="H173" s="171">
        <v>124000</v>
      </c>
      <c r="I173" s="171">
        <f t="shared" si="19"/>
        <v>248000</v>
      </c>
      <c r="K173" s="320">
        <f t="shared" si="20"/>
        <v>248000</v>
      </c>
      <c r="L173" s="86"/>
      <c r="N173" s="171">
        <f t="shared" si="21"/>
        <v>248000</v>
      </c>
      <c r="O173" s="91" t="s">
        <v>313</v>
      </c>
      <c r="Q173" s="91" t="s">
        <v>40</v>
      </c>
    </row>
    <row r="174" spans="1:17" s="119" customFormat="1" hidden="1">
      <c r="A174" s="9">
        <v>44361</v>
      </c>
      <c r="B174" s="91" t="s">
        <v>313</v>
      </c>
      <c r="C174" s="123" t="s">
        <v>4488</v>
      </c>
      <c r="D174" s="713" t="s">
        <v>4489</v>
      </c>
      <c r="E174" s="714" t="s">
        <v>4500</v>
      </c>
      <c r="F174" s="714" t="s">
        <v>4501</v>
      </c>
      <c r="G174" s="174">
        <v>4</v>
      </c>
      <c r="H174" s="171">
        <v>42000</v>
      </c>
      <c r="I174" s="171">
        <f t="shared" si="19"/>
        <v>168000</v>
      </c>
      <c r="K174" s="320">
        <f t="shared" si="20"/>
        <v>168000</v>
      </c>
      <c r="L174" s="86"/>
      <c r="N174" s="171">
        <f t="shared" si="21"/>
        <v>168000</v>
      </c>
      <c r="O174" s="91" t="s">
        <v>313</v>
      </c>
      <c r="Q174" s="91" t="s">
        <v>40</v>
      </c>
    </row>
    <row r="175" spans="1:17" s="119" customFormat="1" hidden="1">
      <c r="A175" s="9">
        <v>44361</v>
      </c>
      <c r="B175" s="91" t="s">
        <v>313</v>
      </c>
      <c r="C175" s="123" t="s">
        <v>4488</v>
      </c>
      <c r="D175" s="713" t="s">
        <v>4489</v>
      </c>
      <c r="E175" s="714" t="s">
        <v>4502</v>
      </c>
      <c r="F175" s="714" t="s">
        <v>4503</v>
      </c>
      <c r="G175" s="174">
        <v>4</v>
      </c>
      <c r="H175" s="171">
        <v>136000</v>
      </c>
      <c r="I175" s="171">
        <f t="shared" si="19"/>
        <v>544000</v>
      </c>
      <c r="K175" s="320">
        <f t="shared" si="20"/>
        <v>544000</v>
      </c>
      <c r="L175" s="86"/>
      <c r="N175" s="171">
        <f t="shared" si="21"/>
        <v>544000</v>
      </c>
      <c r="O175" s="91" t="s">
        <v>313</v>
      </c>
      <c r="Q175" s="91" t="s">
        <v>40</v>
      </c>
    </row>
    <row r="176" spans="1:17" s="119" customFormat="1" hidden="1">
      <c r="A176" s="9">
        <v>44361</v>
      </c>
      <c r="B176" s="91" t="s">
        <v>313</v>
      </c>
      <c r="C176" s="123" t="s">
        <v>4488</v>
      </c>
      <c r="D176" s="713" t="s">
        <v>4489</v>
      </c>
      <c r="E176" s="714" t="s">
        <v>4504</v>
      </c>
      <c r="F176" s="714" t="s">
        <v>3508</v>
      </c>
      <c r="G176" s="174">
        <v>3</v>
      </c>
      <c r="H176" s="171">
        <v>75000</v>
      </c>
      <c r="I176" s="171">
        <f t="shared" si="19"/>
        <v>225000</v>
      </c>
      <c r="K176" s="320">
        <f t="shared" si="20"/>
        <v>225000</v>
      </c>
      <c r="L176" s="86"/>
      <c r="N176" s="171">
        <f t="shared" si="21"/>
        <v>225000</v>
      </c>
      <c r="O176" s="91" t="s">
        <v>313</v>
      </c>
      <c r="Q176" s="91" t="s">
        <v>40</v>
      </c>
    </row>
    <row r="177" spans="1:23" s="119" customFormat="1">
      <c r="A177" s="9">
        <v>44361</v>
      </c>
      <c r="B177" s="713" t="s">
        <v>23</v>
      </c>
      <c r="C177" s="10" t="s">
        <v>4505</v>
      </c>
      <c r="D177" s="713" t="s">
        <v>4506</v>
      </c>
      <c r="E177" s="712" t="s">
        <v>4507</v>
      </c>
      <c r="F177" s="712" t="s">
        <v>4508</v>
      </c>
      <c r="G177" s="30">
        <v>1</v>
      </c>
      <c r="H177" s="171">
        <v>77000</v>
      </c>
      <c r="I177" s="171">
        <f t="shared" si="19"/>
        <v>77000</v>
      </c>
      <c r="K177" s="320">
        <f t="shared" si="20"/>
        <v>77000</v>
      </c>
      <c r="L177" s="86">
        <v>17000</v>
      </c>
      <c r="N177" s="171">
        <f t="shared" si="21"/>
        <v>94000</v>
      </c>
      <c r="O177" s="713" t="s">
        <v>23</v>
      </c>
      <c r="Q177" s="10" t="s">
        <v>40</v>
      </c>
    </row>
    <row r="178" spans="1:23" s="119" customFormat="1" hidden="1">
      <c r="A178" s="9">
        <v>44362</v>
      </c>
      <c r="B178" s="91" t="s">
        <v>43</v>
      </c>
      <c r="C178" s="123" t="s">
        <v>4509</v>
      </c>
      <c r="D178" s="713" t="s">
        <v>4510</v>
      </c>
      <c r="E178" s="712" t="s">
        <v>812</v>
      </c>
      <c r="F178" s="712" t="s">
        <v>813</v>
      </c>
      <c r="G178" s="30">
        <v>1</v>
      </c>
      <c r="H178" s="171">
        <v>82000</v>
      </c>
      <c r="I178" s="171">
        <f t="shared" si="19"/>
        <v>82000</v>
      </c>
      <c r="K178" s="320">
        <f t="shared" si="20"/>
        <v>82000</v>
      </c>
      <c r="L178" s="86"/>
      <c r="M178" s="119">
        <v>-4592</v>
      </c>
      <c r="N178" s="171">
        <f t="shared" si="21"/>
        <v>77408</v>
      </c>
      <c r="O178" s="91" t="s">
        <v>43</v>
      </c>
      <c r="Q178" s="91" t="s">
        <v>54</v>
      </c>
    </row>
    <row r="179" spans="1:23" s="119" customFormat="1">
      <c r="A179" s="9">
        <v>44362</v>
      </c>
      <c r="B179" s="91" t="s">
        <v>23</v>
      </c>
      <c r="C179" s="123" t="s">
        <v>4511</v>
      </c>
      <c r="D179" s="713" t="s">
        <v>4512</v>
      </c>
      <c r="E179" s="712" t="s">
        <v>4513</v>
      </c>
      <c r="F179" s="712" t="s">
        <v>4514</v>
      </c>
      <c r="G179" s="30">
        <v>1</v>
      </c>
      <c r="H179" s="171">
        <v>120000</v>
      </c>
      <c r="I179" s="171">
        <f t="shared" si="19"/>
        <v>120000</v>
      </c>
      <c r="K179" s="320">
        <f t="shared" si="20"/>
        <v>120000</v>
      </c>
      <c r="L179" s="86">
        <v>16000</v>
      </c>
      <c r="N179" s="171">
        <f t="shared" si="21"/>
        <v>136000</v>
      </c>
      <c r="O179" s="91" t="s">
        <v>23</v>
      </c>
      <c r="Q179" s="91" t="s">
        <v>40</v>
      </c>
    </row>
    <row r="180" spans="1:23" s="119" customFormat="1">
      <c r="A180" s="9">
        <v>44362</v>
      </c>
      <c r="B180" s="91" t="s">
        <v>23</v>
      </c>
      <c r="C180" s="91" t="s">
        <v>431</v>
      </c>
      <c r="D180" s="713" t="s">
        <v>31</v>
      </c>
      <c r="E180" s="726" t="s">
        <v>975</v>
      </c>
      <c r="F180" s="726" t="s">
        <v>976</v>
      </c>
      <c r="G180" s="30">
        <v>1</v>
      </c>
      <c r="H180" s="84">
        <v>67500</v>
      </c>
      <c r="I180" s="171">
        <f t="shared" si="19"/>
        <v>67500</v>
      </c>
      <c r="J180" s="119">
        <f>I180*25%+40000</f>
        <v>56875</v>
      </c>
      <c r="K180" s="320">
        <f t="shared" si="20"/>
        <v>10625</v>
      </c>
      <c r="L180" s="460"/>
      <c r="M180" s="86"/>
      <c r="N180" s="171">
        <f t="shared" si="21"/>
        <v>10625</v>
      </c>
      <c r="O180" s="91" t="s">
        <v>23</v>
      </c>
      <c r="P180" s="649"/>
      <c r="Q180" s="91" t="s">
        <v>35</v>
      </c>
      <c r="R180" s="86"/>
      <c r="S180" s="713"/>
      <c r="T180" s="86"/>
      <c r="U180" s="86"/>
      <c r="V180" s="86"/>
      <c r="W180" s="86"/>
    </row>
    <row r="181" spans="1:23" s="119" customFormat="1">
      <c r="A181" s="9">
        <v>44362</v>
      </c>
      <c r="B181" s="91" t="s">
        <v>23</v>
      </c>
      <c r="C181" s="91" t="s">
        <v>431</v>
      </c>
      <c r="D181" s="713" t="s">
        <v>31</v>
      </c>
      <c r="E181" s="726" t="s">
        <v>2100</v>
      </c>
      <c r="F181" s="726" t="s">
        <v>2101</v>
      </c>
      <c r="G181" s="30">
        <v>1</v>
      </c>
      <c r="H181" s="84">
        <v>65500</v>
      </c>
      <c r="I181" s="171">
        <f t="shared" si="19"/>
        <v>65500</v>
      </c>
      <c r="J181" s="119">
        <f t="shared" ref="J181:J182" si="22">I181*25%</f>
        <v>16375</v>
      </c>
      <c r="K181" s="320">
        <f t="shared" si="20"/>
        <v>49125</v>
      </c>
      <c r="L181" s="493"/>
      <c r="M181" s="86"/>
      <c r="N181" s="171">
        <f t="shared" si="21"/>
        <v>49125</v>
      </c>
      <c r="O181" s="91" t="s">
        <v>23</v>
      </c>
      <c r="P181" s="713"/>
      <c r="Q181" s="91" t="s">
        <v>35</v>
      </c>
      <c r="R181" s="86"/>
      <c r="S181" s="713"/>
      <c r="T181" s="86"/>
      <c r="U181" s="86"/>
      <c r="V181" s="86"/>
      <c r="W181" s="86"/>
    </row>
    <row r="182" spans="1:23" s="119" customFormat="1">
      <c r="A182" s="9">
        <v>44362</v>
      </c>
      <c r="B182" s="91" t="s">
        <v>23</v>
      </c>
      <c r="C182" s="91" t="s">
        <v>431</v>
      </c>
      <c r="D182" s="713" t="s">
        <v>31</v>
      </c>
      <c r="E182" s="726" t="s">
        <v>3348</v>
      </c>
      <c r="F182" s="726" t="s">
        <v>3349</v>
      </c>
      <c r="G182" s="30">
        <v>1</v>
      </c>
      <c r="H182" s="84">
        <v>78000</v>
      </c>
      <c r="I182" s="171">
        <f t="shared" si="19"/>
        <v>78000</v>
      </c>
      <c r="J182" s="119">
        <f t="shared" si="22"/>
        <v>19500</v>
      </c>
      <c r="K182" s="320">
        <f t="shared" si="20"/>
        <v>58500</v>
      </c>
      <c r="L182" s="460"/>
      <c r="M182" s="86"/>
      <c r="N182" s="171">
        <f t="shared" si="21"/>
        <v>58500</v>
      </c>
      <c r="O182" s="91" t="s">
        <v>23</v>
      </c>
      <c r="P182" s="713"/>
      <c r="Q182" s="91" t="s">
        <v>35</v>
      </c>
      <c r="R182" s="86"/>
      <c r="S182" s="642"/>
      <c r="T182" s="86"/>
      <c r="U182" s="86"/>
      <c r="V182" s="86"/>
      <c r="W182" s="86"/>
    </row>
    <row r="183" spans="1:23" s="119" customFormat="1" hidden="1">
      <c r="A183" s="9">
        <v>44362</v>
      </c>
      <c r="B183" s="91" t="s">
        <v>313</v>
      </c>
      <c r="C183" s="123" t="s">
        <v>4515</v>
      </c>
      <c r="D183" s="713" t="s">
        <v>4516</v>
      </c>
      <c r="E183" s="712" t="s">
        <v>4517</v>
      </c>
      <c r="F183" s="712" t="s">
        <v>4518</v>
      </c>
      <c r="G183" s="30">
        <v>1</v>
      </c>
      <c r="H183" s="119">
        <v>115000</v>
      </c>
      <c r="I183" s="171">
        <f t="shared" si="19"/>
        <v>115000</v>
      </c>
      <c r="K183" s="320">
        <f t="shared" si="20"/>
        <v>115000</v>
      </c>
      <c r="L183" s="119">
        <v>11016</v>
      </c>
      <c r="N183" s="171">
        <f t="shared" si="21"/>
        <v>126016</v>
      </c>
      <c r="O183" s="91" t="s">
        <v>313</v>
      </c>
      <c r="P183" s="685"/>
      <c r="Q183" s="91" t="s">
        <v>40</v>
      </c>
      <c r="R183" s="86"/>
      <c r="S183" s="653"/>
      <c r="T183" s="86"/>
      <c r="U183" s="86"/>
      <c r="V183" s="86"/>
      <c r="W183" s="86"/>
    </row>
    <row r="184" spans="1:23" s="119" customFormat="1">
      <c r="A184" s="9">
        <v>44362</v>
      </c>
      <c r="B184" s="91" t="s">
        <v>23</v>
      </c>
      <c r="C184" s="123" t="s">
        <v>4519</v>
      </c>
      <c r="D184" s="713" t="s">
        <v>4520</v>
      </c>
      <c r="E184" s="712" t="s">
        <v>1351</v>
      </c>
      <c r="F184" s="712" t="s">
        <v>1352</v>
      </c>
      <c r="G184" s="30">
        <v>1</v>
      </c>
      <c r="H184" s="119">
        <v>52000</v>
      </c>
      <c r="I184" s="171">
        <f t="shared" si="19"/>
        <v>52000</v>
      </c>
      <c r="K184" s="320">
        <f t="shared" si="20"/>
        <v>52000</v>
      </c>
      <c r="L184" s="119">
        <v>17000</v>
      </c>
      <c r="N184" s="171">
        <f t="shared" si="21"/>
        <v>69000</v>
      </c>
      <c r="O184" s="91" t="s">
        <v>23</v>
      </c>
      <c r="P184" s="649"/>
      <c r="Q184" s="91" t="s">
        <v>40</v>
      </c>
      <c r="R184" s="86"/>
      <c r="S184" s="642"/>
      <c r="T184" s="86"/>
      <c r="U184" s="86"/>
      <c r="V184" s="86"/>
      <c r="W184" s="86"/>
    </row>
    <row r="185" spans="1:23" s="119" customFormat="1">
      <c r="A185" s="9">
        <v>44362</v>
      </c>
      <c r="B185" s="91" t="s">
        <v>23</v>
      </c>
      <c r="C185" s="91" t="s">
        <v>4521</v>
      </c>
      <c r="D185" s="713" t="s">
        <v>4522</v>
      </c>
      <c r="E185" s="712" t="s">
        <v>2417</v>
      </c>
      <c r="F185" s="712" t="s">
        <v>2418</v>
      </c>
      <c r="G185" s="30">
        <v>1</v>
      </c>
      <c r="H185" s="119">
        <v>117000</v>
      </c>
      <c r="I185" s="171">
        <f t="shared" si="19"/>
        <v>117000</v>
      </c>
      <c r="K185" s="320">
        <f t="shared" si="20"/>
        <v>117000</v>
      </c>
      <c r="L185" s="119">
        <v>23000</v>
      </c>
      <c r="N185" s="171">
        <f t="shared" si="21"/>
        <v>140000</v>
      </c>
      <c r="O185" s="91" t="s">
        <v>23</v>
      </c>
      <c r="P185" s="649"/>
      <c r="Q185" s="10" t="s">
        <v>54</v>
      </c>
      <c r="R185" s="86"/>
      <c r="S185" s="642"/>
      <c r="T185" s="86"/>
      <c r="U185" s="86"/>
      <c r="V185" s="86"/>
      <c r="W185" s="86"/>
    </row>
    <row r="186" spans="1:23" s="119" customFormat="1" hidden="1">
      <c r="A186" s="9">
        <v>44363</v>
      </c>
      <c r="B186" s="91" t="s">
        <v>170</v>
      </c>
      <c r="C186" s="123" t="s">
        <v>4523</v>
      </c>
      <c r="D186" s="713" t="s">
        <v>4524</v>
      </c>
      <c r="E186" s="712" t="s">
        <v>4525</v>
      </c>
      <c r="F186" s="712" t="s">
        <v>4526</v>
      </c>
      <c r="G186" s="30">
        <v>2</v>
      </c>
      <c r="H186" s="119">
        <v>129500</v>
      </c>
      <c r="I186" s="171">
        <f t="shared" si="19"/>
        <v>259000</v>
      </c>
      <c r="K186" s="320">
        <f t="shared" si="20"/>
        <v>259000</v>
      </c>
      <c r="L186" s="119">
        <f>68000-68000</f>
        <v>0</v>
      </c>
      <c r="N186" s="171">
        <f t="shared" si="21"/>
        <v>259000</v>
      </c>
      <c r="O186" s="91" t="s">
        <v>170</v>
      </c>
      <c r="P186" s="649"/>
      <c r="Q186" s="91" t="s">
        <v>54</v>
      </c>
      <c r="R186" s="86"/>
      <c r="S186" s="642"/>
      <c r="T186" s="86"/>
      <c r="U186" s="86"/>
      <c r="V186" s="86"/>
      <c r="W186" s="86"/>
    </row>
    <row r="187" spans="1:23" s="119" customFormat="1" hidden="1">
      <c r="A187" s="9">
        <v>44363</v>
      </c>
      <c r="B187" s="91" t="s">
        <v>313</v>
      </c>
      <c r="C187" s="123" t="s">
        <v>2062</v>
      </c>
      <c r="D187" s="713" t="s">
        <v>4164</v>
      </c>
      <c r="E187" s="715" t="s">
        <v>2556</v>
      </c>
      <c r="F187" s="715" t="s">
        <v>2557</v>
      </c>
      <c r="G187" s="30">
        <v>1</v>
      </c>
      <c r="H187" s="119">
        <v>127000</v>
      </c>
      <c r="I187" s="171">
        <f t="shared" si="19"/>
        <v>127000</v>
      </c>
      <c r="K187" s="159">
        <f t="shared" si="20"/>
        <v>127000</v>
      </c>
      <c r="L187" s="119">
        <v>34067</v>
      </c>
      <c r="N187" s="171">
        <f t="shared" si="21"/>
        <v>161067</v>
      </c>
      <c r="O187" s="91" t="s">
        <v>313</v>
      </c>
      <c r="P187" s="713"/>
      <c r="Q187" s="91" t="s">
        <v>28</v>
      </c>
      <c r="R187" s="86"/>
      <c r="S187" s="668"/>
      <c r="T187" s="86"/>
      <c r="U187" s="86"/>
      <c r="V187" s="86"/>
      <c r="W187" s="86"/>
    </row>
    <row r="188" spans="1:23" s="119" customFormat="1" ht="15.6" hidden="1">
      <c r="A188" s="9">
        <v>44363</v>
      </c>
      <c r="B188" s="91" t="s">
        <v>313</v>
      </c>
      <c r="C188" s="123" t="s">
        <v>2062</v>
      </c>
      <c r="D188" s="713" t="s">
        <v>4167</v>
      </c>
      <c r="E188" s="715" t="s">
        <v>4527</v>
      </c>
      <c r="F188" s="715" t="s">
        <v>927</v>
      </c>
      <c r="G188" s="30">
        <v>1</v>
      </c>
      <c r="H188" s="119">
        <v>121000</v>
      </c>
      <c r="I188" s="171">
        <f t="shared" si="19"/>
        <v>121000</v>
      </c>
      <c r="K188" s="159">
        <f t="shared" si="20"/>
        <v>121000</v>
      </c>
      <c r="N188" s="171">
        <f t="shared" si="21"/>
        <v>121000</v>
      </c>
      <c r="O188" s="91" t="s">
        <v>313</v>
      </c>
      <c r="Q188" s="91" t="s">
        <v>28</v>
      </c>
      <c r="R188" s="86"/>
      <c r="S188" s="679"/>
      <c r="T188" s="86"/>
      <c r="U188" s="86"/>
      <c r="V188" s="86"/>
      <c r="W188" s="86"/>
    </row>
    <row r="189" spans="1:23" s="119" customFormat="1" hidden="1">
      <c r="A189" s="9">
        <v>44363</v>
      </c>
      <c r="B189" s="91" t="s">
        <v>206</v>
      </c>
      <c r="C189" s="123" t="s">
        <v>4528</v>
      </c>
      <c r="D189" s="713" t="s">
        <v>4529</v>
      </c>
      <c r="E189" s="712" t="s">
        <v>1669</v>
      </c>
      <c r="F189" s="712" t="s">
        <v>1670</v>
      </c>
      <c r="G189" s="30">
        <v>1</v>
      </c>
      <c r="H189" s="119">
        <v>81000</v>
      </c>
      <c r="I189" s="171">
        <f t="shared" si="19"/>
        <v>81000</v>
      </c>
      <c r="K189" s="159">
        <f t="shared" si="20"/>
        <v>81000</v>
      </c>
      <c r="L189" s="119">
        <v>10400</v>
      </c>
      <c r="N189" s="171">
        <f t="shared" si="21"/>
        <v>91400</v>
      </c>
      <c r="O189" s="91" t="s">
        <v>206</v>
      </c>
      <c r="Q189" s="91" t="s">
        <v>28</v>
      </c>
      <c r="R189" s="86"/>
      <c r="S189" s="86"/>
      <c r="T189" s="86"/>
      <c r="U189" s="86"/>
      <c r="V189" s="86"/>
      <c r="W189" s="86"/>
    </row>
    <row r="190" spans="1:23" s="119" customFormat="1">
      <c r="A190" s="9">
        <v>44364</v>
      </c>
      <c r="B190" s="91" t="s">
        <v>23</v>
      </c>
      <c r="C190" s="91" t="s">
        <v>431</v>
      </c>
      <c r="D190" s="713" t="s">
        <v>31</v>
      </c>
      <c r="E190" s="712" t="s">
        <v>4530</v>
      </c>
      <c r="F190" s="712" t="s">
        <v>4531</v>
      </c>
      <c r="G190" s="30">
        <v>1</v>
      </c>
      <c r="H190" s="119">
        <v>61000</v>
      </c>
      <c r="I190" s="171">
        <f t="shared" si="19"/>
        <v>61000</v>
      </c>
      <c r="J190" s="119">
        <f>I190*25%</f>
        <v>15250</v>
      </c>
      <c r="K190" s="159">
        <f t="shared" si="20"/>
        <v>45750</v>
      </c>
      <c r="N190" s="171">
        <f t="shared" si="21"/>
        <v>45750</v>
      </c>
      <c r="O190" s="91" t="s">
        <v>23</v>
      </c>
      <c r="P190" s="663"/>
      <c r="Q190" s="91" t="s">
        <v>35</v>
      </c>
      <c r="R190" s="86"/>
      <c r="S190" s="642"/>
      <c r="T190" s="86"/>
      <c r="U190" s="86"/>
      <c r="V190" s="86"/>
      <c r="W190" s="86"/>
    </row>
    <row r="191" spans="1:23" s="119" customFormat="1" hidden="1">
      <c r="A191" s="9">
        <v>44364</v>
      </c>
      <c r="B191" s="91" t="s">
        <v>206</v>
      </c>
      <c r="C191" s="91" t="s">
        <v>4532</v>
      </c>
      <c r="D191" s="713" t="s">
        <v>4533</v>
      </c>
      <c r="E191" s="712" t="s">
        <v>83</v>
      </c>
      <c r="F191" s="712" t="s">
        <v>1618</v>
      </c>
      <c r="G191" s="30">
        <v>1</v>
      </c>
      <c r="H191" s="119">
        <v>64500</v>
      </c>
      <c r="I191" s="171">
        <f t="shared" si="19"/>
        <v>64500</v>
      </c>
      <c r="K191" s="159">
        <f t="shared" si="20"/>
        <v>64500</v>
      </c>
      <c r="L191" s="119">
        <v>69600</v>
      </c>
      <c r="N191" s="171">
        <f t="shared" si="21"/>
        <v>134100</v>
      </c>
      <c r="O191" s="91" t="s">
        <v>206</v>
      </c>
      <c r="Q191" s="91" t="s">
        <v>40</v>
      </c>
      <c r="R191" s="86"/>
      <c r="S191" s="499"/>
      <c r="T191" s="86"/>
      <c r="U191" s="86"/>
      <c r="V191" s="86"/>
      <c r="W191" s="86"/>
    </row>
    <row r="192" spans="1:23" s="119" customFormat="1">
      <c r="A192" s="9">
        <v>44364</v>
      </c>
      <c r="B192" s="91" t="s">
        <v>23</v>
      </c>
      <c r="C192" s="123" t="s">
        <v>4534</v>
      </c>
      <c r="D192" s="713" t="s">
        <v>4535</v>
      </c>
      <c r="E192" s="712" t="s">
        <v>4536</v>
      </c>
      <c r="F192" s="712" t="s">
        <v>4537</v>
      </c>
      <c r="G192" s="30">
        <v>1</v>
      </c>
      <c r="H192" s="119">
        <v>70000</v>
      </c>
      <c r="I192" s="171">
        <f t="shared" si="19"/>
        <v>70000</v>
      </c>
      <c r="K192" s="159">
        <f t="shared" si="20"/>
        <v>70000</v>
      </c>
      <c r="L192" s="119">
        <v>57000</v>
      </c>
      <c r="N192" s="171">
        <f t="shared" si="21"/>
        <v>127000</v>
      </c>
      <c r="O192" s="91" t="s">
        <v>23</v>
      </c>
      <c r="Q192" s="91" t="s">
        <v>40</v>
      </c>
      <c r="R192" s="86"/>
      <c r="S192" s="86"/>
      <c r="T192" s="86"/>
      <c r="U192" s="86"/>
      <c r="V192" s="86"/>
      <c r="W192" s="86"/>
    </row>
    <row r="193" spans="1:23" s="119" customFormat="1">
      <c r="A193" s="9">
        <v>44364</v>
      </c>
      <c r="B193" s="91" t="s">
        <v>23</v>
      </c>
      <c r="C193" s="91" t="s">
        <v>4538</v>
      </c>
      <c r="D193" s="713" t="s">
        <v>4539</v>
      </c>
      <c r="E193" s="712" t="s">
        <v>4507</v>
      </c>
      <c r="F193" s="712" t="s">
        <v>4508</v>
      </c>
      <c r="G193" s="30">
        <v>1</v>
      </c>
      <c r="H193" s="119">
        <v>77000</v>
      </c>
      <c r="I193" s="171">
        <f t="shared" si="19"/>
        <v>77000</v>
      </c>
      <c r="J193" s="727"/>
      <c r="K193" s="159">
        <f t="shared" si="20"/>
        <v>77000</v>
      </c>
      <c r="L193" s="119">
        <v>52000</v>
      </c>
      <c r="N193" s="171">
        <f t="shared" si="21"/>
        <v>129000</v>
      </c>
      <c r="O193" s="91" t="s">
        <v>23</v>
      </c>
      <c r="P193" s="711"/>
      <c r="Q193" s="91" t="s">
        <v>40</v>
      </c>
      <c r="R193" s="86"/>
      <c r="S193" s="711"/>
      <c r="T193" s="86"/>
      <c r="U193" s="86"/>
      <c r="V193" s="86"/>
      <c r="W193" s="86"/>
    </row>
    <row r="194" spans="1:23" s="119" customFormat="1" hidden="1">
      <c r="A194" s="9">
        <v>44364</v>
      </c>
      <c r="B194" s="91" t="s">
        <v>43</v>
      </c>
      <c r="C194" s="91" t="s">
        <v>4540</v>
      </c>
      <c r="D194" s="713" t="s">
        <v>4541</v>
      </c>
      <c r="E194" s="712" t="s">
        <v>3764</v>
      </c>
      <c r="F194" s="712" t="s">
        <v>3765</v>
      </c>
      <c r="G194" s="656">
        <v>1</v>
      </c>
      <c r="H194" s="119">
        <v>87000</v>
      </c>
      <c r="I194" s="171">
        <f t="shared" si="19"/>
        <v>87000</v>
      </c>
      <c r="J194" s="727"/>
      <c r="K194" s="159">
        <f t="shared" ref="K194:K246" si="23">I194-J194</f>
        <v>87000</v>
      </c>
      <c r="L194" s="119">
        <v>23000</v>
      </c>
      <c r="M194" s="119">
        <v>-4872</v>
      </c>
      <c r="N194" s="171">
        <f t="shared" ref="N194:N225" si="24">K194+L194+M194</f>
        <v>105128</v>
      </c>
      <c r="O194" s="91" t="s">
        <v>43</v>
      </c>
      <c r="Q194" s="91" t="s">
        <v>54</v>
      </c>
      <c r="R194" s="86"/>
      <c r="S194" s="668"/>
      <c r="T194" s="86"/>
      <c r="U194" s="86"/>
      <c r="V194" s="86"/>
      <c r="W194" s="86"/>
    </row>
    <row r="195" spans="1:23" s="119" customFormat="1" hidden="1">
      <c r="A195" s="9">
        <v>44364</v>
      </c>
      <c r="B195" s="91" t="s">
        <v>43</v>
      </c>
      <c r="C195" s="123" t="s">
        <v>4542</v>
      </c>
      <c r="D195" s="713" t="s">
        <v>4543</v>
      </c>
      <c r="E195" s="712" t="s">
        <v>3764</v>
      </c>
      <c r="F195" s="712" t="s">
        <v>3765</v>
      </c>
      <c r="G195" s="656">
        <v>1</v>
      </c>
      <c r="H195" s="119">
        <v>87000</v>
      </c>
      <c r="I195" s="171">
        <f t="shared" si="19"/>
        <v>87000</v>
      </c>
      <c r="K195" s="159">
        <f t="shared" si="23"/>
        <v>87000</v>
      </c>
      <c r="L195" s="119">
        <v>3000</v>
      </c>
      <c r="M195" s="119">
        <v>-4872</v>
      </c>
      <c r="N195" s="171">
        <f t="shared" si="24"/>
        <v>85128</v>
      </c>
      <c r="O195" s="91" t="s">
        <v>43</v>
      </c>
      <c r="Q195" s="91" t="s">
        <v>176</v>
      </c>
      <c r="R195" s="86"/>
      <c r="S195" s="86"/>
      <c r="T195" s="86"/>
      <c r="U195" s="86"/>
      <c r="V195" s="86"/>
      <c r="W195" s="86"/>
    </row>
    <row r="196" spans="1:23" s="119" customFormat="1" hidden="1">
      <c r="A196" s="9">
        <v>44364</v>
      </c>
      <c r="B196" s="91" t="s">
        <v>177</v>
      </c>
      <c r="C196" s="123" t="s">
        <v>4544</v>
      </c>
      <c r="D196" s="713" t="s">
        <v>4545</v>
      </c>
      <c r="E196" s="712" t="s">
        <v>4546</v>
      </c>
      <c r="F196" s="712" t="s">
        <v>4547</v>
      </c>
      <c r="G196" s="707">
        <v>1</v>
      </c>
      <c r="H196" s="119">
        <v>111000</v>
      </c>
      <c r="I196" s="171">
        <f t="shared" si="19"/>
        <v>111000</v>
      </c>
      <c r="K196" s="159">
        <f t="shared" si="23"/>
        <v>111000</v>
      </c>
      <c r="N196" s="171">
        <f t="shared" si="24"/>
        <v>111000</v>
      </c>
      <c r="O196" s="91" t="s">
        <v>177</v>
      </c>
      <c r="Q196" s="91" t="s">
        <v>54</v>
      </c>
      <c r="R196" s="86"/>
      <c r="S196" s="86"/>
      <c r="T196" s="86"/>
      <c r="U196" s="86"/>
      <c r="V196" s="86"/>
      <c r="W196" s="86"/>
    </row>
    <row r="197" spans="1:23" s="119" customFormat="1" hidden="1">
      <c r="A197" s="9">
        <v>44364</v>
      </c>
      <c r="B197" s="91" t="s">
        <v>177</v>
      </c>
      <c r="C197" s="91" t="s">
        <v>4548</v>
      </c>
      <c r="D197" s="713" t="s">
        <v>4549</v>
      </c>
      <c r="E197" s="712" t="s">
        <v>471</v>
      </c>
      <c r="F197" s="712" t="s">
        <v>472</v>
      </c>
      <c r="G197" s="708">
        <v>1</v>
      </c>
      <c r="H197" s="119">
        <v>78000</v>
      </c>
      <c r="I197" s="171">
        <f t="shared" si="19"/>
        <v>78000</v>
      </c>
      <c r="K197" s="159">
        <f t="shared" si="23"/>
        <v>78000</v>
      </c>
      <c r="L197" s="119">
        <v>9000</v>
      </c>
      <c r="N197" s="171">
        <f t="shared" si="24"/>
        <v>87000</v>
      </c>
      <c r="O197" s="91" t="s">
        <v>177</v>
      </c>
      <c r="P197" s="713"/>
      <c r="Q197" s="91" t="s">
        <v>54</v>
      </c>
      <c r="R197" s="86"/>
      <c r="S197" s="642"/>
      <c r="T197" s="86"/>
      <c r="U197" s="86"/>
      <c r="V197" s="86"/>
      <c r="W197" s="86"/>
    </row>
    <row r="198" spans="1:23" s="119" customFormat="1" hidden="1">
      <c r="A198" s="9">
        <v>44364</v>
      </c>
      <c r="B198" s="91" t="s">
        <v>177</v>
      </c>
      <c r="C198" s="91" t="s">
        <v>4550</v>
      </c>
      <c r="D198" s="713" t="s">
        <v>4551</v>
      </c>
      <c r="E198" s="712" t="s">
        <v>4248</v>
      </c>
      <c r="F198" s="712" t="s">
        <v>1391</v>
      </c>
      <c r="G198" s="30">
        <v>1</v>
      </c>
      <c r="H198" s="119">
        <v>59500</v>
      </c>
      <c r="I198" s="171">
        <f t="shared" si="19"/>
        <v>59500</v>
      </c>
      <c r="K198" s="159">
        <f t="shared" si="23"/>
        <v>59500</v>
      </c>
      <c r="L198" s="86">
        <v>9500</v>
      </c>
      <c r="M198" s="86"/>
      <c r="N198" s="171">
        <f t="shared" si="24"/>
        <v>69000</v>
      </c>
      <c r="O198" s="91" t="s">
        <v>177</v>
      </c>
      <c r="P198" s="663"/>
      <c r="Q198" s="91" t="s">
        <v>54</v>
      </c>
      <c r="R198" s="86"/>
      <c r="S198" s="642"/>
      <c r="T198" s="86"/>
      <c r="U198" s="86"/>
      <c r="V198" s="86"/>
      <c r="W198" s="86"/>
    </row>
    <row r="199" spans="1:23" s="119" customFormat="1" hidden="1">
      <c r="A199" s="9">
        <v>44364</v>
      </c>
      <c r="B199" s="91" t="s">
        <v>170</v>
      </c>
      <c r="C199" s="123" t="s">
        <v>4552</v>
      </c>
      <c r="D199" s="713" t="s">
        <v>4553</v>
      </c>
      <c r="E199" s="712" t="s">
        <v>4554</v>
      </c>
      <c r="F199" s="712" t="s">
        <v>4555</v>
      </c>
      <c r="G199" s="30">
        <v>1</v>
      </c>
      <c r="H199" s="119">
        <v>70000</v>
      </c>
      <c r="I199" s="171">
        <f t="shared" si="19"/>
        <v>70000</v>
      </c>
      <c r="K199" s="159">
        <f t="shared" si="23"/>
        <v>70000</v>
      </c>
      <c r="L199" s="86">
        <f>19000-19000</f>
        <v>0</v>
      </c>
      <c r="M199" s="86"/>
      <c r="N199" s="171">
        <f t="shared" si="24"/>
        <v>70000</v>
      </c>
      <c r="O199" s="91" t="s">
        <v>170</v>
      </c>
      <c r="P199" s="499"/>
      <c r="Q199" s="91" t="s">
        <v>176</v>
      </c>
      <c r="R199" s="86"/>
      <c r="S199" s="668"/>
      <c r="T199" s="86"/>
      <c r="U199" s="86"/>
      <c r="V199" s="86"/>
      <c r="W199" s="86"/>
    </row>
    <row r="200" spans="1:23" s="119" customFormat="1" hidden="1">
      <c r="A200" s="9">
        <v>44364</v>
      </c>
      <c r="B200" s="91" t="s">
        <v>170</v>
      </c>
      <c r="C200" s="123" t="s">
        <v>4556</v>
      </c>
      <c r="D200" s="713" t="s">
        <v>4557</v>
      </c>
      <c r="E200" s="712" t="s">
        <v>4558</v>
      </c>
      <c r="F200" s="712" t="s">
        <v>4559</v>
      </c>
      <c r="G200" s="30">
        <v>1</v>
      </c>
      <c r="H200" s="119">
        <v>47000</v>
      </c>
      <c r="I200" s="171">
        <f t="shared" si="19"/>
        <v>47000</v>
      </c>
      <c r="K200" s="159">
        <f t="shared" si="23"/>
        <v>47000</v>
      </c>
      <c r="L200" s="86">
        <f>83000-83000</f>
        <v>0</v>
      </c>
      <c r="M200" s="86"/>
      <c r="N200" s="171">
        <f t="shared" si="24"/>
        <v>47000</v>
      </c>
      <c r="O200" s="91" t="s">
        <v>170</v>
      </c>
      <c r="P200" s="499"/>
      <c r="Q200" s="91" t="s">
        <v>176</v>
      </c>
      <c r="R200" s="86"/>
      <c r="S200" s="668"/>
      <c r="T200" s="86"/>
      <c r="U200" s="86"/>
      <c r="V200" s="86"/>
      <c r="W200" s="86"/>
    </row>
    <row r="201" spans="1:23" s="119" customFormat="1" ht="15.75" customHeight="1">
      <c r="A201" s="9">
        <v>44364</v>
      </c>
      <c r="B201" s="91" t="s">
        <v>23</v>
      </c>
      <c r="C201" s="123" t="s">
        <v>4560</v>
      </c>
      <c r="D201" s="713" t="s">
        <v>4561</v>
      </c>
      <c r="E201" s="712" t="s">
        <v>4109</v>
      </c>
      <c r="F201" s="712" t="s">
        <v>4110</v>
      </c>
      <c r="G201" s="30">
        <v>1</v>
      </c>
      <c r="H201" s="119">
        <v>78000</v>
      </c>
      <c r="I201" s="171">
        <f t="shared" si="19"/>
        <v>78000</v>
      </c>
      <c r="K201" s="159">
        <f t="shared" si="23"/>
        <v>78000</v>
      </c>
      <c r="L201" s="86">
        <v>45000</v>
      </c>
      <c r="N201" s="171">
        <f t="shared" si="24"/>
        <v>123000</v>
      </c>
      <c r="O201" s="91" t="s">
        <v>23</v>
      </c>
      <c r="P201" s="499"/>
      <c r="Q201" s="91" t="s">
        <v>40</v>
      </c>
      <c r="S201" s="668"/>
    </row>
    <row r="202" spans="1:23" s="119" customFormat="1" hidden="1">
      <c r="A202" s="9">
        <v>44364</v>
      </c>
      <c r="B202" s="91" t="s">
        <v>170</v>
      </c>
      <c r="C202" s="123" t="s">
        <v>4562</v>
      </c>
      <c r="D202" s="713" t="s">
        <v>4563</v>
      </c>
      <c r="E202" s="712" t="s">
        <v>4564</v>
      </c>
      <c r="F202" s="712" t="s">
        <v>4565</v>
      </c>
      <c r="G202" s="30">
        <v>1</v>
      </c>
      <c r="H202" s="119">
        <v>108500</v>
      </c>
      <c r="I202" s="171">
        <f t="shared" si="19"/>
        <v>108500</v>
      </c>
      <c r="K202" s="159">
        <f t="shared" si="23"/>
        <v>108500</v>
      </c>
      <c r="L202" s="86">
        <f>18000-18000</f>
        <v>0</v>
      </c>
      <c r="N202" s="171">
        <f t="shared" si="24"/>
        <v>108500</v>
      </c>
      <c r="O202" s="91" t="s">
        <v>170</v>
      </c>
      <c r="P202" s="666"/>
      <c r="Q202" s="91" t="s">
        <v>176</v>
      </c>
      <c r="R202" s="668"/>
      <c r="S202" s="666"/>
    </row>
    <row r="203" spans="1:23" s="119" customFormat="1" ht="15" hidden="1" customHeight="1">
      <c r="A203" s="9">
        <v>44365</v>
      </c>
      <c r="B203" s="10" t="s">
        <v>43</v>
      </c>
      <c r="C203" s="10" t="s">
        <v>4566</v>
      </c>
      <c r="D203" s="713" t="s">
        <v>4567</v>
      </c>
      <c r="E203" s="712" t="s">
        <v>955</v>
      </c>
      <c r="F203" s="712" t="s">
        <v>956</v>
      </c>
      <c r="G203" s="30">
        <v>1</v>
      </c>
      <c r="H203" s="119">
        <v>73000</v>
      </c>
      <c r="I203" s="171">
        <f t="shared" si="19"/>
        <v>73000</v>
      </c>
      <c r="K203" s="159">
        <f t="shared" si="23"/>
        <v>73000</v>
      </c>
      <c r="L203" s="86"/>
      <c r="M203" s="119">
        <v>-4088</v>
      </c>
      <c r="N203" s="171">
        <f t="shared" si="24"/>
        <v>68912</v>
      </c>
      <c r="O203" s="10" t="s">
        <v>43</v>
      </c>
      <c r="P203" s="649"/>
      <c r="Q203" s="10" t="s">
        <v>54</v>
      </c>
      <c r="R203" s="666"/>
      <c r="S203" s="713"/>
    </row>
    <row r="204" spans="1:23" s="119" customFormat="1" hidden="1">
      <c r="A204" s="9">
        <v>44365</v>
      </c>
      <c r="B204" s="10" t="s">
        <v>177</v>
      </c>
      <c r="C204" s="10" t="s">
        <v>4568</v>
      </c>
      <c r="D204" s="713" t="s">
        <v>4569</v>
      </c>
      <c r="E204" s="719" t="s">
        <v>4223</v>
      </c>
      <c r="F204" s="719" t="s">
        <v>4224</v>
      </c>
      <c r="G204" s="30">
        <v>1</v>
      </c>
      <c r="H204" s="119">
        <v>61000</v>
      </c>
      <c r="I204" s="171">
        <f t="shared" si="19"/>
        <v>61000</v>
      </c>
      <c r="K204" s="320">
        <f t="shared" si="23"/>
        <v>61000</v>
      </c>
      <c r="L204" s="86">
        <v>44200</v>
      </c>
      <c r="N204" s="171">
        <f t="shared" si="24"/>
        <v>105200</v>
      </c>
      <c r="O204" s="10" t="s">
        <v>177</v>
      </c>
      <c r="P204" s="649"/>
      <c r="Q204" s="10" t="s">
        <v>54</v>
      </c>
      <c r="S204" s="642"/>
    </row>
    <row r="205" spans="1:23" s="119" customFormat="1" hidden="1">
      <c r="A205" s="9">
        <v>44365</v>
      </c>
      <c r="B205" s="10" t="s">
        <v>177</v>
      </c>
      <c r="C205" s="10" t="s">
        <v>4568</v>
      </c>
      <c r="D205" s="713" t="s">
        <v>4569</v>
      </c>
      <c r="E205" s="719" t="s">
        <v>4570</v>
      </c>
      <c r="F205" s="719" t="s">
        <v>4571</v>
      </c>
      <c r="G205" s="30">
        <v>1</v>
      </c>
      <c r="H205" s="119">
        <v>63000</v>
      </c>
      <c r="I205" s="171">
        <f t="shared" si="19"/>
        <v>63000</v>
      </c>
      <c r="K205" s="159">
        <f t="shared" si="23"/>
        <v>63000</v>
      </c>
      <c r="L205" s="86"/>
      <c r="N205" s="171">
        <f t="shared" si="24"/>
        <v>63000</v>
      </c>
      <c r="O205" s="10" t="s">
        <v>177</v>
      </c>
      <c r="P205" s="649"/>
      <c r="Q205" s="10" t="s">
        <v>54</v>
      </c>
      <c r="S205" s="642"/>
    </row>
    <row r="206" spans="1:23" s="119" customFormat="1" hidden="1">
      <c r="A206" s="9">
        <v>44365</v>
      </c>
      <c r="B206" s="10" t="s">
        <v>43</v>
      </c>
      <c r="C206" s="11" t="s">
        <v>4572</v>
      </c>
      <c r="D206" s="713" t="s">
        <v>4573</v>
      </c>
      <c r="E206" s="712" t="s">
        <v>4574</v>
      </c>
      <c r="F206" s="712" t="s">
        <v>4048</v>
      </c>
      <c r="G206" s="30">
        <v>1</v>
      </c>
      <c r="H206" s="119">
        <v>192500</v>
      </c>
      <c r="I206" s="171">
        <f t="shared" si="19"/>
        <v>192500</v>
      </c>
      <c r="K206" s="159">
        <f t="shared" si="23"/>
        <v>192500</v>
      </c>
      <c r="L206" s="86"/>
      <c r="M206" s="119">
        <v>-10780</v>
      </c>
      <c r="N206" s="171">
        <f t="shared" si="24"/>
        <v>181720</v>
      </c>
      <c r="O206" s="10" t="s">
        <v>43</v>
      </c>
      <c r="P206" s="649"/>
      <c r="Q206" s="10" t="s">
        <v>54</v>
      </c>
      <c r="S206" s="642"/>
    </row>
    <row r="207" spans="1:23" s="119" customFormat="1" hidden="1">
      <c r="A207" s="9">
        <v>44365</v>
      </c>
      <c r="B207" s="10" t="s">
        <v>43</v>
      </c>
      <c r="C207" s="11" t="s">
        <v>4575</v>
      </c>
      <c r="D207" s="713" t="s">
        <v>4576</v>
      </c>
      <c r="E207" s="712" t="s">
        <v>4577</v>
      </c>
      <c r="F207" s="712" t="s">
        <v>4578</v>
      </c>
      <c r="G207" s="30">
        <v>1</v>
      </c>
      <c r="H207" s="119">
        <v>50000</v>
      </c>
      <c r="I207" s="171">
        <f t="shared" si="19"/>
        <v>50000</v>
      </c>
      <c r="K207" s="159">
        <f t="shared" si="23"/>
        <v>50000</v>
      </c>
      <c r="L207" s="86"/>
      <c r="M207" s="119">
        <v>-2800</v>
      </c>
      <c r="N207" s="171">
        <f t="shared" si="24"/>
        <v>47200</v>
      </c>
      <c r="O207" s="10" t="s">
        <v>43</v>
      </c>
      <c r="P207" s="649"/>
      <c r="Q207" s="10" t="s">
        <v>54</v>
      </c>
      <c r="S207" s="642"/>
    </row>
    <row r="208" spans="1:23" s="119" customFormat="1" hidden="1">
      <c r="A208" s="9">
        <v>44365</v>
      </c>
      <c r="B208" s="10" t="s">
        <v>43</v>
      </c>
      <c r="C208" s="11" t="s">
        <v>4579</v>
      </c>
      <c r="D208" s="713" t="s">
        <v>4580</v>
      </c>
      <c r="E208" s="712" t="s">
        <v>4581</v>
      </c>
      <c r="F208" s="712" t="s">
        <v>4582</v>
      </c>
      <c r="G208" s="30">
        <v>1</v>
      </c>
      <c r="H208" s="119">
        <v>62500</v>
      </c>
      <c r="I208" s="171">
        <f t="shared" si="19"/>
        <v>62500</v>
      </c>
      <c r="K208" s="159">
        <f t="shared" si="23"/>
        <v>62500</v>
      </c>
      <c r="L208" s="86">
        <v>30000</v>
      </c>
      <c r="M208" s="119">
        <v>-3500</v>
      </c>
      <c r="N208" s="171">
        <f t="shared" si="24"/>
        <v>89000</v>
      </c>
      <c r="O208" s="10" t="s">
        <v>43</v>
      </c>
      <c r="P208" s="713"/>
      <c r="Q208" s="10" t="s">
        <v>54</v>
      </c>
      <c r="S208" s="713"/>
    </row>
    <row r="209" spans="1:19" s="119" customFormat="1" hidden="1">
      <c r="A209" s="9">
        <v>44365</v>
      </c>
      <c r="B209" s="10" t="s">
        <v>43</v>
      </c>
      <c r="C209" s="10" t="s">
        <v>4583</v>
      </c>
      <c r="D209" s="713" t="s">
        <v>4584</v>
      </c>
      <c r="E209" s="712" t="s">
        <v>3012</v>
      </c>
      <c r="F209" s="712" t="s">
        <v>3013</v>
      </c>
      <c r="G209" s="30">
        <v>1</v>
      </c>
      <c r="H209" s="119">
        <v>69000</v>
      </c>
      <c r="I209" s="171">
        <f t="shared" si="19"/>
        <v>69000</v>
      </c>
      <c r="K209" s="159">
        <f t="shared" si="23"/>
        <v>69000</v>
      </c>
      <c r="L209" s="86">
        <v>29000</v>
      </c>
      <c r="M209" s="119">
        <v>-3864</v>
      </c>
      <c r="N209" s="171">
        <f t="shared" si="24"/>
        <v>94136</v>
      </c>
      <c r="O209" s="10" t="s">
        <v>43</v>
      </c>
      <c r="P209" s="649"/>
      <c r="Q209" s="10" t="s">
        <v>54</v>
      </c>
      <c r="S209" s="642"/>
    </row>
    <row r="210" spans="1:19" s="119" customFormat="1" hidden="1">
      <c r="A210" s="9">
        <v>44368</v>
      </c>
      <c r="B210" s="91" t="s">
        <v>43</v>
      </c>
      <c r="C210" s="123" t="s">
        <v>4585</v>
      </c>
      <c r="D210" s="713" t="s">
        <v>4586</v>
      </c>
      <c r="E210" s="712" t="s">
        <v>4587</v>
      </c>
      <c r="F210" s="712" t="s">
        <v>4588</v>
      </c>
      <c r="G210" s="30">
        <v>1</v>
      </c>
      <c r="H210" s="119">
        <v>56500</v>
      </c>
      <c r="I210" s="171">
        <f t="shared" si="19"/>
        <v>56500</v>
      </c>
      <c r="K210" s="159">
        <f t="shared" si="23"/>
        <v>56500</v>
      </c>
      <c r="L210" s="119">
        <v>16000</v>
      </c>
      <c r="M210" s="119">
        <v>-3164</v>
      </c>
      <c r="N210" s="171">
        <f t="shared" si="24"/>
        <v>69336</v>
      </c>
      <c r="O210" s="91" t="s">
        <v>43</v>
      </c>
      <c r="P210" s="711"/>
      <c r="Q210" s="91" t="s">
        <v>54</v>
      </c>
      <c r="S210" s="711"/>
    </row>
    <row r="211" spans="1:19" s="119" customFormat="1" hidden="1">
      <c r="A211" s="9">
        <v>44368</v>
      </c>
      <c r="B211" s="91" t="s">
        <v>43</v>
      </c>
      <c r="C211" s="123" t="s">
        <v>4589</v>
      </c>
      <c r="D211" s="91" t="s">
        <v>4590</v>
      </c>
      <c r="E211" s="712" t="s">
        <v>4591</v>
      </c>
      <c r="F211" s="712" t="s">
        <v>4592</v>
      </c>
      <c r="G211" s="30">
        <v>1</v>
      </c>
      <c r="H211" s="119">
        <v>71000</v>
      </c>
      <c r="I211" s="171">
        <f t="shared" si="19"/>
        <v>71000</v>
      </c>
      <c r="K211" s="320">
        <f t="shared" si="23"/>
        <v>71000</v>
      </c>
      <c r="L211" s="119">
        <v>3000</v>
      </c>
      <c r="M211" s="119">
        <v>-3976</v>
      </c>
      <c r="N211" s="171">
        <f t="shared" si="24"/>
        <v>70024</v>
      </c>
      <c r="O211" s="91" t="s">
        <v>43</v>
      </c>
      <c r="Q211" s="91" t="s">
        <v>54</v>
      </c>
    </row>
    <row r="212" spans="1:19" s="119" customFormat="1" hidden="1">
      <c r="A212" s="9">
        <v>44368</v>
      </c>
      <c r="B212" s="91" t="s">
        <v>43</v>
      </c>
      <c r="C212" s="91" t="s">
        <v>4593</v>
      </c>
      <c r="D212" s="713" t="s">
        <v>4594</v>
      </c>
      <c r="E212" s="726" t="s">
        <v>4595</v>
      </c>
      <c r="F212" s="726" t="s">
        <v>4596</v>
      </c>
      <c r="G212" s="30">
        <v>1</v>
      </c>
      <c r="H212" s="119">
        <v>79000</v>
      </c>
      <c r="I212" s="171">
        <f t="shared" si="19"/>
        <v>79000</v>
      </c>
      <c r="K212" s="159">
        <f t="shared" si="23"/>
        <v>79000</v>
      </c>
      <c r="L212" s="119">
        <v>17000</v>
      </c>
      <c r="M212" s="119">
        <v>-8960</v>
      </c>
      <c r="N212" s="171">
        <f t="shared" si="24"/>
        <v>87040</v>
      </c>
      <c r="O212" s="91" t="s">
        <v>43</v>
      </c>
      <c r="P212" s="649"/>
      <c r="Q212" s="91" t="s">
        <v>54</v>
      </c>
      <c r="S212" s="642"/>
    </row>
    <row r="213" spans="1:19" s="119" customFormat="1" hidden="1">
      <c r="A213" s="9">
        <v>44368</v>
      </c>
      <c r="B213" s="91" t="s">
        <v>43</v>
      </c>
      <c r="C213" s="91" t="s">
        <v>4593</v>
      </c>
      <c r="D213" s="713" t="s">
        <v>4594</v>
      </c>
      <c r="E213" s="726" t="s">
        <v>4597</v>
      </c>
      <c r="F213" s="726" t="s">
        <v>4598</v>
      </c>
      <c r="G213" s="30">
        <v>1</v>
      </c>
      <c r="H213" s="119">
        <v>81000</v>
      </c>
      <c r="I213" s="171">
        <f t="shared" si="19"/>
        <v>81000</v>
      </c>
      <c r="K213" s="159">
        <f t="shared" si="23"/>
        <v>81000</v>
      </c>
      <c r="N213" s="171">
        <f t="shared" si="24"/>
        <v>81000</v>
      </c>
      <c r="O213" s="91" t="s">
        <v>43</v>
      </c>
      <c r="P213" s="649"/>
      <c r="Q213" s="91" t="s">
        <v>54</v>
      </c>
      <c r="S213" s="642"/>
    </row>
    <row r="214" spans="1:19" s="119" customFormat="1" hidden="1">
      <c r="A214" s="9">
        <v>44368</v>
      </c>
      <c r="B214" s="91" t="s">
        <v>43</v>
      </c>
      <c r="C214" s="123" t="s">
        <v>4599</v>
      </c>
      <c r="D214" s="713" t="s">
        <v>4600</v>
      </c>
      <c r="E214" s="712" t="s">
        <v>679</v>
      </c>
      <c r="F214" s="712" t="s">
        <v>680</v>
      </c>
      <c r="G214" s="30">
        <v>1</v>
      </c>
      <c r="H214" s="119">
        <v>58500</v>
      </c>
      <c r="I214" s="171">
        <f t="shared" si="19"/>
        <v>58500</v>
      </c>
      <c r="K214" s="159">
        <f t="shared" si="23"/>
        <v>58500</v>
      </c>
      <c r="L214" s="119">
        <v>30000</v>
      </c>
      <c r="M214" s="119">
        <v>-3276</v>
      </c>
      <c r="N214" s="171">
        <f t="shared" si="24"/>
        <v>85224</v>
      </c>
      <c r="O214" s="91" t="s">
        <v>43</v>
      </c>
      <c r="P214" s="649"/>
      <c r="Q214" s="91" t="s">
        <v>54</v>
      </c>
      <c r="S214" s="642"/>
    </row>
    <row r="215" spans="1:19" s="119" customFormat="1" hidden="1">
      <c r="A215" s="9">
        <v>44368</v>
      </c>
      <c r="B215" s="91" t="s">
        <v>313</v>
      </c>
      <c r="C215" s="123" t="s">
        <v>4601</v>
      </c>
      <c r="D215" s="713" t="s">
        <v>4602</v>
      </c>
      <c r="E215" s="712" t="s">
        <v>4603</v>
      </c>
      <c r="F215" s="712" t="s">
        <v>4604</v>
      </c>
      <c r="G215" s="30">
        <v>1</v>
      </c>
      <c r="H215" s="119">
        <v>96000</v>
      </c>
      <c r="I215" s="171">
        <f t="shared" si="19"/>
        <v>96000</v>
      </c>
      <c r="K215" s="159">
        <f t="shared" si="23"/>
        <v>96000</v>
      </c>
      <c r="L215" s="86">
        <v>47090</v>
      </c>
      <c r="N215" s="171">
        <f t="shared" si="24"/>
        <v>143090</v>
      </c>
      <c r="O215" s="91" t="s">
        <v>313</v>
      </c>
      <c r="P215" s="649"/>
      <c r="Q215" s="91" t="s">
        <v>40</v>
      </c>
      <c r="S215" s="642"/>
    </row>
    <row r="216" spans="1:19" s="119" customFormat="1" ht="216">
      <c r="A216" s="9">
        <v>44368</v>
      </c>
      <c r="B216" s="91" t="s">
        <v>313</v>
      </c>
      <c r="C216" s="91" t="s">
        <v>4605</v>
      </c>
      <c r="D216" s="1099" t="s">
        <v>9425</v>
      </c>
      <c r="E216" s="712" t="s">
        <v>2485</v>
      </c>
      <c r="F216" s="712" t="s">
        <v>2486</v>
      </c>
      <c r="G216" s="30">
        <v>1</v>
      </c>
      <c r="H216" s="119">
        <v>70000</v>
      </c>
      <c r="I216" s="171">
        <f t="shared" si="19"/>
        <v>70000</v>
      </c>
      <c r="K216" s="159">
        <f t="shared" si="23"/>
        <v>70000</v>
      </c>
      <c r="L216" s="86">
        <v>26043</v>
      </c>
      <c r="N216" s="171">
        <f t="shared" si="24"/>
        <v>96043</v>
      </c>
      <c r="O216" s="91" t="s">
        <v>313</v>
      </c>
      <c r="P216" s="649"/>
      <c r="Q216" s="91" t="s">
        <v>40</v>
      </c>
      <c r="S216" s="642"/>
    </row>
    <row r="217" spans="1:19" s="119" customFormat="1">
      <c r="A217" s="9">
        <v>44368</v>
      </c>
      <c r="B217" s="91" t="s">
        <v>313</v>
      </c>
      <c r="C217" s="123" t="s">
        <v>4606</v>
      </c>
      <c r="D217" s="713" t="s">
        <v>4607</v>
      </c>
      <c r="E217" s="712" t="s">
        <v>1224</v>
      </c>
      <c r="F217" s="712" t="s">
        <v>1225</v>
      </c>
      <c r="G217" s="30">
        <v>1</v>
      </c>
      <c r="H217" s="119">
        <v>100000</v>
      </c>
      <c r="I217" s="171">
        <f t="shared" si="19"/>
        <v>100000</v>
      </c>
      <c r="K217" s="159">
        <f t="shared" si="23"/>
        <v>100000</v>
      </c>
      <c r="L217" s="86">
        <v>55050</v>
      </c>
      <c r="N217" s="171">
        <f t="shared" si="24"/>
        <v>155050</v>
      </c>
      <c r="O217" s="91" t="s">
        <v>313</v>
      </c>
      <c r="Q217" s="91" t="s">
        <v>40</v>
      </c>
    </row>
    <row r="218" spans="1:19" s="119" customFormat="1">
      <c r="A218" s="9">
        <v>44368</v>
      </c>
      <c r="B218" s="91" t="s">
        <v>23</v>
      </c>
      <c r="C218" s="123" t="s">
        <v>4608</v>
      </c>
      <c r="D218" s="713" t="s">
        <v>4609</v>
      </c>
      <c r="E218" s="712" t="s">
        <v>899</v>
      </c>
      <c r="F218" s="712" t="s">
        <v>900</v>
      </c>
      <c r="G218" s="30">
        <v>1</v>
      </c>
      <c r="H218" s="119">
        <v>120000</v>
      </c>
      <c r="I218" s="171">
        <f t="shared" si="19"/>
        <v>120000</v>
      </c>
      <c r="K218" s="159">
        <f t="shared" si="23"/>
        <v>120000</v>
      </c>
      <c r="L218" s="86">
        <v>51000</v>
      </c>
      <c r="N218" s="171">
        <f t="shared" si="24"/>
        <v>171000</v>
      </c>
      <c r="O218" s="91" t="s">
        <v>23</v>
      </c>
      <c r="Q218" s="91" t="s">
        <v>40</v>
      </c>
      <c r="S218" s="672"/>
    </row>
    <row r="219" spans="1:19" s="119" customFormat="1">
      <c r="A219" s="9">
        <v>44368</v>
      </c>
      <c r="B219" s="10" t="s">
        <v>23</v>
      </c>
      <c r="C219" s="10" t="s">
        <v>431</v>
      </c>
      <c r="D219" s="713" t="s">
        <v>31</v>
      </c>
      <c r="E219" s="728" t="s">
        <v>4610</v>
      </c>
      <c r="F219" s="728" t="s">
        <v>4611</v>
      </c>
      <c r="G219" s="30">
        <v>1</v>
      </c>
      <c r="H219" s="119">
        <v>110000</v>
      </c>
      <c r="I219" s="171">
        <f t="shared" si="19"/>
        <v>110000</v>
      </c>
      <c r="J219" s="119">
        <f>I219*25%+40000</f>
        <v>67500</v>
      </c>
      <c r="K219" s="159">
        <f t="shared" si="23"/>
        <v>42500</v>
      </c>
      <c r="N219" s="171">
        <f t="shared" si="24"/>
        <v>42500</v>
      </c>
      <c r="O219" s="10" t="s">
        <v>23</v>
      </c>
      <c r="P219" s="649"/>
      <c r="Q219" s="10" t="s">
        <v>35</v>
      </c>
      <c r="S219" s="642"/>
    </row>
    <row r="220" spans="1:19" s="119" customFormat="1">
      <c r="A220" s="9">
        <v>44368</v>
      </c>
      <c r="B220" s="10" t="s">
        <v>23</v>
      </c>
      <c r="C220" s="10" t="s">
        <v>431</v>
      </c>
      <c r="D220" s="713" t="s">
        <v>31</v>
      </c>
      <c r="E220" s="728" t="s">
        <v>4186</v>
      </c>
      <c r="F220" s="728" t="s">
        <v>4187</v>
      </c>
      <c r="G220" s="30">
        <v>1</v>
      </c>
      <c r="H220" s="119">
        <v>118000</v>
      </c>
      <c r="I220" s="171">
        <f t="shared" si="19"/>
        <v>118000</v>
      </c>
      <c r="J220" s="119">
        <f>I220*25%</f>
        <v>29500</v>
      </c>
      <c r="K220" s="159">
        <f t="shared" si="23"/>
        <v>88500</v>
      </c>
      <c r="N220" s="171">
        <f t="shared" si="24"/>
        <v>88500</v>
      </c>
      <c r="O220" s="10" t="s">
        <v>23</v>
      </c>
      <c r="Q220" s="10" t="s">
        <v>35</v>
      </c>
      <c r="S220" s="642"/>
    </row>
    <row r="221" spans="1:19" s="119" customFormat="1">
      <c r="A221" s="9">
        <v>44368</v>
      </c>
      <c r="B221" s="91" t="s">
        <v>23</v>
      </c>
      <c r="C221" s="123" t="s">
        <v>4612</v>
      </c>
      <c r="D221" s="713" t="s">
        <v>4613</v>
      </c>
      <c r="E221" s="712" t="s">
        <v>4614</v>
      </c>
      <c r="F221" s="712" t="s">
        <v>4615</v>
      </c>
      <c r="G221" s="30">
        <v>1</v>
      </c>
      <c r="H221" s="119">
        <v>61500</v>
      </c>
      <c r="I221" s="171">
        <f t="shared" si="19"/>
        <v>61500</v>
      </c>
      <c r="K221" s="159">
        <f t="shared" si="23"/>
        <v>61500</v>
      </c>
      <c r="L221" s="119">
        <v>17000</v>
      </c>
      <c r="N221" s="171">
        <f t="shared" si="24"/>
        <v>78500</v>
      </c>
      <c r="O221" s="91" t="s">
        <v>23</v>
      </c>
      <c r="Q221" s="91" t="s">
        <v>40</v>
      </c>
    </row>
    <row r="222" spans="1:19" s="119" customFormat="1" ht="15.6" hidden="1">
      <c r="A222" s="9">
        <v>44369</v>
      </c>
      <c r="B222" s="91" t="s">
        <v>43</v>
      </c>
      <c r="C222" s="123" t="s">
        <v>4170</v>
      </c>
      <c r="D222" s="493" t="s">
        <v>4171</v>
      </c>
      <c r="E222" s="712" t="s">
        <v>4172</v>
      </c>
      <c r="F222" s="712" t="s">
        <v>4173</v>
      </c>
      <c r="G222" s="30">
        <v>3</v>
      </c>
      <c r="H222" s="466">
        <v>72000</v>
      </c>
      <c r="I222" s="729">
        <f t="shared" si="19"/>
        <v>216000</v>
      </c>
      <c r="K222" s="159">
        <f t="shared" si="23"/>
        <v>216000</v>
      </c>
      <c r="L222" s="119">
        <v>68000</v>
      </c>
      <c r="M222" s="119">
        <v>-12096</v>
      </c>
      <c r="N222" s="171">
        <f t="shared" si="24"/>
        <v>271904</v>
      </c>
      <c r="O222" s="91" t="s">
        <v>43</v>
      </c>
      <c r="Q222" s="91" t="s">
        <v>40</v>
      </c>
      <c r="S222" s="668"/>
    </row>
    <row r="223" spans="1:19" s="119" customFormat="1" ht="15.6" hidden="1">
      <c r="A223" s="9">
        <v>44369</v>
      </c>
      <c r="B223" s="91" t="s">
        <v>177</v>
      </c>
      <c r="C223" s="123" t="s">
        <v>4616</v>
      </c>
      <c r="D223" s="493" t="s">
        <v>4617</v>
      </c>
      <c r="E223" s="712" t="s">
        <v>471</v>
      </c>
      <c r="F223" s="712" t="s">
        <v>472</v>
      </c>
      <c r="G223" s="35">
        <v>1</v>
      </c>
      <c r="H223" s="466">
        <v>111000</v>
      </c>
      <c r="I223" s="729">
        <f t="shared" si="19"/>
        <v>111000</v>
      </c>
      <c r="K223" s="730">
        <f t="shared" si="23"/>
        <v>111000</v>
      </c>
      <c r="N223" s="171">
        <f t="shared" si="24"/>
        <v>111000</v>
      </c>
      <c r="O223" s="91" t="s">
        <v>177</v>
      </c>
      <c r="Q223" s="91" t="s">
        <v>54</v>
      </c>
    </row>
    <row r="224" spans="1:19" s="119" customFormat="1" ht="15.6" hidden="1">
      <c r="A224" s="9">
        <v>44369</v>
      </c>
      <c r="B224" s="91" t="s">
        <v>177</v>
      </c>
      <c r="C224" s="123" t="s">
        <v>4618</v>
      </c>
      <c r="D224" s="493" t="s">
        <v>4619</v>
      </c>
      <c r="E224" s="718" t="s">
        <v>4620</v>
      </c>
      <c r="F224" s="718" t="s">
        <v>4621</v>
      </c>
      <c r="G224" s="30">
        <v>4</v>
      </c>
      <c r="H224" s="466">
        <v>97500</v>
      </c>
      <c r="I224" s="729">
        <f t="shared" si="19"/>
        <v>390000</v>
      </c>
      <c r="K224" s="159">
        <f t="shared" si="23"/>
        <v>390000</v>
      </c>
      <c r="L224" s="86">
        <v>35500</v>
      </c>
      <c r="N224" s="171">
        <f t="shared" si="24"/>
        <v>425500</v>
      </c>
      <c r="O224" s="91" t="s">
        <v>177</v>
      </c>
      <c r="P224" s="713"/>
      <c r="Q224" s="91" t="s">
        <v>54</v>
      </c>
      <c r="S224" s="713"/>
    </row>
    <row r="225" spans="1:19" s="119" customFormat="1" ht="15.6" hidden="1">
      <c r="A225" s="9">
        <v>44369</v>
      </c>
      <c r="B225" s="91" t="s">
        <v>177</v>
      </c>
      <c r="C225" s="123" t="s">
        <v>4618</v>
      </c>
      <c r="D225" s="493" t="s">
        <v>4619</v>
      </c>
      <c r="E225" s="718" t="s">
        <v>2402</v>
      </c>
      <c r="F225" s="718" t="s">
        <v>2403</v>
      </c>
      <c r="G225" s="30">
        <v>5</v>
      </c>
      <c r="H225" s="466">
        <v>55000</v>
      </c>
      <c r="I225" s="729">
        <f t="shared" si="19"/>
        <v>275000</v>
      </c>
      <c r="K225" s="159">
        <f t="shared" si="23"/>
        <v>275000</v>
      </c>
      <c r="L225" s="86"/>
      <c r="N225" s="171">
        <f t="shared" si="24"/>
        <v>275000</v>
      </c>
      <c r="O225" s="91" t="s">
        <v>177</v>
      </c>
      <c r="P225" s="649"/>
      <c r="Q225" s="91" t="s">
        <v>54</v>
      </c>
      <c r="S225" s="713"/>
    </row>
    <row r="226" spans="1:19" s="119" customFormat="1" ht="15.6">
      <c r="A226" s="9">
        <v>44369</v>
      </c>
      <c r="B226" s="91" t="s">
        <v>23</v>
      </c>
      <c r="C226" s="91" t="s">
        <v>4622</v>
      </c>
      <c r="D226" s="493" t="s">
        <v>4623</v>
      </c>
      <c r="E226" s="712" t="s">
        <v>4624</v>
      </c>
      <c r="F226" s="712" t="s">
        <v>4625</v>
      </c>
      <c r="G226" s="30">
        <v>1</v>
      </c>
      <c r="H226" s="466">
        <v>98000</v>
      </c>
      <c r="I226" s="729">
        <f t="shared" si="19"/>
        <v>98000</v>
      </c>
      <c r="J226" s="119">
        <f>I226-58800</f>
        <v>39200</v>
      </c>
      <c r="K226" s="159">
        <f t="shared" si="23"/>
        <v>58800</v>
      </c>
      <c r="L226" s="86">
        <v>16000</v>
      </c>
      <c r="N226" s="171">
        <f t="shared" ref="N226:N247" si="25">K226+L226+M226</f>
        <v>74800</v>
      </c>
      <c r="O226" s="91" t="s">
        <v>23</v>
      </c>
      <c r="Q226" s="91" t="s">
        <v>40</v>
      </c>
    </row>
    <row r="227" spans="1:19" s="119" customFormat="1" ht="15.6" hidden="1">
      <c r="A227" s="9">
        <v>44369</v>
      </c>
      <c r="B227" s="91" t="s">
        <v>313</v>
      </c>
      <c r="C227" s="91" t="s">
        <v>4626</v>
      </c>
      <c r="D227" s="493" t="s">
        <v>4627</v>
      </c>
      <c r="E227" s="712" t="s">
        <v>4628</v>
      </c>
      <c r="F227" s="712" t="s">
        <v>4629</v>
      </c>
      <c r="G227" s="30">
        <v>1</v>
      </c>
      <c r="H227" s="466">
        <v>23000</v>
      </c>
      <c r="I227" s="729">
        <f t="shared" si="19"/>
        <v>23000</v>
      </c>
      <c r="K227" s="159">
        <f t="shared" si="23"/>
        <v>23000</v>
      </c>
      <c r="L227" s="86"/>
      <c r="N227" s="171">
        <f t="shared" si="25"/>
        <v>23000</v>
      </c>
      <c r="O227" s="91" t="s">
        <v>313</v>
      </c>
      <c r="P227" s="649"/>
      <c r="Q227" s="91" t="s">
        <v>40</v>
      </c>
      <c r="S227" s="642"/>
    </row>
    <row r="228" spans="1:19" s="119" customFormat="1" ht="16.8">
      <c r="A228" s="9">
        <v>44369</v>
      </c>
      <c r="B228" s="91" t="s">
        <v>23</v>
      </c>
      <c r="C228" s="91" t="s">
        <v>4630</v>
      </c>
      <c r="D228" s="688" t="s">
        <v>4631</v>
      </c>
      <c r="E228" s="726" t="s">
        <v>233</v>
      </c>
      <c r="F228" s="726" t="s">
        <v>234</v>
      </c>
      <c r="G228" s="30">
        <v>1</v>
      </c>
      <c r="H228" s="175">
        <v>83500</v>
      </c>
      <c r="I228" s="336">
        <f t="shared" si="19"/>
        <v>83500</v>
      </c>
      <c r="K228" s="159">
        <f t="shared" si="23"/>
        <v>83500</v>
      </c>
      <c r="L228" s="86"/>
      <c r="N228" s="171">
        <f t="shared" si="25"/>
        <v>83500</v>
      </c>
      <c r="O228" s="91" t="s">
        <v>23</v>
      </c>
      <c r="P228" s="663"/>
      <c r="Q228" s="91" t="s">
        <v>54</v>
      </c>
      <c r="S228" s="713"/>
    </row>
    <row r="229" spans="1:19" s="119" customFormat="1" ht="16.8">
      <c r="A229" s="9">
        <v>44369</v>
      </c>
      <c r="B229" s="91" t="s">
        <v>23</v>
      </c>
      <c r="C229" s="91" t="s">
        <v>4630</v>
      </c>
      <c r="D229" s="688" t="s">
        <v>4631</v>
      </c>
      <c r="E229" s="726" t="s">
        <v>1802</v>
      </c>
      <c r="F229" s="726" t="s">
        <v>1803</v>
      </c>
      <c r="G229" s="30">
        <v>1</v>
      </c>
      <c r="H229" s="466">
        <v>68000</v>
      </c>
      <c r="I229" s="729">
        <f t="shared" si="19"/>
        <v>68000</v>
      </c>
      <c r="K229" s="159">
        <f t="shared" si="23"/>
        <v>68000</v>
      </c>
      <c r="L229" s="86"/>
      <c r="N229" s="171">
        <f t="shared" si="25"/>
        <v>68000</v>
      </c>
      <c r="O229" s="91" t="s">
        <v>23</v>
      </c>
      <c r="P229" s="713"/>
      <c r="Q229" s="91" t="s">
        <v>54</v>
      </c>
      <c r="S229" s="642"/>
    </row>
    <row r="230" spans="1:19" s="119" customFormat="1" ht="16.8">
      <c r="A230" s="9">
        <v>44369</v>
      </c>
      <c r="B230" s="91" t="s">
        <v>23</v>
      </c>
      <c r="C230" s="91" t="s">
        <v>4630</v>
      </c>
      <c r="D230" s="688" t="s">
        <v>4631</v>
      </c>
      <c r="E230" s="726" t="s">
        <v>1805</v>
      </c>
      <c r="F230" s="726" t="s">
        <v>1806</v>
      </c>
      <c r="G230" s="30">
        <v>1</v>
      </c>
      <c r="H230" s="466">
        <v>107000</v>
      </c>
      <c r="I230" s="729">
        <f t="shared" si="19"/>
        <v>107000</v>
      </c>
      <c r="K230" s="159">
        <f t="shared" si="23"/>
        <v>107000</v>
      </c>
      <c r="L230" s="86">
        <v>19000</v>
      </c>
      <c r="N230" s="171">
        <f t="shared" si="25"/>
        <v>126000</v>
      </c>
      <c r="O230" s="91" t="s">
        <v>23</v>
      </c>
      <c r="P230" s="663"/>
      <c r="Q230" s="91" t="s">
        <v>54</v>
      </c>
      <c r="S230" s="713"/>
    </row>
    <row r="231" spans="1:19" s="119" customFormat="1" ht="15.6">
      <c r="A231" s="9">
        <v>44369</v>
      </c>
      <c r="B231" s="91" t="s">
        <v>23</v>
      </c>
      <c r="C231" s="123" t="s">
        <v>4632</v>
      </c>
      <c r="D231" s="713" t="s">
        <v>4633</v>
      </c>
      <c r="E231" s="712" t="s">
        <v>2547</v>
      </c>
      <c r="F231" s="712" t="s">
        <v>2548</v>
      </c>
      <c r="G231" s="30">
        <v>3</v>
      </c>
      <c r="H231" s="466">
        <v>70700</v>
      </c>
      <c r="I231" s="729">
        <f t="shared" si="19"/>
        <v>212100</v>
      </c>
      <c r="K231" s="159">
        <f t="shared" si="23"/>
        <v>212100</v>
      </c>
      <c r="L231" s="86">
        <v>20000</v>
      </c>
      <c r="N231" s="171">
        <f t="shared" si="25"/>
        <v>232100</v>
      </c>
      <c r="O231" s="91" t="s">
        <v>23</v>
      </c>
      <c r="P231" s="713"/>
      <c r="Q231" s="91" t="s">
        <v>54</v>
      </c>
      <c r="S231" s="713"/>
    </row>
    <row r="232" spans="1:19" s="119" customFormat="1" ht="15.6" hidden="1">
      <c r="A232" s="9">
        <v>44369</v>
      </c>
      <c r="B232" s="91" t="s">
        <v>43</v>
      </c>
      <c r="C232" s="91" t="s">
        <v>4634</v>
      </c>
      <c r="D232" s="713" t="s">
        <v>4635</v>
      </c>
      <c r="E232" s="712" t="s">
        <v>4636</v>
      </c>
      <c r="F232" s="712" t="s">
        <v>4637</v>
      </c>
      <c r="G232" s="30">
        <v>1</v>
      </c>
      <c r="H232" s="466">
        <v>96000</v>
      </c>
      <c r="I232" s="729">
        <f t="shared" si="19"/>
        <v>96000</v>
      </c>
      <c r="K232" s="159">
        <f t="shared" si="23"/>
        <v>96000</v>
      </c>
      <c r="L232" s="86">
        <v>20000</v>
      </c>
      <c r="M232" s="119">
        <v>-5376</v>
      </c>
      <c r="N232" s="171">
        <f t="shared" si="25"/>
        <v>110624</v>
      </c>
      <c r="O232" s="91" t="s">
        <v>43</v>
      </c>
      <c r="P232" s="713"/>
      <c r="Q232" s="91" t="s">
        <v>54</v>
      </c>
      <c r="S232" s="713"/>
    </row>
    <row r="233" spans="1:19" s="119" customFormat="1" ht="15.6" hidden="1">
      <c r="A233" s="9">
        <v>44370</v>
      </c>
      <c r="B233" s="91" t="s">
        <v>177</v>
      </c>
      <c r="C233" s="123" t="s">
        <v>4638</v>
      </c>
      <c r="D233" s="713" t="s">
        <v>4639</v>
      </c>
      <c r="E233" s="712" t="s">
        <v>4640</v>
      </c>
      <c r="F233" s="712" t="s">
        <v>4641</v>
      </c>
      <c r="G233" s="30">
        <v>1</v>
      </c>
      <c r="H233" s="466">
        <v>58000</v>
      </c>
      <c r="I233" s="729">
        <f t="shared" si="19"/>
        <v>58000</v>
      </c>
      <c r="K233" s="159">
        <f t="shared" si="23"/>
        <v>58000</v>
      </c>
      <c r="L233" s="86">
        <v>9500</v>
      </c>
      <c r="N233" s="171">
        <f t="shared" si="25"/>
        <v>67500</v>
      </c>
      <c r="O233" s="91" t="s">
        <v>177</v>
      </c>
      <c r="P233" s="713"/>
      <c r="Q233" s="91" t="s">
        <v>54</v>
      </c>
      <c r="S233" s="713"/>
    </row>
    <row r="234" spans="1:19" s="119" customFormat="1" ht="15.6">
      <c r="A234" s="9">
        <v>44370</v>
      </c>
      <c r="B234" s="91" t="s">
        <v>23</v>
      </c>
      <c r="C234" s="123" t="s">
        <v>4642</v>
      </c>
      <c r="D234" s="713" t="s">
        <v>4643</v>
      </c>
      <c r="E234" s="712" t="s">
        <v>4644</v>
      </c>
      <c r="F234" s="712" t="s">
        <v>4645</v>
      </c>
      <c r="G234" s="30">
        <v>1</v>
      </c>
      <c r="H234" s="466">
        <v>78000</v>
      </c>
      <c r="I234" s="729">
        <f t="shared" si="19"/>
        <v>78000</v>
      </c>
      <c r="J234" s="119">
        <f>I234-46800</f>
        <v>31200</v>
      </c>
      <c r="K234" s="320">
        <f t="shared" si="23"/>
        <v>46800</v>
      </c>
      <c r="L234" s="86">
        <v>44000</v>
      </c>
      <c r="N234" s="171">
        <f t="shared" si="25"/>
        <v>90800</v>
      </c>
      <c r="O234" s="91" t="s">
        <v>23</v>
      </c>
      <c r="P234" s="713"/>
      <c r="Q234" s="91" t="s">
        <v>54</v>
      </c>
      <c r="S234" s="642"/>
    </row>
    <row r="235" spans="1:19" s="119" customFormat="1" ht="15.6" hidden="1">
      <c r="A235" s="9">
        <v>44370</v>
      </c>
      <c r="B235" s="91" t="s">
        <v>170</v>
      </c>
      <c r="C235" s="123" t="s">
        <v>4646</v>
      </c>
      <c r="D235" s="713" t="s">
        <v>4647</v>
      </c>
      <c r="E235" s="712" t="s">
        <v>4648</v>
      </c>
      <c r="F235" s="712" t="s">
        <v>4649</v>
      </c>
      <c r="G235" s="30">
        <v>1</v>
      </c>
      <c r="H235" s="466">
        <v>88500</v>
      </c>
      <c r="I235" s="729">
        <f t="shared" si="19"/>
        <v>88500</v>
      </c>
      <c r="K235" s="320">
        <f t="shared" si="23"/>
        <v>88500</v>
      </c>
      <c r="L235" s="86">
        <f>35000-35000</f>
        <v>0</v>
      </c>
      <c r="N235" s="171">
        <f t="shared" si="25"/>
        <v>88500</v>
      </c>
      <c r="O235" s="91" t="s">
        <v>170</v>
      </c>
      <c r="P235" s="713"/>
      <c r="Q235" s="91" t="s">
        <v>54</v>
      </c>
      <c r="S235" s="713"/>
    </row>
    <row r="236" spans="1:19" s="119" customFormat="1" ht="15.6">
      <c r="A236" s="9">
        <v>44370</v>
      </c>
      <c r="B236" s="10" t="s">
        <v>23</v>
      </c>
      <c r="C236" s="10" t="s">
        <v>3570</v>
      </c>
      <c r="D236" s="713" t="s">
        <v>4650</v>
      </c>
      <c r="E236" s="731" t="s">
        <v>4651</v>
      </c>
      <c r="F236" s="731" t="s">
        <v>4652</v>
      </c>
      <c r="G236" s="30">
        <v>1</v>
      </c>
      <c r="H236" s="376">
        <v>112000</v>
      </c>
      <c r="I236" s="729">
        <f t="shared" si="19"/>
        <v>112000</v>
      </c>
      <c r="J236" s="119">
        <f>I236*30%</f>
        <v>33600</v>
      </c>
      <c r="K236" s="320">
        <f t="shared" si="23"/>
        <v>78400</v>
      </c>
      <c r="L236" s="86">
        <v>120000</v>
      </c>
      <c r="N236" s="171">
        <f t="shared" si="25"/>
        <v>198400</v>
      </c>
      <c r="O236" s="10" t="s">
        <v>23</v>
      </c>
      <c r="P236" s="713"/>
      <c r="Q236" s="10" t="s">
        <v>40</v>
      </c>
      <c r="S236" s="713"/>
    </row>
    <row r="237" spans="1:19" s="119" customFormat="1" ht="15.6">
      <c r="A237" s="9">
        <v>44370</v>
      </c>
      <c r="B237" s="10" t="s">
        <v>23</v>
      </c>
      <c r="C237" s="10" t="s">
        <v>3570</v>
      </c>
      <c r="D237" s="713" t="s">
        <v>4650</v>
      </c>
      <c r="E237" s="731" t="s">
        <v>735</v>
      </c>
      <c r="F237" s="731" t="s">
        <v>2302</v>
      </c>
      <c r="G237" s="30">
        <v>1</v>
      </c>
      <c r="H237" s="376">
        <v>150000</v>
      </c>
      <c r="I237" s="729">
        <f t="shared" ref="I237:I246" si="26">G237*H237</f>
        <v>150000</v>
      </c>
      <c r="J237" s="119">
        <f t="shared" ref="J237:J246" si="27">I237*30%</f>
        <v>45000</v>
      </c>
      <c r="K237" s="320">
        <f t="shared" si="23"/>
        <v>105000</v>
      </c>
      <c r="N237" s="171">
        <f t="shared" si="25"/>
        <v>105000</v>
      </c>
      <c r="O237" s="10" t="s">
        <v>23</v>
      </c>
      <c r="P237" s="713"/>
      <c r="Q237" s="10" t="s">
        <v>40</v>
      </c>
      <c r="S237" s="713"/>
    </row>
    <row r="238" spans="1:19" s="119" customFormat="1" ht="15.6">
      <c r="A238" s="9">
        <v>44370</v>
      </c>
      <c r="B238" s="10" t="s">
        <v>23</v>
      </c>
      <c r="C238" s="10" t="s">
        <v>3570</v>
      </c>
      <c r="D238" s="713" t="s">
        <v>4650</v>
      </c>
      <c r="E238" s="731" t="s">
        <v>4653</v>
      </c>
      <c r="F238" s="731" t="s">
        <v>4654</v>
      </c>
      <c r="G238" s="30">
        <v>1</v>
      </c>
      <c r="H238" s="376">
        <v>107000</v>
      </c>
      <c r="I238" s="729">
        <f t="shared" si="26"/>
        <v>107000</v>
      </c>
      <c r="J238" s="119">
        <f t="shared" si="27"/>
        <v>32100</v>
      </c>
      <c r="K238" s="320">
        <f t="shared" si="23"/>
        <v>74900</v>
      </c>
      <c r="N238" s="171">
        <f t="shared" si="25"/>
        <v>74900</v>
      </c>
      <c r="O238" s="10" t="s">
        <v>23</v>
      </c>
      <c r="P238" s="713"/>
      <c r="Q238" s="10" t="s">
        <v>40</v>
      </c>
      <c r="S238" s="642"/>
    </row>
    <row r="239" spans="1:19" s="119" customFormat="1" ht="15.6">
      <c r="A239" s="9">
        <v>44370</v>
      </c>
      <c r="B239" s="10" t="s">
        <v>23</v>
      </c>
      <c r="C239" s="10" t="s">
        <v>3570</v>
      </c>
      <c r="D239" s="713" t="s">
        <v>4650</v>
      </c>
      <c r="E239" s="731" t="s">
        <v>4655</v>
      </c>
      <c r="F239" s="731" t="s">
        <v>4656</v>
      </c>
      <c r="G239" s="30">
        <v>1</v>
      </c>
      <c r="H239" s="376">
        <v>200000</v>
      </c>
      <c r="I239" s="729">
        <f t="shared" si="26"/>
        <v>200000</v>
      </c>
      <c r="J239" s="119">
        <f t="shared" si="27"/>
        <v>60000</v>
      </c>
      <c r="K239" s="320">
        <f t="shared" si="23"/>
        <v>140000</v>
      </c>
      <c r="N239" s="171">
        <f t="shared" si="25"/>
        <v>140000</v>
      </c>
      <c r="O239" s="10" t="s">
        <v>23</v>
      </c>
      <c r="P239" s="713"/>
      <c r="Q239" s="10" t="s">
        <v>40</v>
      </c>
      <c r="S239" s="642"/>
    </row>
    <row r="240" spans="1:19" s="119" customFormat="1" ht="15.6">
      <c r="A240" s="9">
        <v>44370</v>
      </c>
      <c r="B240" s="10" t="s">
        <v>23</v>
      </c>
      <c r="C240" s="10" t="s">
        <v>3570</v>
      </c>
      <c r="D240" s="713" t="s">
        <v>4650</v>
      </c>
      <c r="E240" s="731" t="s">
        <v>4657</v>
      </c>
      <c r="F240" s="731" t="s">
        <v>4658</v>
      </c>
      <c r="G240" s="30">
        <v>1</v>
      </c>
      <c r="H240" s="376">
        <v>144000</v>
      </c>
      <c r="I240" s="729">
        <f t="shared" si="26"/>
        <v>144000</v>
      </c>
      <c r="J240" s="119">
        <f t="shared" si="27"/>
        <v>43200</v>
      </c>
      <c r="K240" s="320">
        <f t="shared" si="23"/>
        <v>100800</v>
      </c>
      <c r="N240" s="171">
        <f t="shared" si="25"/>
        <v>100800</v>
      </c>
      <c r="O240" s="10" t="s">
        <v>23</v>
      </c>
      <c r="P240" s="713"/>
      <c r="Q240" s="10" t="s">
        <v>40</v>
      </c>
      <c r="S240" s="713"/>
    </row>
    <row r="241" spans="1:19" s="119" customFormat="1" ht="15.6">
      <c r="A241" s="9">
        <v>44370</v>
      </c>
      <c r="B241" s="10" t="s">
        <v>23</v>
      </c>
      <c r="C241" s="10" t="s">
        <v>3570</v>
      </c>
      <c r="D241" s="713" t="s">
        <v>4650</v>
      </c>
      <c r="E241" s="731" t="s">
        <v>4659</v>
      </c>
      <c r="F241" s="731" t="s">
        <v>4660</v>
      </c>
      <c r="G241" s="30">
        <v>1</v>
      </c>
      <c r="H241" s="376">
        <v>168500</v>
      </c>
      <c r="I241" s="729">
        <f t="shared" si="26"/>
        <v>168500</v>
      </c>
      <c r="J241" s="119">
        <f t="shared" si="27"/>
        <v>50550</v>
      </c>
      <c r="K241" s="320">
        <f t="shared" si="23"/>
        <v>117950</v>
      </c>
      <c r="N241" s="171">
        <f t="shared" si="25"/>
        <v>117950</v>
      </c>
      <c r="O241" s="10" t="s">
        <v>23</v>
      </c>
      <c r="P241" s="713"/>
      <c r="Q241" s="10" t="s">
        <v>40</v>
      </c>
      <c r="S241" s="713"/>
    </row>
    <row r="242" spans="1:19" s="119" customFormat="1" ht="15.6">
      <c r="A242" s="9">
        <v>44370</v>
      </c>
      <c r="B242" s="10" t="s">
        <v>23</v>
      </c>
      <c r="C242" s="10" t="s">
        <v>3570</v>
      </c>
      <c r="D242" s="713" t="s">
        <v>4650</v>
      </c>
      <c r="E242" s="731" t="s">
        <v>3150</v>
      </c>
      <c r="F242" s="731" t="s">
        <v>3151</v>
      </c>
      <c r="G242" s="30">
        <v>1</v>
      </c>
      <c r="H242" s="376">
        <v>142000</v>
      </c>
      <c r="I242" s="729">
        <f t="shared" si="26"/>
        <v>142000</v>
      </c>
      <c r="J242" s="119">
        <f t="shared" si="27"/>
        <v>42600</v>
      </c>
      <c r="K242" s="320">
        <f t="shared" si="23"/>
        <v>99400</v>
      </c>
      <c r="N242" s="171">
        <f t="shared" si="25"/>
        <v>99400</v>
      </c>
      <c r="O242" s="10" t="s">
        <v>23</v>
      </c>
      <c r="P242" s="713"/>
      <c r="Q242" s="10" t="s">
        <v>40</v>
      </c>
    </row>
    <row r="243" spans="1:19" s="119" customFormat="1" ht="15.6">
      <c r="A243" s="9">
        <v>44370</v>
      </c>
      <c r="B243" s="10" t="s">
        <v>23</v>
      </c>
      <c r="C243" s="10" t="s">
        <v>3570</v>
      </c>
      <c r="D243" s="713" t="s">
        <v>4650</v>
      </c>
      <c r="E243" s="731" t="s">
        <v>4312</v>
      </c>
      <c r="F243" s="731" t="s">
        <v>1686</v>
      </c>
      <c r="G243" s="656">
        <v>1</v>
      </c>
      <c r="H243" s="376">
        <v>211000</v>
      </c>
      <c r="I243" s="729">
        <f t="shared" si="26"/>
        <v>211000</v>
      </c>
      <c r="J243" s="119">
        <f t="shared" si="27"/>
        <v>63300</v>
      </c>
      <c r="K243" s="320">
        <f t="shared" si="23"/>
        <v>147700</v>
      </c>
      <c r="N243" s="171">
        <f t="shared" si="25"/>
        <v>147700</v>
      </c>
      <c r="O243" s="10" t="s">
        <v>23</v>
      </c>
      <c r="P243" s="713"/>
      <c r="Q243" s="10" t="s">
        <v>40</v>
      </c>
    </row>
    <row r="244" spans="1:19" s="119" customFormat="1" ht="15.6">
      <c r="A244" s="9">
        <v>44370</v>
      </c>
      <c r="B244" s="10" t="s">
        <v>23</v>
      </c>
      <c r="C244" s="10" t="s">
        <v>3570</v>
      </c>
      <c r="D244" s="713" t="s">
        <v>4650</v>
      </c>
      <c r="E244" s="731" t="s">
        <v>4661</v>
      </c>
      <c r="F244" s="731" t="s">
        <v>4662</v>
      </c>
      <c r="G244" s="30">
        <v>1</v>
      </c>
      <c r="H244" s="376">
        <v>151000</v>
      </c>
      <c r="I244" s="729">
        <f t="shared" si="26"/>
        <v>151000</v>
      </c>
      <c r="J244" s="119">
        <f t="shared" si="27"/>
        <v>45300</v>
      </c>
      <c r="K244" s="320">
        <f t="shared" si="23"/>
        <v>105700</v>
      </c>
      <c r="N244" s="171">
        <f t="shared" si="25"/>
        <v>105700</v>
      </c>
      <c r="O244" s="10" t="s">
        <v>23</v>
      </c>
      <c r="P244" s="713"/>
      <c r="Q244" s="10" t="s">
        <v>40</v>
      </c>
      <c r="S244" s="711"/>
    </row>
    <row r="245" spans="1:19" s="119" customFormat="1" ht="15.6">
      <c r="A245" s="9">
        <v>44370</v>
      </c>
      <c r="B245" s="10" t="s">
        <v>23</v>
      </c>
      <c r="C245" s="10" t="s">
        <v>3570</v>
      </c>
      <c r="D245" s="713" t="s">
        <v>4650</v>
      </c>
      <c r="E245" s="731" t="s">
        <v>4663</v>
      </c>
      <c r="F245" s="731" t="s">
        <v>3516</v>
      </c>
      <c r="G245" s="30">
        <v>1</v>
      </c>
      <c r="H245" s="376">
        <v>90000</v>
      </c>
      <c r="I245" s="729">
        <f t="shared" si="26"/>
        <v>90000</v>
      </c>
      <c r="J245" s="119">
        <f t="shared" si="27"/>
        <v>27000</v>
      </c>
      <c r="K245" s="320">
        <f t="shared" si="23"/>
        <v>63000</v>
      </c>
      <c r="N245" s="171">
        <f t="shared" si="25"/>
        <v>63000</v>
      </c>
      <c r="O245" s="10" t="s">
        <v>23</v>
      </c>
      <c r="P245" s="713"/>
      <c r="Q245" s="10" t="s">
        <v>40</v>
      </c>
      <c r="S245" s="711"/>
    </row>
    <row r="246" spans="1:19" s="119" customFormat="1" ht="15.6">
      <c r="A246" s="9">
        <v>44370</v>
      </c>
      <c r="B246" s="10" t="s">
        <v>23</v>
      </c>
      <c r="C246" s="10" t="s">
        <v>3570</v>
      </c>
      <c r="D246" s="713" t="s">
        <v>4650</v>
      </c>
      <c r="E246" s="732" t="s">
        <v>4664</v>
      </c>
      <c r="F246" s="733" t="s">
        <v>4665</v>
      </c>
      <c r="G246" s="30">
        <v>1</v>
      </c>
      <c r="H246" s="376">
        <v>111500</v>
      </c>
      <c r="I246" s="729">
        <f t="shared" si="26"/>
        <v>111500</v>
      </c>
      <c r="J246" s="119">
        <f t="shared" si="27"/>
        <v>33450</v>
      </c>
      <c r="K246" s="320">
        <f t="shared" si="23"/>
        <v>78050</v>
      </c>
      <c r="N246" s="171">
        <f t="shared" si="25"/>
        <v>78050</v>
      </c>
      <c r="O246" s="10" t="s">
        <v>23</v>
      </c>
      <c r="P246" s="711"/>
      <c r="Q246" s="10" t="s">
        <v>40</v>
      </c>
      <c r="S246" s="711"/>
    </row>
    <row r="247" spans="1:19" s="20" customFormat="1" hidden="1">
      <c r="G247" s="20">
        <f>SUM(G2:G246)</f>
        <v>376</v>
      </c>
      <c r="K247" s="320">
        <f>SUM(K2:K246)</f>
        <v>31119725</v>
      </c>
      <c r="N247" s="171">
        <f t="shared" si="25"/>
        <v>31119725</v>
      </c>
    </row>
    <row r="248" spans="1:19" s="20" customFormat="1"/>
    <row r="249" spans="1:19" s="20" customFormat="1"/>
    <row r="250" spans="1:19" s="20" customFormat="1"/>
    <row r="251" spans="1:19" s="20" customFormat="1"/>
    <row r="252" spans="1:19" s="20" customFormat="1"/>
    <row r="253" spans="1:19" s="20" customFormat="1"/>
    <row r="254" spans="1:19" s="20" customFormat="1"/>
    <row r="255" spans="1:19" s="20" customFormat="1"/>
  </sheetData>
  <autoFilter ref="A1:W247" xr:uid="{00000000-0009-0000-0000-000005000000}">
    <filterColumn colId="1">
      <filters>
        <filter val="wa"/>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W257"/>
  <sheetViews>
    <sheetView topLeftCell="A188" workbookViewId="0">
      <selection activeCell="D213" sqref="D213"/>
    </sheetView>
  </sheetViews>
  <sheetFormatPr defaultRowHeight="14.4"/>
  <cols>
    <col min="1" max="1" width="8.88671875" customWidth="1"/>
  </cols>
  <sheetData>
    <row r="1" spans="1:23" s="736" customFormat="1">
      <c r="A1" s="411" t="s">
        <v>0</v>
      </c>
      <c r="B1" s="412" t="s">
        <v>4666</v>
      </c>
      <c r="C1" s="412" t="s">
        <v>4667</v>
      </c>
      <c r="D1" s="412" t="s">
        <v>3</v>
      </c>
      <c r="E1" s="412" t="s">
        <v>4</v>
      </c>
      <c r="F1" s="412" t="s">
        <v>5</v>
      </c>
      <c r="G1" s="414" t="s">
        <v>4668</v>
      </c>
      <c r="H1" s="416" t="s">
        <v>6</v>
      </c>
      <c r="I1" s="735" t="s">
        <v>8</v>
      </c>
      <c r="J1" s="416" t="s">
        <v>9</v>
      </c>
      <c r="K1" s="416" t="s">
        <v>10</v>
      </c>
      <c r="L1" s="416" t="s">
        <v>11</v>
      </c>
      <c r="M1" s="416" t="s">
        <v>12</v>
      </c>
      <c r="N1" s="416" t="s">
        <v>13</v>
      </c>
      <c r="O1" s="418" t="s">
        <v>14</v>
      </c>
      <c r="P1" s="419" t="s">
        <v>15</v>
      </c>
      <c r="Q1" s="412" t="s">
        <v>16</v>
      </c>
      <c r="R1" s="412" t="s">
        <v>17</v>
      </c>
      <c r="S1" s="414" t="s">
        <v>18</v>
      </c>
      <c r="T1" s="416" t="s">
        <v>19</v>
      </c>
      <c r="U1" s="416" t="s">
        <v>20</v>
      </c>
      <c r="V1" s="416" t="s">
        <v>21</v>
      </c>
      <c r="W1" s="418" t="s">
        <v>22</v>
      </c>
    </row>
    <row r="2" spans="1:23" s="364" customFormat="1" hidden="1">
      <c r="A2" s="9">
        <v>44371</v>
      </c>
      <c r="B2" s="91" t="s">
        <v>43</v>
      </c>
      <c r="C2" s="91" t="s">
        <v>4669</v>
      </c>
      <c r="D2" s="365" t="s">
        <v>4670</v>
      </c>
      <c r="E2" s="738" t="s">
        <v>4671</v>
      </c>
      <c r="F2" s="738" t="s">
        <v>4672</v>
      </c>
      <c r="G2" s="30">
        <v>1</v>
      </c>
      <c r="H2" s="365">
        <v>83000</v>
      </c>
      <c r="I2" s="365">
        <f t="shared" ref="I2:I33" si="0">H2*G2</f>
        <v>83000</v>
      </c>
      <c r="J2" s="365"/>
      <c r="K2" s="365">
        <f t="shared" ref="K2:K33" si="1">I2-J2</f>
        <v>83000</v>
      </c>
      <c r="L2" s="365"/>
      <c r="M2" s="365">
        <v>-17836</v>
      </c>
      <c r="N2" s="365">
        <f t="shared" ref="N2:N33" si="2">K2+L2+M2</f>
        <v>65164</v>
      </c>
      <c r="O2" s="91" t="s">
        <v>43</v>
      </c>
      <c r="P2" s="11"/>
      <c r="Q2" s="91" t="s">
        <v>54</v>
      </c>
      <c r="R2" s="365"/>
      <c r="S2" s="365"/>
      <c r="T2" s="365"/>
      <c r="U2" s="365"/>
      <c r="V2" s="365"/>
      <c r="W2" s="365"/>
    </row>
    <row r="3" spans="1:23" s="364" customFormat="1" hidden="1">
      <c r="A3" s="9">
        <v>44371</v>
      </c>
      <c r="B3" s="91" t="s">
        <v>43</v>
      </c>
      <c r="C3" s="91" t="s">
        <v>4669</v>
      </c>
      <c r="D3" s="365" t="s">
        <v>4673</v>
      </c>
      <c r="E3" s="738" t="s">
        <v>4674</v>
      </c>
      <c r="F3" s="738" t="s">
        <v>4675</v>
      </c>
      <c r="G3" s="30">
        <v>1</v>
      </c>
      <c r="H3" s="365">
        <v>77000</v>
      </c>
      <c r="I3" s="365">
        <f t="shared" si="0"/>
        <v>77000</v>
      </c>
      <c r="J3" s="365"/>
      <c r="K3" s="365">
        <f t="shared" si="1"/>
        <v>77000</v>
      </c>
      <c r="L3" s="365"/>
      <c r="M3" s="365"/>
      <c r="N3" s="365">
        <f t="shared" si="2"/>
        <v>77000</v>
      </c>
      <c r="O3" s="91" t="s">
        <v>43</v>
      </c>
      <c r="P3" s="10"/>
      <c r="Q3" s="91" t="s">
        <v>54</v>
      </c>
      <c r="R3" s="365"/>
      <c r="S3" s="365"/>
      <c r="T3" s="365"/>
      <c r="U3" s="365"/>
      <c r="V3" s="365"/>
      <c r="W3" s="365"/>
    </row>
    <row r="4" spans="1:23" s="364" customFormat="1" hidden="1">
      <c r="A4" s="9">
        <v>44371</v>
      </c>
      <c r="B4" s="91" t="s">
        <v>43</v>
      </c>
      <c r="C4" s="91" t="s">
        <v>4669</v>
      </c>
      <c r="D4" s="365" t="s">
        <v>4676</v>
      </c>
      <c r="E4" s="738" t="s">
        <v>4677</v>
      </c>
      <c r="F4" s="738" t="s">
        <v>4678</v>
      </c>
      <c r="G4" s="30">
        <v>1</v>
      </c>
      <c r="H4" s="365">
        <v>51500</v>
      </c>
      <c r="I4" s="365">
        <f t="shared" si="0"/>
        <v>51500</v>
      </c>
      <c r="J4" s="365"/>
      <c r="K4" s="365">
        <f t="shared" si="1"/>
        <v>51500</v>
      </c>
      <c r="L4" s="365"/>
      <c r="M4" s="365"/>
      <c r="N4" s="365">
        <f t="shared" si="2"/>
        <v>51500</v>
      </c>
      <c r="O4" s="91" t="s">
        <v>43</v>
      </c>
      <c r="P4" s="10"/>
      <c r="Q4" s="91" t="s">
        <v>54</v>
      </c>
      <c r="R4" s="365"/>
      <c r="S4" s="365"/>
      <c r="T4" s="365"/>
      <c r="U4" s="365"/>
      <c r="V4" s="365"/>
      <c r="W4" s="365"/>
    </row>
    <row r="5" spans="1:23" s="364" customFormat="1" hidden="1">
      <c r="A5" s="9">
        <v>44371</v>
      </c>
      <c r="B5" s="91" t="s">
        <v>43</v>
      </c>
      <c r="C5" s="91" t="s">
        <v>4669</v>
      </c>
      <c r="D5" s="365" t="s">
        <v>4679</v>
      </c>
      <c r="E5" s="738" t="s">
        <v>2250</v>
      </c>
      <c r="F5" s="738" t="s">
        <v>2251</v>
      </c>
      <c r="G5" s="30">
        <v>1</v>
      </c>
      <c r="H5" s="17">
        <v>107000</v>
      </c>
      <c r="I5" s="365">
        <f t="shared" si="0"/>
        <v>107000</v>
      </c>
      <c r="J5" s="365"/>
      <c r="K5" s="365">
        <f t="shared" si="1"/>
        <v>107000</v>
      </c>
      <c r="L5" s="365"/>
      <c r="M5" s="365"/>
      <c r="N5" s="365">
        <f t="shared" si="2"/>
        <v>107000</v>
      </c>
      <c r="O5" s="91" t="s">
        <v>43</v>
      </c>
      <c r="P5" s="10"/>
      <c r="Q5" s="91" t="s">
        <v>54</v>
      </c>
      <c r="R5" s="365"/>
      <c r="S5" s="737"/>
      <c r="T5" s="365"/>
      <c r="U5" s="365"/>
      <c r="V5" s="365"/>
      <c r="W5" s="365"/>
    </row>
    <row r="6" spans="1:23" s="364" customFormat="1" hidden="1">
      <c r="A6" s="9">
        <v>44371</v>
      </c>
      <c r="B6" s="91" t="s">
        <v>43</v>
      </c>
      <c r="C6" s="123" t="s">
        <v>4680</v>
      </c>
      <c r="D6" s="17" t="s">
        <v>4681</v>
      </c>
      <c r="E6" s="739" t="s">
        <v>4047</v>
      </c>
      <c r="F6" s="739" t="s">
        <v>4048</v>
      </c>
      <c r="G6" s="30">
        <v>1</v>
      </c>
      <c r="H6" s="17">
        <v>192500</v>
      </c>
      <c r="I6" s="365">
        <f t="shared" si="0"/>
        <v>192500</v>
      </c>
      <c r="J6" s="365">
        <f>I6*20%</f>
        <v>38500</v>
      </c>
      <c r="K6" s="365">
        <f t="shared" si="1"/>
        <v>154000</v>
      </c>
      <c r="L6" s="365"/>
      <c r="M6" s="365">
        <v>-3624</v>
      </c>
      <c r="N6" s="365">
        <f t="shared" si="2"/>
        <v>150376</v>
      </c>
      <c r="O6" s="91" t="s">
        <v>43</v>
      </c>
      <c r="P6" s="10"/>
      <c r="Q6" s="91" t="s">
        <v>176</v>
      </c>
      <c r="R6" s="365"/>
      <c r="S6" s="365"/>
      <c r="T6" s="365"/>
      <c r="U6" s="365"/>
      <c r="V6" s="365"/>
      <c r="W6" s="365"/>
    </row>
    <row r="7" spans="1:23" s="364" customFormat="1" hidden="1">
      <c r="A7" s="9">
        <v>44371</v>
      </c>
      <c r="B7" s="91" t="s">
        <v>43</v>
      </c>
      <c r="C7" s="123" t="s">
        <v>4682</v>
      </c>
      <c r="D7" s="17" t="s">
        <v>4683</v>
      </c>
      <c r="E7" s="739" t="s">
        <v>4684</v>
      </c>
      <c r="F7" s="739" t="s">
        <v>4307</v>
      </c>
      <c r="G7" s="30">
        <v>1</v>
      </c>
      <c r="H7" s="17">
        <v>108500</v>
      </c>
      <c r="I7" s="365">
        <f t="shared" si="0"/>
        <v>108500</v>
      </c>
      <c r="J7" s="365"/>
      <c r="K7" s="365">
        <f t="shared" si="1"/>
        <v>108500</v>
      </c>
      <c r="L7" s="365"/>
      <c r="M7" s="365">
        <v>-6076</v>
      </c>
      <c r="N7" s="365">
        <f t="shared" si="2"/>
        <v>102424</v>
      </c>
      <c r="O7" s="91" t="s">
        <v>43</v>
      </c>
      <c r="P7" s="10"/>
      <c r="Q7" s="91" t="s">
        <v>54</v>
      </c>
      <c r="R7" s="365"/>
      <c r="S7" s="365"/>
      <c r="T7" s="365"/>
      <c r="U7" s="365"/>
      <c r="V7" s="365"/>
      <c r="W7" s="365"/>
    </row>
    <row r="8" spans="1:23" s="364" customFormat="1" hidden="1">
      <c r="A8" s="9">
        <v>44371</v>
      </c>
      <c r="B8" s="91" t="s">
        <v>43</v>
      </c>
      <c r="C8" s="123" t="s">
        <v>4685</v>
      </c>
      <c r="D8" s="17" t="s">
        <v>4686</v>
      </c>
      <c r="E8" s="739" t="s">
        <v>579</v>
      </c>
      <c r="F8" s="739" t="s">
        <v>72</v>
      </c>
      <c r="G8" s="30">
        <v>1</v>
      </c>
      <c r="H8" s="17">
        <v>108000</v>
      </c>
      <c r="I8" s="365">
        <f t="shared" si="0"/>
        <v>108000</v>
      </c>
      <c r="J8" s="365"/>
      <c r="K8" s="365">
        <f t="shared" si="1"/>
        <v>108000</v>
      </c>
      <c r="L8" s="365"/>
      <c r="M8" s="365">
        <v>-6048</v>
      </c>
      <c r="N8" s="365">
        <f t="shared" si="2"/>
        <v>101952</v>
      </c>
      <c r="O8" s="91" t="s">
        <v>43</v>
      </c>
      <c r="P8" s="10"/>
      <c r="Q8" s="91" t="s">
        <v>54</v>
      </c>
      <c r="R8" s="365"/>
      <c r="S8" s="365"/>
      <c r="T8" s="365"/>
      <c r="U8" s="365"/>
      <c r="V8" s="365"/>
      <c r="W8" s="365"/>
    </row>
    <row r="9" spans="1:23" s="364" customFormat="1">
      <c r="A9" s="9">
        <v>44371</v>
      </c>
      <c r="B9" s="91" t="s">
        <v>23</v>
      </c>
      <c r="C9" s="123" t="s">
        <v>4687</v>
      </c>
      <c r="D9" s="740" t="s">
        <v>4688</v>
      </c>
      <c r="E9" s="739" t="s">
        <v>3731</v>
      </c>
      <c r="F9" s="739" t="s">
        <v>3732</v>
      </c>
      <c r="G9" s="30">
        <v>1</v>
      </c>
      <c r="H9" s="17">
        <v>89000</v>
      </c>
      <c r="I9" s="365">
        <f t="shared" si="0"/>
        <v>89000</v>
      </c>
      <c r="J9" s="365"/>
      <c r="K9" s="365">
        <f t="shared" si="1"/>
        <v>89000</v>
      </c>
      <c r="L9" s="365">
        <v>51000</v>
      </c>
      <c r="M9" s="365"/>
      <c r="N9" s="365">
        <f t="shared" si="2"/>
        <v>140000</v>
      </c>
      <c r="O9" s="91" t="s">
        <v>23</v>
      </c>
      <c r="P9" s="10"/>
      <c r="Q9" s="91" t="s">
        <v>40</v>
      </c>
      <c r="R9" s="365"/>
      <c r="S9" s="365"/>
      <c r="T9" s="365"/>
      <c r="U9" s="365"/>
      <c r="V9" s="365"/>
      <c r="W9" s="365"/>
    </row>
    <row r="10" spans="1:23" s="364" customFormat="1">
      <c r="A10" s="9">
        <v>44371</v>
      </c>
      <c r="B10" s="91" t="s">
        <v>23</v>
      </c>
      <c r="C10" s="123" t="s">
        <v>4689</v>
      </c>
      <c r="D10" s="740" t="s">
        <v>4690</v>
      </c>
      <c r="E10" s="739" t="s">
        <v>3336</v>
      </c>
      <c r="F10" s="739" t="s">
        <v>3337</v>
      </c>
      <c r="G10" s="30">
        <v>1</v>
      </c>
      <c r="H10" s="17">
        <v>105000</v>
      </c>
      <c r="I10" s="365">
        <f t="shared" si="0"/>
        <v>105000</v>
      </c>
      <c r="J10" s="365"/>
      <c r="K10" s="365">
        <f t="shared" si="1"/>
        <v>105000</v>
      </c>
      <c r="L10" s="365">
        <v>26000</v>
      </c>
      <c r="M10" s="365"/>
      <c r="N10" s="365">
        <f t="shared" si="2"/>
        <v>131000</v>
      </c>
      <c r="O10" s="91" t="s">
        <v>23</v>
      </c>
      <c r="P10" s="10"/>
      <c r="Q10" s="91" t="s">
        <v>40</v>
      </c>
      <c r="R10" s="365"/>
      <c r="S10" s="365"/>
      <c r="T10" s="365"/>
      <c r="U10" s="365"/>
      <c r="V10" s="365"/>
      <c r="W10" s="365"/>
    </row>
    <row r="11" spans="1:23" s="364" customFormat="1" hidden="1">
      <c r="A11" s="9">
        <v>44372</v>
      </c>
      <c r="B11" s="91" t="s">
        <v>313</v>
      </c>
      <c r="C11" s="91" t="s">
        <v>4691</v>
      </c>
      <c r="D11" s="740" t="s">
        <v>4692</v>
      </c>
      <c r="E11" s="739" t="s">
        <v>4693</v>
      </c>
      <c r="F11" s="739" t="s">
        <v>4694</v>
      </c>
      <c r="G11" s="30">
        <v>1</v>
      </c>
      <c r="H11" s="17">
        <v>76000</v>
      </c>
      <c r="I11" s="17">
        <f t="shared" si="0"/>
        <v>76000</v>
      </c>
      <c r="J11" s="365"/>
      <c r="K11" s="17">
        <f t="shared" si="1"/>
        <v>76000</v>
      </c>
      <c r="L11" s="365">
        <v>70029</v>
      </c>
      <c r="M11" s="365"/>
      <c r="N11" s="365">
        <f t="shared" si="2"/>
        <v>146029</v>
      </c>
      <c r="O11" s="91" t="s">
        <v>313</v>
      </c>
      <c r="P11" s="11"/>
      <c r="Q11" s="91" t="s">
        <v>28</v>
      </c>
      <c r="R11" s="365"/>
      <c r="S11" s="365"/>
      <c r="T11" s="365"/>
      <c r="U11" s="365"/>
      <c r="V11" s="365"/>
      <c r="W11" s="365"/>
    </row>
    <row r="12" spans="1:23" s="364" customFormat="1">
      <c r="A12" s="9">
        <v>44372</v>
      </c>
      <c r="B12" s="91" t="s">
        <v>23</v>
      </c>
      <c r="C12" s="123" t="s">
        <v>4695</v>
      </c>
      <c r="D12" s="740" t="s">
        <v>4696</v>
      </c>
      <c r="E12" s="739" t="s">
        <v>4697</v>
      </c>
      <c r="F12" s="739" t="s">
        <v>4698</v>
      </c>
      <c r="G12" s="30">
        <v>1</v>
      </c>
      <c r="H12" s="17">
        <v>48000</v>
      </c>
      <c r="I12" s="17">
        <f t="shared" si="0"/>
        <v>48000</v>
      </c>
      <c r="J12" s="365"/>
      <c r="K12" s="17">
        <f t="shared" si="1"/>
        <v>48000</v>
      </c>
      <c r="L12" s="17">
        <v>35000</v>
      </c>
      <c r="M12" s="365"/>
      <c r="N12" s="365">
        <f t="shared" si="2"/>
        <v>83000</v>
      </c>
      <c r="O12" s="91" t="s">
        <v>23</v>
      </c>
      <c r="P12" s="10"/>
      <c r="Q12" s="10" t="s">
        <v>4699</v>
      </c>
      <c r="R12" s="365"/>
      <c r="S12" s="365"/>
      <c r="T12" s="365"/>
      <c r="U12" s="365"/>
      <c r="V12" s="365"/>
      <c r="W12" s="365"/>
    </row>
    <row r="13" spans="1:23" s="364" customFormat="1">
      <c r="A13" s="9">
        <v>44372</v>
      </c>
      <c r="B13" s="91" t="s">
        <v>23</v>
      </c>
      <c r="C13" s="91" t="s">
        <v>4700</v>
      </c>
      <c r="D13" s="740" t="s">
        <v>4701</v>
      </c>
      <c r="E13" s="739" t="s">
        <v>4702</v>
      </c>
      <c r="F13" s="739" t="s">
        <v>4703</v>
      </c>
      <c r="G13" s="30">
        <v>1</v>
      </c>
      <c r="H13" s="17">
        <v>101000</v>
      </c>
      <c r="I13" s="17">
        <f t="shared" si="0"/>
        <v>101000</v>
      </c>
      <c r="J13" s="365"/>
      <c r="K13" s="17">
        <f t="shared" si="1"/>
        <v>101000</v>
      </c>
      <c r="L13" s="17">
        <v>68000</v>
      </c>
      <c r="M13" s="365"/>
      <c r="N13" s="365">
        <f t="shared" si="2"/>
        <v>169000</v>
      </c>
      <c r="O13" s="91" t="s">
        <v>23</v>
      </c>
      <c r="P13" s="11"/>
      <c r="Q13" s="91" t="s">
        <v>54</v>
      </c>
      <c r="R13" s="365"/>
      <c r="S13" s="737"/>
      <c r="T13" s="365"/>
      <c r="U13" s="365"/>
      <c r="V13" s="365"/>
      <c r="W13" s="365"/>
    </row>
    <row r="14" spans="1:23" s="364" customFormat="1">
      <c r="A14" s="9">
        <v>44372</v>
      </c>
      <c r="B14" s="91" t="s">
        <v>23</v>
      </c>
      <c r="C14" s="91" t="s">
        <v>4704</v>
      </c>
      <c r="D14" s="92" t="s">
        <v>4705</v>
      </c>
      <c r="E14" s="739" t="s">
        <v>4706</v>
      </c>
      <c r="F14" s="739" t="s">
        <v>4707</v>
      </c>
      <c r="G14" s="30">
        <v>10</v>
      </c>
      <c r="H14" s="17">
        <v>175000</v>
      </c>
      <c r="I14" s="17">
        <f t="shared" si="0"/>
        <v>1750000</v>
      </c>
      <c r="J14" s="365">
        <f>I14*25%</f>
        <v>437500</v>
      </c>
      <c r="K14" s="17">
        <f t="shared" si="1"/>
        <v>1312500</v>
      </c>
      <c r="L14" s="17">
        <v>125000</v>
      </c>
      <c r="M14" s="365"/>
      <c r="N14" s="17">
        <f t="shared" si="2"/>
        <v>1437500</v>
      </c>
      <c r="O14" s="91" t="s">
        <v>23</v>
      </c>
      <c r="P14" s="11"/>
      <c r="Q14" s="91"/>
      <c r="R14" s="365"/>
      <c r="S14" s="737"/>
      <c r="T14" s="365"/>
      <c r="U14" s="365"/>
      <c r="V14" s="365"/>
      <c r="W14" s="365"/>
    </row>
    <row r="15" spans="1:23" s="364" customFormat="1">
      <c r="A15" s="9">
        <v>44372</v>
      </c>
      <c r="B15" s="91" t="s">
        <v>23</v>
      </c>
      <c r="C15" s="91" t="s">
        <v>4704</v>
      </c>
      <c r="D15" s="92" t="s">
        <v>4705</v>
      </c>
      <c r="E15" s="739" t="s">
        <v>4708</v>
      </c>
      <c r="F15" s="739" t="s">
        <v>4709</v>
      </c>
      <c r="G15" s="30">
        <v>5</v>
      </c>
      <c r="H15" s="17">
        <v>133500</v>
      </c>
      <c r="I15" s="17">
        <f t="shared" si="0"/>
        <v>667500</v>
      </c>
      <c r="J15" s="365">
        <f>I15*25%</f>
        <v>166875</v>
      </c>
      <c r="K15" s="17">
        <f t="shared" si="1"/>
        <v>500625</v>
      </c>
      <c r="L15" s="17"/>
      <c r="M15" s="365"/>
      <c r="N15" s="17">
        <f t="shared" si="2"/>
        <v>500625</v>
      </c>
      <c r="O15" s="91" t="s">
        <v>23</v>
      </c>
      <c r="P15" s="11"/>
      <c r="Q15" s="91"/>
      <c r="R15" s="365"/>
      <c r="S15" s="737"/>
      <c r="T15" s="365"/>
      <c r="U15" s="365"/>
      <c r="V15" s="365"/>
      <c r="W15" s="365"/>
    </row>
    <row r="16" spans="1:23" s="364" customFormat="1" hidden="1">
      <c r="A16" s="9">
        <v>44375</v>
      </c>
      <c r="B16" s="91" t="s">
        <v>43</v>
      </c>
      <c r="C16" s="123" t="s">
        <v>4710</v>
      </c>
      <c r="D16" s="740" t="s">
        <v>4711</v>
      </c>
      <c r="E16" s="739" t="s">
        <v>4012</v>
      </c>
      <c r="F16" s="739" t="s">
        <v>4013</v>
      </c>
      <c r="G16" s="30">
        <v>1</v>
      </c>
      <c r="H16" s="17">
        <v>91000</v>
      </c>
      <c r="I16" s="17">
        <f t="shared" si="0"/>
        <v>91000</v>
      </c>
      <c r="J16" s="365"/>
      <c r="K16" s="17">
        <f t="shared" si="1"/>
        <v>91000</v>
      </c>
      <c r="L16" s="365"/>
      <c r="M16" s="365">
        <v>-5096</v>
      </c>
      <c r="N16" s="365">
        <f t="shared" si="2"/>
        <v>85904</v>
      </c>
      <c r="O16" s="91" t="s">
        <v>43</v>
      </c>
      <c r="P16" s="10"/>
      <c r="Q16" s="91" t="s">
        <v>54</v>
      </c>
      <c r="R16" s="365"/>
      <c r="S16" s="365"/>
      <c r="T16" s="365"/>
      <c r="U16" s="365"/>
      <c r="V16" s="365"/>
      <c r="W16" s="365"/>
    </row>
    <row r="17" spans="1:23" s="364" customFormat="1" hidden="1">
      <c r="A17" s="9">
        <v>44375</v>
      </c>
      <c r="B17" s="91" t="s">
        <v>43</v>
      </c>
      <c r="C17" s="91" t="s">
        <v>4712</v>
      </c>
      <c r="D17" s="92" t="s">
        <v>4713</v>
      </c>
      <c r="E17" s="739" t="s">
        <v>579</v>
      </c>
      <c r="F17" s="739" t="s">
        <v>72</v>
      </c>
      <c r="G17" s="741">
        <v>1</v>
      </c>
      <c r="H17" s="17">
        <v>108000</v>
      </c>
      <c r="I17" s="17">
        <f t="shared" si="0"/>
        <v>108000</v>
      </c>
      <c r="J17" s="365"/>
      <c r="K17" s="17">
        <f t="shared" si="1"/>
        <v>108000</v>
      </c>
      <c r="L17" s="365"/>
      <c r="M17" s="365">
        <v>-6048</v>
      </c>
      <c r="N17" s="365">
        <f t="shared" si="2"/>
        <v>101952</v>
      </c>
      <c r="O17" s="91" t="s">
        <v>43</v>
      </c>
      <c r="P17" s="11"/>
      <c r="Q17" s="91" t="s">
        <v>54</v>
      </c>
      <c r="R17" s="365"/>
      <c r="S17" s="365"/>
      <c r="T17" s="365"/>
      <c r="U17" s="365"/>
      <c r="V17" s="365"/>
      <c r="W17" s="365"/>
    </row>
    <row r="18" spans="1:23" s="364" customFormat="1" hidden="1">
      <c r="A18" s="9">
        <v>44375</v>
      </c>
      <c r="B18" s="91" t="s">
        <v>170</v>
      </c>
      <c r="C18" s="91" t="s">
        <v>4714</v>
      </c>
      <c r="D18" s="92" t="s">
        <v>4715</v>
      </c>
      <c r="E18" s="739" t="s">
        <v>2641</v>
      </c>
      <c r="F18" s="739" t="s">
        <v>2642</v>
      </c>
      <c r="G18" s="30">
        <v>1</v>
      </c>
      <c r="H18" s="17">
        <v>91000</v>
      </c>
      <c r="I18" s="17">
        <f t="shared" si="0"/>
        <v>91000</v>
      </c>
      <c r="J18" s="365"/>
      <c r="K18" s="17">
        <f t="shared" si="1"/>
        <v>91000</v>
      </c>
      <c r="L18" s="365">
        <f>117000-117000</f>
        <v>0</v>
      </c>
      <c r="M18" s="365"/>
      <c r="N18" s="365">
        <f t="shared" si="2"/>
        <v>91000</v>
      </c>
      <c r="O18" s="91" t="s">
        <v>170</v>
      </c>
      <c r="P18" s="11"/>
      <c r="Q18" s="91" t="s">
        <v>176</v>
      </c>
      <c r="R18" s="365"/>
      <c r="S18" s="365"/>
      <c r="T18" s="365"/>
      <c r="U18" s="365"/>
      <c r="V18" s="365"/>
      <c r="W18" s="365"/>
    </row>
    <row r="19" spans="1:23" s="364" customFormat="1" hidden="1">
      <c r="A19" s="9">
        <v>44375</v>
      </c>
      <c r="B19" s="91" t="s">
        <v>177</v>
      </c>
      <c r="C19" s="123" t="s">
        <v>4716</v>
      </c>
      <c r="D19" s="92" t="s">
        <v>4717</v>
      </c>
      <c r="E19" s="739" t="s">
        <v>899</v>
      </c>
      <c r="F19" s="739" t="s">
        <v>900</v>
      </c>
      <c r="G19" s="30">
        <v>1</v>
      </c>
      <c r="H19" s="17">
        <v>78000</v>
      </c>
      <c r="I19" s="17">
        <f t="shared" si="0"/>
        <v>78000</v>
      </c>
      <c r="J19" s="365"/>
      <c r="K19" s="17">
        <f t="shared" si="1"/>
        <v>78000</v>
      </c>
      <c r="L19" s="365">
        <v>9000</v>
      </c>
      <c r="M19" s="365"/>
      <c r="N19" s="365">
        <f t="shared" si="2"/>
        <v>87000</v>
      </c>
      <c r="O19" s="91" t="s">
        <v>177</v>
      </c>
      <c r="P19" s="11"/>
      <c r="Q19" s="91" t="s">
        <v>54</v>
      </c>
      <c r="R19" s="365"/>
      <c r="S19" s="365"/>
      <c r="T19" s="365"/>
      <c r="U19" s="365"/>
      <c r="V19" s="365"/>
      <c r="W19" s="365"/>
    </row>
    <row r="20" spans="1:23" s="364" customFormat="1" hidden="1">
      <c r="A20" s="9">
        <v>44375</v>
      </c>
      <c r="B20" s="91" t="s">
        <v>177</v>
      </c>
      <c r="C20" s="91" t="s">
        <v>4718</v>
      </c>
      <c r="D20" s="92" t="s">
        <v>4719</v>
      </c>
      <c r="E20" s="739" t="s">
        <v>4720</v>
      </c>
      <c r="F20" s="739" t="s">
        <v>4721</v>
      </c>
      <c r="G20" s="30">
        <v>1</v>
      </c>
      <c r="H20" s="17">
        <v>99000</v>
      </c>
      <c r="I20" s="17">
        <f t="shared" si="0"/>
        <v>99000</v>
      </c>
      <c r="J20" s="365"/>
      <c r="K20" s="17">
        <f t="shared" si="1"/>
        <v>99000</v>
      </c>
      <c r="L20" s="365">
        <v>40000</v>
      </c>
      <c r="M20" s="365"/>
      <c r="N20" s="365">
        <f t="shared" si="2"/>
        <v>139000</v>
      </c>
      <c r="O20" s="91" t="s">
        <v>177</v>
      </c>
      <c r="P20" s="11"/>
      <c r="Q20" s="91" t="s">
        <v>54</v>
      </c>
      <c r="R20" s="365"/>
      <c r="S20" s="365"/>
      <c r="T20" s="365"/>
      <c r="U20" s="365"/>
      <c r="V20" s="365"/>
      <c r="W20" s="365"/>
    </row>
    <row r="21" spans="1:23" s="364" customFormat="1">
      <c r="A21" s="9">
        <v>44375</v>
      </c>
      <c r="B21" s="91" t="s">
        <v>23</v>
      </c>
      <c r="C21" s="123" t="s">
        <v>4632</v>
      </c>
      <c r="D21" s="92" t="s">
        <v>4722</v>
      </c>
      <c r="E21" s="739" t="s">
        <v>2547</v>
      </c>
      <c r="F21" s="739" t="s">
        <v>2548</v>
      </c>
      <c r="G21" s="30">
        <v>2</v>
      </c>
      <c r="H21" s="17">
        <v>70700</v>
      </c>
      <c r="I21" s="17">
        <f t="shared" si="0"/>
        <v>141400</v>
      </c>
      <c r="J21" s="365"/>
      <c r="K21" s="17">
        <f t="shared" si="1"/>
        <v>141400</v>
      </c>
      <c r="L21" s="365">
        <v>19000</v>
      </c>
      <c r="M21" s="365"/>
      <c r="N21" s="365">
        <f t="shared" si="2"/>
        <v>160400</v>
      </c>
      <c r="O21" s="91" t="s">
        <v>23</v>
      </c>
      <c r="P21" s="11"/>
      <c r="Q21" s="91" t="s">
        <v>54</v>
      </c>
      <c r="R21" s="365"/>
      <c r="S21" s="365"/>
      <c r="T21" s="365"/>
      <c r="U21" s="365"/>
      <c r="V21" s="365"/>
      <c r="W21" s="365"/>
    </row>
    <row r="22" spans="1:23" s="364" customFormat="1" hidden="1">
      <c r="A22" s="9">
        <v>44376</v>
      </c>
      <c r="B22" s="91" t="s">
        <v>170</v>
      </c>
      <c r="C22" s="91" t="s">
        <v>4723</v>
      </c>
      <c r="D22" s="92" t="s">
        <v>4724</v>
      </c>
      <c r="E22" s="739" t="s">
        <v>2497</v>
      </c>
      <c r="F22" s="739" t="s">
        <v>2498</v>
      </c>
      <c r="G22" s="30">
        <v>1</v>
      </c>
      <c r="H22" s="17">
        <v>72500</v>
      </c>
      <c r="I22" s="17">
        <f t="shared" si="0"/>
        <v>72500</v>
      </c>
      <c r="J22" s="365"/>
      <c r="K22" s="17">
        <f t="shared" si="1"/>
        <v>72500</v>
      </c>
      <c r="L22" s="365">
        <f>12000-12000</f>
        <v>0</v>
      </c>
      <c r="M22" s="365"/>
      <c r="N22" s="365">
        <f t="shared" si="2"/>
        <v>72500</v>
      </c>
      <c r="O22" s="91" t="s">
        <v>170</v>
      </c>
      <c r="P22" s="11"/>
      <c r="Q22" s="91" t="s">
        <v>176</v>
      </c>
      <c r="R22" s="365"/>
      <c r="S22" s="365"/>
      <c r="T22" s="365"/>
      <c r="U22" s="365"/>
      <c r="V22" s="365"/>
      <c r="W22" s="365"/>
    </row>
    <row r="23" spans="1:23" s="364" customFormat="1" hidden="1">
      <c r="A23" s="9">
        <v>44376</v>
      </c>
      <c r="B23" s="91" t="s">
        <v>177</v>
      </c>
      <c r="C23" s="196">
        <v>81122223664</v>
      </c>
      <c r="D23" s="92" t="s">
        <v>4725</v>
      </c>
      <c r="E23" s="739" t="s">
        <v>4726</v>
      </c>
      <c r="F23" s="739" t="s">
        <v>4727</v>
      </c>
      <c r="G23" s="30">
        <v>1</v>
      </c>
      <c r="H23" s="17">
        <v>54000</v>
      </c>
      <c r="I23" s="17">
        <f t="shared" si="0"/>
        <v>54000</v>
      </c>
      <c r="J23" s="365"/>
      <c r="K23" s="17">
        <f t="shared" si="1"/>
        <v>54000</v>
      </c>
      <c r="L23" s="17">
        <v>9000</v>
      </c>
      <c r="M23" s="365"/>
      <c r="N23" s="365">
        <f t="shared" si="2"/>
        <v>63000</v>
      </c>
      <c r="O23" s="91" t="s">
        <v>177</v>
      </c>
      <c r="P23" s="11"/>
      <c r="Q23" s="91" t="s">
        <v>40</v>
      </c>
      <c r="R23" s="365"/>
      <c r="S23" s="365"/>
      <c r="T23" s="365"/>
      <c r="U23" s="365"/>
      <c r="V23" s="365"/>
      <c r="W23" s="365"/>
    </row>
    <row r="24" spans="1:23" s="364" customFormat="1" hidden="1">
      <c r="A24" s="9">
        <v>44376</v>
      </c>
      <c r="B24" s="91" t="s">
        <v>313</v>
      </c>
      <c r="C24" s="123" t="s">
        <v>4728</v>
      </c>
      <c r="D24" s="76" t="s">
        <v>4729</v>
      </c>
      <c r="E24" s="739" t="s">
        <v>4730</v>
      </c>
      <c r="F24" s="739" t="s">
        <v>4731</v>
      </c>
      <c r="G24" s="30">
        <v>1</v>
      </c>
      <c r="H24" s="17">
        <v>72000</v>
      </c>
      <c r="I24" s="17">
        <f t="shared" si="0"/>
        <v>72000</v>
      </c>
      <c r="J24" s="365"/>
      <c r="K24" s="17">
        <f t="shared" si="1"/>
        <v>72000</v>
      </c>
      <c r="L24" s="17">
        <v>6054</v>
      </c>
      <c r="M24" s="365"/>
      <c r="N24" s="365">
        <f t="shared" si="2"/>
        <v>78054</v>
      </c>
      <c r="O24" s="91" t="s">
        <v>313</v>
      </c>
      <c r="P24" s="11"/>
      <c r="Q24" s="91" t="s">
        <v>28</v>
      </c>
      <c r="R24" s="365"/>
      <c r="S24" s="365"/>
      <c r="T24" s="365"/>
      <c r="U24" s="365"/>
      <c r="V24" s="365"/>
      <c r="W24" s="365"/>
    </row>
    <row r="25" spans="1:23" s="364" customFormat="1">
      <c r="A25" s="9">
        <v>44376</v>
      </c>
      <c r="B25" s="91" t="s">
        <v>23</v>
      </c>
      <c r="C25" s="123" t="s">
        <v>4732</v>
      </c>
      <c r="D25" s="76" t="s">
        <v>4733</v>
      </c>
      <c r="E25" s="739" t="s">
        <v>4734</v>
      </c>
      <c r="F25" s="739" t="s">
        <v>4735</v>
      </c>
      <c r="G25" s="30">
        <v>1</v>
      </c>
      <c r="H25" s="17">
        <v>43000</v>
      </c>
      <c r="I25" s="17">
        <f t="shared" si="0"/>
        <v>43000</v>
      </c>
      <c r="J25" s="365"/>
      <c r="K25" s="17">
        <f t="shared" si="1"/>
        <v>43000</v>
      </c>
      <c r="L25" s="17">
        <v>6000</v>
      </c>
      <c r="M25" s="365"/>
      <c r="N25" s="365">
        <f t="shared" si="2"/>
        <v>49000</v>
      </c>
      <c r="O25" s="91" t="s">
        <v>23</v>
      </c>
      <c r="P25" s="11"/>
      <c r="Q25" s="91" t="s">
        <v>28</v>
      </c>
      <c r="R25" s="365"/>
      <c r="S25" s="365"/>
      <c r="T25" s="365"/>
      <c r="U25" s="365"/>
      <c r="V25" s="365"/>
      <c r="W25" s="365"/>
    </row>
    <row r="26" spans="1:23" s="364" customFormat="1">
      <c r="A26" s="9">
        <v>44376</v>
      </c>
      <c r="B26" s="91" t="s">
        <v>23</v>
      </c>
      <c r="C26" s="123" t="s">
        <v>4736</v>
      </c>
      <c r="D26" s="76" t="s">
        <v>4737</v>
      </c>
      <c r="E26" s="739" t="s">
        <v>4738</v>
      </c>
      <c r="F26" s="739" t="s">
        <v>4739</v>
      </c>
      <c r="G26" s="30">
        <v>1</v>
      </c>
      <c r="H26" s="17">
        <v>48000</v>
      </c>
      <c r="I26" s="17">
        <f t="shared" si="0"/>
        <v>48000</v>
      </c>
      <c r="J26" s="365"/>
      <c r="K26" s="17">
        <f t="shared" si="1"/>
        <v>48000</v>
      </c>
      <c r="L26" s="17">
        <v>35000</v>
      </c>
      <c r="M26" s="365"/>
      <c r="N26" s="365">
        <f t="shared" si="2"/>
        <v>83000</v>
      </c>
      <c r="O26" s="91" t="s">
        <v>23</v>
      </c>
      <c r="P26" s="11"/>
      <c r="Q26" s="91" t="s">
        <v>54</v>
      </c>
      <c r="R26" s="365"/>
      <c r="S26" s="365"/>
      <c r="T26" s="365"/>
      <c r="U26" s="365"/>
      <c r="V26" s="365"/>
      <c r="W26" s="365"/>
    </row>
    <row r="27" spans="1:23" s="364" customFormat="1" hidden="1">
      <c r="A27" s="9">
        <v>44376</v>
      </c>
      <c r="B27" s="91" t="s">
        <v>313</v>
      </c>
      <c r="C27" s="91" t="s">
        <v>4740</v>
      </c>
      <c r="D27" s="76" t="s">
        <v>4741</v>
      </c>
      <c r="E27" s="739" t="s">
        <v>4628</v>
      </c>
      <c r="F27" s="739" t="s">
        <v>4629</v>
      </c>
      <c r="G27" s="30">
        <v>5</v>
      </c>
      <c r="H27" s="17">
        <v>23000</v>
      </c>
      <c r="I27" s="17">
        <f t="shared" si="0"/>
        <v>115000</v>
      </c>
      <c r="K27" s="17">
        <f t="shared" si="1"/>
        <v>115000</v>
      </c>
      <c r="L27" s="17">
        <v>57081</v>
      </c>
      <c r="M27" s="365"/>
      <c r="N27" s="365">
        <f t="shared" si="2"/>
        <v>172081</v>
      </c>
      <c r="O27" s="91" t="s">
        <v>313</v>
      </c>
      <c r="P27" s="11"/>
      <c r="Q27" s="91" t="s">
        <v>40</v>
      </c>
      <c r="R27" s="365"/>
      <c r="S27" s="365"/>
      <c r="T27" s="365"/>
      <c r="U27" s="365"/>
      <c r="V27" s="365"/>
      <c r="W27" s="365"/>
    </row>
    <row r="28" spans="1:23" s="364" customFormat="1">
      <c r="A28" s="9">
        <v>44376</v>
      </c>
      <c r="B28" s="91" t="s">
        <v>23</v>
      </c>
      <c r="C28" s="123" t="s">
        <v>4742</v>
      </c>
      <c r="D28" s="92" t="s">
        <v>4743</v>
      </c>
      <c r="E28" s="739" t="s">
        <v>407</v>
      </c>
      <c r="F28" s="739" t="s">
        <v>408</v>
      </c>
      <c r="G28" s="30">
        <v>4</v>
      </c>
      <c r="H28" s="17">
        <v>68500</v>
      </c>
      <c r="I28" s="17">
        <f t="shared" si="0"/>
        <v>274000</v>
      </c>
      <c r="J28" s="364">
        <f>I28*25%</f>
        <v>68500</v>
      </c>
      <c r="K28" s="17">
        <f t="shared" si="1"/>
        <v>205500</v>
      </c>
      <c r="L28" s="17">
        <v>34000</v>
      </c>
      <c r="M28" s="365"/>
      <c r="N28" s="365">
        <f t="shared" si="2"/>
        <v>239500</v>
      </c>
      <c r="O28" s="91" t="s">
        <v>23</v>
      </c>
      <c r="P28" s="91"/>
      <c r="Q28" s="91" t="s">
        <v>40</v>
      </c>
      <c r="R28" s="365"/>
      <c r="S28" s="365"/>
      <c r="T28" s="365"/>
      <c r="U28" s="365"/>
      <c r="V28" s="365"/>
      <c r="W28" s="365"/>
    </row>
    <row r="29" spans="1:23" s="364" customFormat="1" hidden="1">
      <c r="A29" s="9">
        <v>44376</v>
      </c>
      <c r="B29" s="91" t="s">
        <v>313</v>
      </c>
      <c r="C29" s="91" t="s">
        <v>4744</v>
      </c>
      <c r="D29" s="740" t="s">
        <v>4745</v>
      </c>
      <c r="E29" s="739" t="s">
        <v>4746</v>
      </c>
      <c r="F29" s="739" t="s">
        <v>4747</v>
      </c>
      <c r="G29" s="30">
        <v>1</v>
      </c>
      <c r="H29" s="17">
        <v>66000</v>
      </c>
      <c r="I29" s="17">
        <f t="shared" si="0"/>
        <v>66000</v>
      </c>
      <c r="K29" s="17">
        <f t="shared" si="1"/>
        <v>66000</v>
      </c>
      <c r="L29" s="17">
        <v>14096</v>
      </c>
      <c r="M29" s="365"/>
      <c r="N29" s="365">
        <f t="shared" si="2"/>
        <v>80096</v>
      </c>
      <c r="O29" s="91" t="s">
        <v>313</v>
      </c>
      <c r="P29" s="10"/>
      <c r="Q29" s="91" t="s">
        <v>40</v>
      </c>
      <c r="R29" s="365"/>
      <c r="S29" s="365"/>
      <c r="T29" s="365"/>
      <c r="U29" s="365"/>
      <c r="V29" s="365"/>
      <c r="W29" s="365"/>
    </row>
    <row r="30" spans="1:23" s="364" customFormat="1">
      <c r="A30" s="9">
        <v>44376</v>
      </c>
      <c r="B30" s="91" t="s">
        <v>23</v>
      </c>
      <c r="C30" s="91" t="s">
        <v>4748</v>
      </c>
      <c r="D30" s="740" t="s">
        <v>4749</v>
      </c>
      <c r="E30" s="739" t="s">
        <v>2743</v>
      </c>
      <c r="F30" s="739" t="s">
        <v>2744</v>
      </c>
      <c r="G30" s="645">
        <v>1</v>
      </c>
      <c r="H30" s="17">
        <v>118000</v>
      </c>
      <c r="I30" s="17">
        <f t="shared" si="0"/>
        <v>118000</v>
      </c>
      <c r="K30" s="17">
        <f t="shared" si="1"/>
        <v>118000</v>
      </c>
      <c r="L30" s="17">
        <v>16000</v>
      </c>
      <c r="M30" s="365"/>
      <c r="N30" s="365">
        <f t="shared" si="2"/>
        <v>134000</v>
      </c>
      <c r="O30" s="91" t="s">
        <v>23</v>
      </c>
      <c r="P30" s="10"/>
      <c r="Q30" s="91" t="s">
        <v>40</v>
      </c>
      <c r="R30" s="365"/>
      <c r="S30" s="365"/>
      <c r="T30" s="365"/>
      <c r="U30" s="365"/>
      <c r="V30" s="365"/>
      <c r="W30" s="365"/>
    </row>
    <row r="31" spans="1:23" s="364" customFormat="1">
      <c r="A31" s="9">
        <v>44376</v>
      </c>
      <c r="B31" s="91" t="s">
        <v>23</v>
      </c>
      <c r="C31" s="91" t="s">
        <v>4750</v>
      </c>
      <c r="D31" s="740" t="s">
        <v>4751</v>
      </c>
      <c r="E31" s="739" t="s">
        <v>4752</v>
      </c>
      <c r="F31" s="739" t="s">
        <v>4753</v>
      </c>
      <c r="G31" s="30">
        <v>1</v>
      </c>
      <c r="H31" s="17">
        <v>131000</v>
      </c>
      <c r="I31" s="17">
        <f t="shared" si="0"/>
        <v>131000</v>
      </c>
      <c r="K31" s="17">
        <f t="shared" si="1"/>
        <v>131000</v>
      </c>
      <c r="L31" s="17">
        <v>57000</v>
      </c>
      <c r="M31" s="365"/>
      <c r="N31" s="365">
        <f t="shared" si="2"/>
        <v>188000</v>
      </c>
      <c r="O31" s="91" t="s">
        <v>23</v>
      </c>
      <c r="P31" s="11"/>
      <c r="Q31" s="91" t="s">
        <v>40</v>
      </c>
      <c r="R31" s="365"/>
      <c r="S31" s="365"/>
      <c r="T31" s="365"/>
      <c r="U31" s="365"/>
      <c r="V31" s="365"/>
      <c r="W31" s="365"/>
    </row>
    <row r="32" spans="1:23" s="364" customFormat="1" ht="16.8" hidden="1">
      <c r="A32" s="9">
        <v>44376</v>
      </c>
      <c r="B32" s="91" t="s">
        <v>206</v>
      </c>
      <c r="C32" s="742" t="s">
        <v>4754</v>
      </c>
      <c r="D32" s="740" t="s">
        <v>4755</v>
      </c>
      <c r="E32" s="739" t="s">
        <v>4756</v>
      </c>
      <c r="F32" s="739" t="s">
        <v>4757</v>
      </c>
      <c r="G32" s="30">
        <v>2</v>
      </c>
      <c r="H32" s="17">
        <v>81500</v>
      </c>
      <c r="I32" s="17">
        <f t="shared" si="0"/>
        <v>163000</v>
      </c>
      <c r="K32" s="17">
        <f t="shared" si="1"/>
        <v>163000</v>
      </c>
      <c r="L32" s="17">
        <v>12700</v>
      </c>
      <c r="M32" s="365"/>
      <c r="N32" s="365">
        <f t="shared" si="2"/>
        <v>175700</v>
      </c>
      <c r="O32" s="91" t="s">
        <v>206</v>
      </c>
      <c r="P32" s="10"/>
      <c r="Q32" s="91" t="s">
        <v>176</v>
      </c>
      <c r="R32" s="365"/>
      <c r="S32" s="365"/>
      <c r="T32" s="365"/>
      <c r="U32" s="365"/>
      <c r="V32" s="365"/>
      <c r="W32" s="365"/>
    </row>
    <row r="33" spans="1:23" s="364" customFormat="1">
      <c r="A33" s="9">
        <v>44376</v>
      </c>
      <c r="B33" s="91" t="s">
        <v>23</v>
      </c>
      <c r="C33" s="123" t="s">
        <v>4758</v>
      </c>
      <c r="D33" s="76" t="s">
        <v>4759</v>
      </c>
      <c r="E33" s="739" t="s">
        <v>201</v>
      </c>
      <c r="F33" s="739" t="s">
        <v>202</v>
      </c>
      <c r="G33" s="30">
        <v>1</v>
      </c>
      <c r="H33" s="17">
        <v>131000</v>
      </c>
      <c r="I33" s="17">
        <f t="shared" si="0"/>
        <v>131000</v>
      </c>
      <c r="J33" s="365">
        <f>I33-84500</f>
        <v>46500</v>
      </c>
      <c r="K33" s="17">
        <f t="shared" si="1"/>
        <v>84500</v>
      </c>
      <c r="L33" s="17">
        <v>75000</v>
      </c>
      <c r="M33" s="365"/>
      <c r="N33" s="17">
        <f t="shared" si="2"/>
        <v>159500</v>
      </c>
      <c r="O33" s="91" t="s">
        <v>23</v>
      </c>
      <c r="P33" s="91"/>
      <c r="Q33" s="91" t="s">
        <v>40</v>
      </c>
      <c r="R33" s="365"/>
      <c r="S33" s="365"/>
      <c r="T33" s="365"/>
      <c r="U33" s="365"/>
      <c r="V33" s="365"/>
      <c r="W33" s="365"/>
    </row>
    <row r="34" spans="1:23" s="364" customFormat="1">
      <c r="A34" s="9">
        <v>44376</v>
      </c>
      <c r="B34" s="91" t="s">
        <v>23</v>
      </c>
      <c r="C34" s="91" t="s">
        <v>4760</v>
      </c>
      <c r="D34" s="29" t="s">
        <v>31</v>
      </c>
      <c r="E34" s="739" t="s">
        <v>201</v>
      </c>
      <c r="F34" s="739" t="s">
        <v>202</v>
      </c>
      <c r="G34" s="30">
        <v>1</v>
      </c>
      <c r="H34" s="17">
        <v>131001</v>
      </c>
      <c r="I34" s="17">
        <f t="shared" ref="I34:I65" si="3">H34*G34</f>
        <v>131001</v>
      </c>
      <c r="J34" s="365">
        <f>I34-84500</f>
        <v>46501</v>
      </c>
      <c r="K34" s="17">
        <f t="shared" ref="K34:K65" si="4">I34-J34</f>
        <v>84500</v>
      </c>
      <c r="L34" s="17">
        <v>75001</v>
      </c>
      <c r="M34" s="365"/>
      <c r="N34" s="17">
        <f t="shared" ref="N34:N65" si="5">K34+L34+M34</f>
        <v>159501</v>
      </c>
      <c r="O34" s="91" t="s">
        <v>23</v>
      </c>
      <c r="P34" s="11"/>
      <c r="Q34" s="91" t="s">
        <v>35</v>
      </c>
      <c r="R34" s="365"/>
      <c r="S34" s="365"/>
      <c r="T34" s="365"/>
      <c r="U34" s="365"/>
      <c r="V34" s="365"/>
      <c r="W34" s="365"/>
    </row>
    <row r="35" spans="1:23" s="364" customFormat="1">
      <c r="A35" s="9">
        <v>44376</v>
      </c>
      <c r="B35" s="91" t="s">
        <v>23</v>
      </c>
      <c r="C35" s="91" t="s">
        <v>4761</v>
      </c>
      <c r="D35" s="29" t="s">
        <v>31</v>
      </c>
      <c r="E35" s="739" t="s">
        <v>4762</v>
      </c>
      <c r="F35" s="739" t="s">
        <v>4763</v>
      </c>
      <c r="G35" s="30">
        <v>1</v>
      </c>
      <c r="H35" s="17">
        <v>94000</v>
      </c>
      <c r="I35" s="17">
        <f t="shared" si="3"/>
        <v>94000</v>
      </c>
      <c r="J35" s="365"/>
      <c r="K35" s="17">
        <f t="shared" si="4"/>
        <v>94000</v>
      </c>
      <c r="L35" s="365"/>
      <c r="M35" s="365"/>
      <c r="N35" s="17">
        <f t="shared" si="5"/>
        <v>94000</v>
      </c>
      <c r="O35" s="91" t="s">
        <v>23</v>
      </c>
      <c r="P35" s="11"/>
      <c r="Q35" s="91" t="s">
        <v>35</v>
      </c>
      <c r="R35" s="365"/>
      <c r="S35" s="365"/>
      <c r="T35" s="365"/>
      <c r="U35" s="365"/>
      <c r="V35" s="365"/>
      <c r="W35" s="365"/>
    </row>
    <row r="36" spans="1:23" s="364" customFormat="1" hidden="1">
      <c r="A36" s="9">
        <v>44377</v>
      </c>
      <c r="B36" s="91" t="s">
        <v>43</v>
      </c>
      <c r="C36" s="123" t="s">
        <v>4764</v>
      </c>
      <c r="D36" s="29" t="s">
        <v>4765</v>
      </c>
      <c r="E36" s="739" t="s">
        <v>4766</v>
      </c>
      <c r="F36" s="739" t="s">
        <v>4767</v>
      </c>
      <c r="G36" s="30">
        <v>1</v>
      </c>
      <c r="H36" s="17">
        <v>187000</v>
      </c>
      <c r="I36" s="17">
        <f t="shared" si="3"/>
        <v>187000</v>
      </c>
      <c r="J36" s="365"/>
      <c r="K36" s="17">
        <f t="shared" si="4"/>
        <v>187000</v>
      </c>
      <c r="L36" s="365"/>
      <c r="M36" s="365">
        <v>-10472</v>
      </c>
      <c r="N36" s="17">
        <f t="shared" si="5"/>
        <v>176528</v>
      </c>
      <c r="O36" s="91" t="s">
        <v>43</v>
      </c>
      <c r="P36" s="10"/>
      <c r="Q36" s="91" t="s">
        <v>54</v>
      </c>
      <c r="R36" s="365"/>
      <c r="S36" s="365"/>
      <c r="T36" s="365"/>
      <c r="U36" s="365"/>
      <c r="V36" s="365"/>
      <c r="W36" s="365"/>
    </row>
    <row r="37" spans="1:23" s="364" customFormat="1" hidden="1">
      <c r="A37" s="9">
        <v>44377</v>
      </c>
      <c r="B37" s="91" t="s">
        <v>43</v>
      </c>
      <c r="C37" s="91" t="s">
        <v>4768</v>
      </c>
      <c r="D37" s="29" t="s">
        <v>4769</v>
      </c>
      <c r="E37" s="743" t="s">
        <v>1371</v>
      </c>
      <c r="F37" s="743" t="s">
        <v>1372</v>
      </c>
      <c r="G37" s="30">
        <v>1</v>
      </c>
      <c r="H37" s="17">
        <v>104000</v>
      </c>
      <c r="I37" s="17">
        <f t="shared" si="3"/>
        <v>104000</v>
      </c>
      <c r="J37" s="365"/>
      <c r="K37" s="17">
        <f t="shared" si="4"/>
        <v>104000</v>
      </c>
      <c r="L37" s="17">
        <v>30000</v>
      </c>
      <c r="M37" s="365">
        <v>-11312</v>
      </c>
      <c r="N37" s="17">
        <f t="shared" si="5"/>
        <v>122688</v>
      </c>
      <c r="O37" s="91" t="s">
        <v>43</v>
      </c>
      <c r="P37" s="91"/>
      <c r="Q37" s="91" t="s">
        <v>54</v>
      </c>
      <c r="R37" s="365"/>
      <c r="S37" s="365"/>
      <c r="T37" s="365"/>
      <c r="U37" s="365"/>
      <c r="V37" s="365"/>
      <c r="W37" s="365"/>
    </row>
    <row r="38" spans="1:23" s="364" customFormat="1" hidden="1">
      <c r="A38" s="9">
        <v>44377</v>
      </c>
      <c r="B38" s="91" t="s">
        <v>43</v>
      </c>
      <c r="C38" s="91" t="s">
        <v>4768</v>
      </c>
      <c r="D38" s="29" t="s">
        <v>4770</v>
      </c>
      <c r="E38" s="743" t="s">
        <v>4771</v>
      </c>
      <c r="F38" s="743" t="s">
        <v>4772</v>
      </c>
      <c r="G38" s="706">
        <v>1</v>
      </c>
      <c r="H38" s="17">
        <v>98000</v>
      </c>
      <c r="I38" s="17">
        <f t="shared" si="3"/>
        <v>98000</v>
      </c>
      <c r="J38" s="365"/>
      <c r="K38" s="17">
        <f t="shared" si="4"/>
        <v>98000</v>
      </c>
      <c r="L38" s="365"/>
      <c r="M38" s="365"/>
      <c r="N38" s="17">
        <f t="shared" si="5"/>
        <v>98000</v>
      </c>
      <c r="O38" s="91" t="s">
        <v>43</v>
      </c>
      <c r="P38" s="10"/>
      <c r="Q38" s="91" t="s">
        <v>54</v>
      </c>
      <c r="R38" s="365"/>
      <c r="S38" s="365"/>
      <c r="T38" s="365"/>
      <c r="U38" s="365"/>
      <c r="V38" s="365"/>
      <c r="W38" s="365"/>
    </row>
    <row r="39" spans="1:23" s="364" customFormat="1" hidden="1">
      <c r="A39" s="9">
        <v>44377</v>
      </c>
      <c r="B39" s="91" t="s">
        <v>170</v>
      </c>
      <c r="C39" s="123" t="s">
        <v>4773</v>
      </c>
      <c r="D39" s="364" t="s">
        <v>4774</v>
      </c>
      <c r="E39" s="739" t="s">
        <v>607</v>
      </c>
      <c r="F39" s="739" t="s">
        <v>608</v>
      </c>
      <c r="G39" s="30">
        <v>1</v>
      </c>
      <c r="H39" s="364">
        <v>90000</v>
      </c>
      <c r="I39" s="17">
        <f t="shared" si="3"/>
        <v>90000</v>
      </c>
      <c r="J39" s="365"/>
      <c r="K39" s="17">
        <f t="shared" si="4"/>
        <v>90000</v>
      </c>
      <c r="L39" s="365">
        <v>7000</v>
      </c>
      <c r="M39" s="365"/>
      <c r="N39" s="17">
        <f t="shared" si="5"/>
        <v>97000</v>
      </c>
      <c r="O39" s="91" t="s">
        <v>170</v>
      </c>
      <c r="P39" s="10"/>
      <c r="Q39" s="91" t="s">
        <v>28</v>
      </c>
      <c r="R39" s="365"/>
      <c r="S39" s="365"/>
      <c r="T39" s="365"/>
      <c r="U39" s="365"/>
      <c r="V39" s="365"/>
      <c r="W39" s="365"/>
    </row>
    <row r="40" spans="1:23" s="364" customFormat="1" hidden="1">
      <c r="A40" s="9">
        <v>44377</v>
      </c>
      <c r="B40" s="91" t="s">
        <v>170</v>
      </c>
      <c r="C40" s="123" t="s">
        <v>4775</v>
      </c>
      <c r="D40" s="364" t="s">
        <v>4776</v>
      </c>
      <c r="E40" s="739" t="s">
        <v>2655</v>
      </c>
      <c r="F40" s="739" t="s">
        <v>2656</v>
      </c>
      <c r="G40" s="30">
        <v>1</v>
      </c>
      <c r="H40" s="364">
        <v>85000</v>
      </c>
      <c r="I40" s="17">
        <f t="shared" si="3"/>
        <v>85000</v>
      </c>
      <c r="J40" s="365">
        <f>I40*20%</f>
        <v>17000</v>
      </c>
      <c r="K40" s="17">
        <f t="shared" si="4"/>
        <v>68000</v>
      </c>
      <c r="L40" s="365">
        <f>12000-12000</f>
        <v>0</v>
      </c>
      <c r="M40" s="365"/>
      <c r="N40" s="17">
        <f t="shared" si="5"/>
        <v>68000</v>
      </c>
      <c r="O40" s="91" t="s">
        <v>170</v>
      </c>
      <c r="P40" s="10"/>
      <c r="Q40" s="91" t="s">
        <v>176</v>
      </c>
      <c r="R40" s="365"/>
      <c r="S40" s="365"/>
      <c r="T40" s="365"/>
      <c r="U40" s="365"/>
      <c r="V40" s="365"/>
      <c r="W40" s="365"/>
    </row>
    <row r="41" spans="1:23" s="364" customFormat="1" hidden="1">
      <c r="A41" s="9">
        <v>44377</v>
      </c>
      <c r="B41" s="91" t="s">
        <v>177</v>
      </c>
      <c r="C41" s="123" t="s">
        <v>4777</v>
      </c>
      <c r="D41" s="364" t="s">
        <v>4778</v>
      </c>
      <c r="E41" s="739" t="s">
        <v>4779</v>
      </c>
      <c r="F41" s="739" t="s">
        <v>4780</v>
      </c>
      <c r="G41" s="30">
        <v>1</v>
      </c>
      <c r="H41" s="364">
        <v>24000</v>
      </c>
      <c r="I41" s="17">
        <f t="shared" si="3"/>
        <v>24000</v>
      </c>
      <c r="J41" s="365"/>
      <c r="K41" s="17">
        <f t="shared" si="4"/>
        <v>24000</v>
      </c>
      <c r="L41" s="365">
        <v>8000</v>
      </c>
      <c r="M41" s="365"/>
      <c r="N41" s="17">
        <f t="shared" si="5"/>
        <v>32000</v>
      </c>
      <c r="O41" s="91" t="s">
        <v>177</v>
      </c>
      <c r="P41" s="10"/>
      <c r="Q41" s="91" t="s">
        <v>40</v>
      </c>
      <c r="R41" s="365"/>
      <c r="S41" s="365"/>
      <c r="T41" s="365"/>
      <c r="U41" s="365"/>
      <c r="V41" s="365"/>
      <c r="W41" s="365"/>
    </row>
    <row r="42" spans="1:23" s="364" customFormat="1" hidden="1">
      <c r="A42" s="9">
        <v>44377</v>
      </c>
      <c r="B42" s="91" t="s">
        <v>177</v>
      </c>
      <c r="C42" s="196">
        <v>85267237174</v>
      </c>
      <c r="D42" s="20" t="s">
        <v>4781</v>
      </c>
      <c r="E42" s="739" t="s">
        <v>1081</v>
      </c>
      <c r="F42" s="739" t="s">
        <v>1082</v>
      </c>
      <c r="G42" s="30">
        <v>1</v>
      </c>
      <c r="H42" s="20">
        <v>88000</v>
      </c>
      <c r="I42" s="17">
        <f t="shared" si="3"/>
        <v>88000</v>
      </c>
      <c r="J42" s="365"/>
      <c r="K42" s="17">
        <f t="shared" si="4"/>
        <v>88000</v>
      </c>
      <c r="L42" s="365">
        <v>16000</v>
      </c>
      <c r="M42" s="365"/>
      <c r="N42" s="17">
        <f t="shared" si="5"/>
        <v>104000</v>
      </c>
      <c r="O42" s="91" t="s">
        <v>177</v>
      </c>
      <c r="P42" s="10"/>
      <c r="Q42" s="91" t="s">
        <v>54</v>
      </c>
      <c r="R42" s="365"/>
      <c r="S42" s="365"/>
      <c r="T42" s="365"/>
      <c r="U42" s="365"/>
      <c r="V42" s="365"/>
      <c r="W42" s="365"/>
    </row>
    <row r="43" spans="1:23" s="364" customFormat="1">
      <c r="A43" s="9">
        <v>44377</v>
      </c>
      <c r="B43" s="91" t="s">
        <v>23</v>
      </c>
      <c r="C43" s="91" t="s">
        <v>4782</v>
      </c>
      <c r="D43" s="20" t="s">
        <v>4783</v>
      </c>
      <c r="E43" s="739" t="s">
        <v>4784</v>
      </c>
      <c r="F43" s="739" t="s">
        <v>4785</v>
      </c>
      <c r="G43" s="30">
        <v>1</v>
      </c>
      <c r="H43" s="20">
        <v>138000</v>
      </c>
      <c r="I43" s="17">
        <f t="shared" si="3"/>
        <v>138000</v>
      </c>
      <c r="J43" s="365"/>
      <c r="K43" s="17">
        <f t="shared" si="4"/>
        <v>138000</v>
      </c>
      <c r="L43" s="17">
        <v>16000</v>
      </c>
      <c r="M43" s="365"/>
      <c r="N43" s="17">
        <f t="shared" si="5"/>
        <v>154000</v>
      </c>
      <c r="O43" s="91" t="s">
        <v>23</v>
      </c>
      <c r="P43" s="10"/>
      <c r="Q43" s="91" t="s">
        <v>40</v>
      </c>
      <c r="R43" s="365"/>
      <c r="S43" s="365"/>
      <c r="T43" s="365"/>
      <c r="U43" s="365"/>
      <c r="V43" s="365"/>
      <c r="W43" s="365"/>
    </row>
    <row r="44" spans="1:23" s="364" customFormat="1" hidden="1">
      <c r="A44" s="9">
        <v>44377</v>
      </c>
      <c r="B44" s="91" t="s">
        <v>313</v>
      </c>
      <c r="C44" s="123" t="s">
        <v>4488</v>
      </c>
      <c r="D44" s="740" t="s">
        <v>4489</v>
      </c>
      <c r="E44" s="744" t="s">
        <v>190</v>
      </c>
      <c r="F44" s="744" t="s">
        <v>191</v>
      </c>
      <c r="G44" s="30">
        <v>3</v>
      </c>
      <c r="H44" s="17">
        <v>92000</v>
      </c>
      <c r="I44" s="17">
        <f t="shared" si="3"/>
        <v>276000</v>
      </c>
      <c r="J44" s="365"/>
      <c r="K44" s="17">
        <f t="shared" si="4"/>
        <v>276000</v>
      </c>
      <c r="L44" s="17">
        <v>51028</v>
      </c>
      <c r="M44" s="365"/>
      <c r="N44" s="17">
        <f t="shared" si="5"/>
        <v>327028</v>
      </c>
      <c r="O44" s="91" t="s">
        <v>313</v>
      </c>
      <c r="P44" s="10"/>
      <c r="Q44" s="91" t="s">
        <v>40</v>
      </c>
      <c r="R44" s="365"/>
      <c r="S44" s="365"/>
      <c r="T44" s="365"/>
      <c r="U44" s="365"/>
      <c r="V44" s="365"/>
      <c r="W44" s="365"/>
    </row>
    <row r="45" spans="1:23" s="364" customFormat="1" hidden="1">
      <c r="A45" s="9">
        <v>44377</v>
      </c>
      <c r="B45" s="91" t="s">
        <v>313</v>
      </c>
      <c r="C45" s="123" t="s">
        <v>4488</v>
      </c>
      <c r="D45" s="740" t="s">
        <v>4489</v>
      </c>
      <c r="E45" s="744" t="s">
        <v>100</v>
      </c>
      <c r="F45" s="744" t="s">
        <v>120</v>
      </c>
      <c r="G45" s="30">
        <v>3</v>
      </c>
      <c r="H45" s="17">
        <v>123000</v>
      </c>
      <c r="I45" s="17">
        <f t="shared" si="3"/>
        <v>369000</v>
      </c>
      <c r="J45" s="365"/>
      <c r="K45" s="17">
        <f t="shared" si="4"/>
        <v>369000</v>
      </c>
      <c r="L45" s="365"/>
      <c r="M45" s="365"/>
      <c r="N45" s="17">
        <f t="shared" si="5"/>
        <v>369000</v>
      </c>
      <c r="O45" s="91" t="s">
        <v>313</v>
      </c>
      <c r="P45" s="10"/>
      <c r="Q45" s="91" t="s">
        <v>40</v>
      </c>
      <c r="R45" s="365"/>
      <c r="S45" s="365"/>
      <c r="T45" s="365"/>
      <c r="U45" s="365"/>
      <c r="V45" s="365"/>
      <c r="W45" s="365"/>
    </row>
    <row r="46" spans="1:23" s="364" customFormat="1" hidden="1">
      <c r="A46" s="9">
        <v>44377</v>
      </c>
      <c r="B46" s="91" t="s">
        <v>313</v>
      </c>
      <c r="C46" s="123" t="s">
        <v>4488</v>
      </c>
      <c r="D46" s="740" t="s">
        <v>4489</v>
      </c>
      <c r="E46" s="744" t="s">
        <v>4786</v>
      </c>
      <c r="F46" s="744" t="s">
        <v>4787</v>
      </c>
      <c r="G46" s="30">
        <v>3</v>
      </c>
      <c r="H46" s="17">
        <v>121000</v>
      </c>
      <c r="I46" s="17">
        <f t="shared" si="3"/>
        <v>363000</v>
      </c>
      <c r="J46" s="365"/>
      <c r="K46" s="17">
        <f t="shared" si="4"/>
        <v>363000</v>
      </c>
      <c r="L46" s="365"/>
      <c r="M46" s="365"/>
      <c r="N46" s="17">
        <f t="shared" si="5"/>
        <v>363000</v>
      </c>
      <c r="O46" s="91" t="s">
        <v>313</v>
      </c>
      <c r="P46" s="10"/>
      <c r="Q46" s="91" t="s">
        <v>40</v>
      </c>
      <c r="R46" s="365"/>
      <c r="S46" s="365"/>
      <c r="T46" s="365"/>
      <c r="U46" s="365"/>
      <c r="V46" s="365"/>
      <c r="W46" s="365"/>
    </row>
    <row r="47" spans="1:23" s="364" customFormat="1" hidden="1">
      <c r="A47" s="9">
        <v>44378</v>
      </c>
      <c r="B47" s="91" t="s">
        <v>170</v>
      </c>
      <c r="C47" s="123" t="s">
        <v>4788</v>
      </c>
      <c r="D47" s="92" t="s">
        <v>4789</v>
      </c>
      <c r="E47" s="739" t="s">
        <v>4790</v>
      </c>
      <c r="F47" s="739" t="s">
        <v>4791</v>
      </c>
      <c r="G47" s="30">
        <v>1</v>
      </c>
      <c r="H47" s="17">
        <v>51000</v>
      </c>
      <c r="I47" s="17">
        <f t="shared" si="3"/>
        <v>51000</v>
      </c>
      <c r="J47" s="365"/>
      <c r="K47" s="17">
        <f t="shared" si="4"/>
        <v>51000</v>
      </c>
      <c r="L47" s="365">
        <f>16000-16000</f>
        <v>0</v>
      </c>
      <c r="M47" s="365"/>
      <c r="N47" s="17">
        <f t="shared" si="5"/>
        <v>51000</v>
      </c>
      <c r="O47" s="91" t="s">
        <v>170</v>
      </c>
      <c r="P47" s="11"/>
      <c r="Q47" s="91" t="s">
        <v>54</v>
      </c>
      <c r="R47" s="365"/>
      <c r="S47" s="737"/>
      <c r="T47" s="365"/>
      <c r="U47" s="365"/>
      <c r="V47" s="365"/>
      <c r="W47" s="365"/>
    </row>
    <row r="48" spans="1:23" s="364" customFormat="1">
      <c r="A48" s="9">
        <v>44378</v>
      </c>
      <c r="B48" s="91" t="s">
        <v>23</v>
      </c>
      <c r="C48" s="123" t="s">
        <v>4792</v>
      </c>
      <c r="D48" s="76" t="s">
        <v>4793</v>
      </c>
      <c r="E48" s="739" t="s">
        <v>4794</v>
      </c>
      <c r="F48" s="739" t="s">
        <v>4795</v>
      </c>
      <c r="G48" s="35">
        <v>1</v>
      </c>
      <c r="H48" s="17">
        <v>87000</v>
      </c>
      <c r="I48" s="17">
        <f t="shared" si="3"/>
        <v>87000</v>
      </c>
      <c r="J48" s="365"/>
      <c r="K48" s="17">
        <f t="shared" si="4"/>
        <v>87000</v>
      </c>
      <c r="L48" s="365">
        <v>28000</v>
      </c>
      <c r="M48" s="365"/>
      <c r="N48" s="17">
        <f t="shared" si="5"/>
        <v>115000</v>
      </c>
      <c r="O48" s="91" t="s">
        <v>23</v>
      </c>
      <c r="P48" s="10"/>
      <c r="Q48" s="91" t="s">
        <v>54</v>
      </c>
      <c r="R48" s="365"/>
      <c r="S48" s="365"/>
      <c r="T48" s="365"/>
      <c r="U48" s="365"/>
      <c r="V48" s="365"/>
      <c r="W48" s="365"/>
    </row>
    <row r="49" spans="1:23" s="364" customFormat="1">
      <c r="A49" s="9">
        <v>44378</v>
      </c>
      <c r="B49" s="91" t="s">
        <v>23</v>
      </c>
      <c r="C49" s="123" t="s">
        <v>4796</v>
      </c>
      <c r="D49" s="76" t="s">
        <v>4797</v>
      </c>
      <c r="E49" s="739" t="s">
        <v>4798</v>
      </c>
      <c r="F49" s="739" t="s">
        <v>4799</v>
      </c>
      <c r="G49" s="30">
        <v>1</v>
      </c>
      <c r="H49" s="17">
        <v>72000</v>
      </c>
      <c r="I49" s="17">
        <f t="shared" si="3"/>
        <v>72000</v>
      </c>
      <c r="J49" s="365"/>
      <c r="K49" s="17">
        <f t="shared" si="4"/>
        <v>72000</v>
      </c>
      <c r="L49" s="365">
        <v>11000</v>
      </c>
      <c r="M49" s="365"/>
      <c r="N49" s="17">
        <f t="shared" si="5"/>
        <v>83000</v>
      </c>
      <c r="O49" s="91" t="s">
        <v>23</v>
      </c>
      <c r="P49" s="740"/>
      <c r="Q49" s="91" t="s">
        <v>54</v>
      </c>
      <c r="R49" s="365"/>
      <c r="S49" s="365"/>
      <c r="T49" s="365"/>
      <c r="U49" s="365"/>
      <c r="V49" s="365"/>
      <c r="W49" s="365"/>
    </row>
    <row r="50" spans="1:23" s="364" customFormat="1">
      <c r="A50" s="9">
        <v>44378</v>
      </c>
      <c r="B50" s="10" t="s">
        <v>23</v>
      </c>
      <c r="C50" s="11" t="s">
        <v>3617</v>
      </c>
      <c r="D50" s="29" t="s">
        <v>3618</v>
      </c>
      <c r="E50" s="745" t="s">
        <v>4182</v>
      </c>
      <c r="F50" s="745" t="s">
        <v>4183</v>
      </c>
      <c r="G50" s="56">
        <v>28</v>
      </c>
      <c r="H50" s="17">
        <v>69500</v>
      </c>
      <c r="I50" s="17">
        <f t="shared" si="3"/>
        <v>1946000</v>
      </c>
      <c r="J50" s="365">
        <f>I50*25%</f>
        <v>486500</v>
      </c>
      <c r="K50" s="17">
        <f t="shared" si="4"/>
        <v>1459500</v>
      </c>
      <c r="L50" s="17">
        <v>210000</v>
      </c>
      <c r="M50" s="365"/>
      <c r="N50" s="17">
        <f t="shared" si="5"/>
        <v>1669500</v>
      </c>
      <c r="O50" s="10" t="s">
        <v>23</v>
      </c>
      <c r="P50" s="11"/>
      <c r="Q50" s="30" t="s">
        <v>3449</v>
      </c>
      <c r="R50" s="365"/>
      <c r="S50" s="365"/>
      <c r="T50" s="365"/>
      <c r="U50" s="365"/>
      <c r="V50" s="365"/>
      <c r="W50" s="365"/>
    </row>
    <row r="51" spans="1:23" s="364" customFormat="1" hidden="1">
      <c r="A51" s="9">
        <v>44379</v>
      </c>
      <c r="B51" s="91" t="s">
        <v>43</v>
      </c>
      <c r="C51" s="123" t="s">
        <v>4800</v>
      </c>
      <c r="D51" s="29" t="s">
        <v>4801</v>
      </c>
      <c r="E51" s="739" t="s">
        <v>2677</v>
      </c>
      <c r="F51" s="739" t="s">
        <v>1579</v>
      </c>
      <c r="G51" s="30">
        <v>1</v>
      </c>
      <c r="H51" s="17">
        <v>106000</v>
      </c>
      <c r="I51" s="17">
        <f t="shared" si="3"/>
        <v>106000</v>
      </c>
      <c r="J51" s="365"/>
      <c r="K51" s="17">
        <f t="shared" si="4"/>
        <v>106000</v>
      </c>
      <c r="L51" s="365"/>
      <c r="M51" s="365">
        <v>-5936</v>
      </c>
      <c r="N51" s="17">
        <f t="shared" si="5"/>
        <v>100064</v>
      </c>
      <c r="O51" s="91" t="s">
        <v>43</v>
      </c>
      <c r="P51" s="11"/>
      <c r="Q51" s="91" t="s">
        <v>54</v>
      </c>
      <c r="R51" s="365"/>
      <c r="S51" s="365"/>
      <c r="T51" s="365"/>
      <c r="U51" s="365"/>
      <c r="V51" s="365"/>
      <c r="W51" s="365"/>
    </row>
    <row r="52" spans="1:23" s="364" customFormat="1" hidden="1">
      <c r="A52" s="9">
        <v>44379</v>
      </c>
      <c r="B52" s="91" t="s">
        <v>170</v>
      </c>
      <c r="C52" s="123" t="s">
        <v>4802</v>
      </c>
      <c r="D52" s="92" t="s">
        <v>4803</v>
      </c>
      <c r="E52" s="739" t="s">
        <v>2134</v>
      </c>
      <c r="F52" s="739" t="s">
        <v>438</v>
      </c>
      <c r="G52" s="30">
        <v>1</v>
      </c>
      <c r="H52" s="17">
        <v>43000</v>
      </c>
      <c r="I52" s="17">
        <f t="shared" si="3"/>
        <v>43000</v>
      </c>
      <c r="K52" s="17">
        <f t="shared" si="4"/>
        <v>43000</v>
      </c>
      <c r="L52" s="364">
        <f>11000-11000</f>
        <v>0</v>
      </c>
      <c r="M52" s="364">
        <v>-215</v>
      </c>
      <c r="N52" s="17">
        <f t="shared" si="5"/>
        <v>42785</v>
      </c>
      <c r="O52" s="91" t="s">
        <v>170</v>
      </c>
      <c r="P52" s="11"/>
      <c r="Q52" s="91" t="s">
        <v>54</v>
      </c>
      <c r="R52" s="365"/>
      <c r="S52" s="17"/>
      <c r="T52" s="365"/>
      <c r="U52" s="365"/>
      <c r="V52" s="365"/>
      <c r="W52" s="365"/>
    </row>
    <row r="53" spans="1:23" s="364" customFormat="1">
      <c r="A53" s="9">
        <v>44379</v>
      </c>
      <c r="B53" s="91" t="s">
        <v>23</v>
      </c>
      <c r="C53" s="91" t="s">
        <v>4804</v>
      </c>
      <c r="D53" s="92" t="s">
        <v>4805</v>
      </c>
      <c r="E53" s="743" t="s">
        <v>4806</v>
      </c>
      <c r="F53" s="743" t="s">
        <v>4807</v>
      </c>
      <c r="G53" s="30">
        <v>1</v>
      </c>
      <c r="H53" s="371">
        <v>87000</v>
      </c>
      <c r="I53" s="17">
        <f t="shared" si="3"/>
        <v>87000</v>
      </c>
      <c r="J53" s="364">
        <f t="shared" ref="J53:J68" si="6">I53*25%</f>
        <v>21750</v>
      </c>
      <c r="K53" s="17">
        <f t="shared" si="4"/>
        <v>65250</v>
      </c>
      <c r="L53" s="20">
        <v>98000</v>
      </c>
      <c r="N53" s="17">
        <f t="shared" si="5"/>
        <v>163250</v>
      </c>
      <c r="O53" s="91" t="s">
        <v>23</v>
      </c>
      <c r="P53" s="11"/>
      <c r="Q53" s="91" t="s">
        <v>40</v>
      </c>
      <c r="R53" s="365"/>
      <c r="S53" s="17"/>
      <c r="T53" s="365"/>
      <c r="U53" s="365"/>
      <c r="V53" s="365"/>
      <c r="W53" s="365"/>
    </row>
    <row r="54" spans="1:23" s="364" customFormat="1">
      <c r="A54" s="9">
        <v>44379</v>
      </c>
      <c r="B54" s="91" t="s">
        <v>23</v>
      </c>
      <c r="C54" s="91" t="s">
        <v>4804</v>
      </c>
      <c r="D54" s="92" t="s">
        <v>4805</v>
      </c>
      <c r="E54" s="743" t="s">
        <v>4808</v>
      </c>
      <c r="F54" s="743" t="s">
        <v>4809</v>
      </c>
      <c r="G54" s="30">
        <v>1</v>
      </c>
      <c r="H54" s="371">
        <v>72000</v>
      </c>
      <c r="I54" s="17">
        <f t="shared" si="3"/>
        <v>72000</v>
      </c>
      <c r="J54" s="364">
        <f t="shared" si="6"/>
        <v>18000</v>
      </c>
      <c r="K54" s="17">
        <f t="shared" si="4"/>
        <v>54000</v>
      </c>
      <c r="N54" s="17">
        <f t="shared" si="5"/>
        <v>54000</v>
      </c>
      <c r="O54" s="91" t="s">
        <v>23</v>
      </c>
      <c r="P54" s="11"/>
      <c r="Q54" s="91" t="s">
        <v>40</v>
      </c>
      <c r="R54" s="365"/>
      <c r="S54" s="17"/>
      <c r="T54" s="365"/>
      <c r="U54" s="365"/>
      <c r="V54" s="365"/>
      <c r="W54" s="365"/>
    </row>
    <row r="55" spans="1:23" s="364" customFormat="1">
      <c r="A55" s="9">
        <v>44379</v>
      </c>
      <c r="B55" s="91" t="s">
        <v>23</v>
      </c>
      <c r="C55" s="91" t="s">
        <v>4804</v>
      </c>
      <c r="D55" s="92" t="s">
        <v>4805</v>
      </c>
      <c r="E55" s="743" t="s">
        <v>4810</v>
      </c>
      <c r="F55" s="743" t="s">
        <v>4811</v>
      </c>
      <c r="G55" s="30">
        <v>1</v>
      </c>
      <c r="H55" s="371">
        <v>110000</v>
      </c>
      <c r="I55" s="17">
        <f t="shared" si="3"/>
        <v>110000</v>
      </c>
      <c r="J55" s="364">
        <f t="shared" si="6"/>
        <v>27500</v>
      </c>
      <c r="K55" s="17">
        <f t="shared" si="4"/>
        <v>82500</v>
      </c>
      <c r="N55" s="17">
        <f t="shared" si="5"/>
        <v>82500</v>
      </c>
      <c r="O55" s="91" t="s">
        <v>23</v>
      </c>
      <c r="P55" s="10"/>
      <c r="Q55" s="91" t="s">
        <v>40</v>
      </c>
      <c r="R55" s="365"/>
      <c r="S55" s="365"/>
      <c r="T55" s="365"/>
      <c r="U55" s="365"/>
      <c r="V55" s="365"/>
      <c r="W55" s="365"/>
    </row>
    <row r="56" spans="1:23" s="364" customFormat="1">
      <c r="A56" s="9">
        <v>44379</v>
      </c>
      <c r="B56" s="91" t="s">
        <v>23</v>
      </c>
      <c r="C56" s="91" t="s">
        <v>4804</v>
      </c>
      <c r="D56" s="92" t="s">
        <v>4805</v>
      </c>
      <c r="E56" s="743" t="s">
        <v>4812</v>
      </c>
      <c r="F56" s="743" t="s">
        <v>4813</v>
      </c>
      <c r="G56" s="30">
        <v>1</v>
      </c>
      <c r="H56" s="371">
        <v>52000</v>
      </c>
      <c r="I56" s="17">
        <f t="shared" si="3"/>
        <v>52000</v>
      </c>
      <c r="J56" s="364">
        <f t="shared" si="6"/>
        <v>13000</v>
      </c>
      <c r="K56" s="17">
        <f t="shared" si="4"/>
        <v>39000</v>
      </c>
      <c r="N56" s="17">
        <f t="shared" si="5"/>
        <v>39000</v>
      </c>
      <c r="O56" s="91" t="s">
        <v>23</v>
      </c>
      <c r="P56" s="10"/>
      <c r="Q56" s="91" t="s">
        <v>40</v>
      </c>
      <c r="R56" s="365"/>
      <c r="S56" s="13"/>
      <c r="T56" s="365"/>
      <c r="U56" s="365"/>
      <c r="V56" s="365"/>
      <c r="W56" s="365"/>
    </row>
    <row r="57" spans="1:23" s="364" customFormat="1">
      <c r="A57" s="9">
        <v>44379</v>
      </c>
      <c r="B57" s="91" t="s">
        <v>23</v>
      </c>
      <c r="C57" s="91" t="s">
        <v>4804</v>
      </c>
      <c r="D57" s="92" t="s">
        <v>4805</v>
      </c>
      <c r="E57" s="743" t="s">
        <v>1525</v>
      </c>
      <c r="F57" s="743" t="s">
        <v>1526</v>
      </c>
      <c r="G57" s="30">
        <v>1</v>
      </c>
      <c r="H57" s="371">
        <v>52000</v>
      </c>
      <c r="I57" s="17">
        <f t="shared" si="3"/>
        <v>52000</v>
      </c>
      <c r="J57" s="364">
        <f t="shared" si="6"/>
        <v>13000</v>
      </c>
      <c r="K57" s="17">
        <f t="shared" si="4"/>
        <v>39000</v>
      </c>
      <c r="N57" s="17">
        <f t="shared" si="5"/>
        <v>39000</v>
      </c>
      <c r="O57" s="91" t="s">
        <v>23</v>
      </c>
      <c r="P57" s="10"/>
      <c r="Q57" s="91" t="s">
        <v>40</v>
      </c>
      <c r="R57" s="365"/>
      <c r="S57" s="13"/>
      <c r="T57" s="365"/>
      <c r="U57" s="365"/>
      <c r="V57" s="365"/>
      <c r="W57" s="365"/>
    </row>
    <row r="58" spans="1:23" s="364" customFormat="1">
      <c r="A58" s="9">
        <v>44379</v>
      </c>
      <c r="B58" s="91" t="s">
        <v>23</v>
      </c>
      <c r="C58" s="91" t="s">
        <v>4804</v>
      </c>
      <c r="D58" s="92" t="s">
        <v>4805</v>
      </c>
      <c r="E58" s="743" t="s">
        <v>4814</v>
      </c>
      <c r="F58" s="743" t="s">
        <v>4815</v>
      </c>
      <c r="G58" s="30">
        <v>1</v>
      </c>
      <c r="H58" s="371">
        <v>74000</v>
      </c>
      <c r="I58" s="17">
        <f t="shared" si="3"/>
        <v>74000</v>
      </c>
      <c r="J58" s="364">
        <f t="shared" si="6"/>
        <v>18500</v>
      </c>
      <c r="K58" s="17">
        <f t="shared" si="4"/>
        <v>55500</v>
      </c>
      <c r="N58" s="17">
        <f t="shared" si="5"/>
        <v>55500</v>
      </c>
      <c r="O58" s="91" t="s">
        <v>23</v>
      </c>
      <c r="P58" s="10"/>
      <c r="Q58" s="91" t="s">
        <v>40</v>
      </c>
      <c r="R58" s="365"/>
      <c r="S58" s="365"/>
      <c r="T58" s="365"/>
      <c r="U58" s="365"/>
      <c r="V58" s="365"/>
      <c r="W58" s="365"/>
    </row>
    <row r="59" spans="1:23" s="364" customFormat="1">
      <c r="A59" s="9">
        <v>44379</v>
      </c>
      <c r="B59" s="91" t="s">
        <v>23</v>
      </c>
      <c r="C59" s="91" t="s">
        <v>4804</v>
      </c>
      <c r="D59" s="92" t="s">
        <v>4805</v>
      </c>
      <c r="E59" s="743" t="s">
        <v>4816</v>
      </c>
      <c r="F59" s="743" t="s">
        <v>4817</v>
      </c>
      <c r="G59" s="30">
        <v>1</v>
      </c>
      <c r="H59" s="371">
        <v>207000</v>
      </c>
      <c r="I59" s="17">
        <f t="shared" si="3"/>
        <v>207000</v>
      </c>
      <c r="J59" s="364">
        <f t="shared" si="6"/>
        <v>51750</v>
      </c>
      <c r="K59" s="17">
        <f t="shared" si="4"/>
        <v>155250</v>
      </c>
      <c r="N59" s="17">
        <f t="shared" si="5"/>
        <v>155250</v>
      </c>
      <c r="O59" s="91" t="s">
        <v>23</v>
      </c>
      <c r="P59" s="11"/>
      <c r="Q59" s="91" t="s">
        <v>40</v>
      </c>
      <c r="R59" s="365"/>
      <c r="S59" s="365"/>
      <c r="T59" s="365"/>
      <c r="U59" s="365"/>
      <c r="V59" s="365"/>
      <c r="W59" s="365"/>
    </row>
    <row r="60" spans="1:23" s="364" customFormat="1">
      <c r="A60" s="9">
        <v>44379</v>
      </c>
      <c r="B60" s="91" t="s">
        <v>23</v>
      </c>
      <c r="C60" s="91" t="s">
        <v>4804</v>
      </c>
      <c r="D60" s="92" t="s">
        <v>4805</v>
      </c>
      <c r="E60" s="743" t="s">
        <v>4818</v>
      </c>
      <c r="F60" s="743" t="s">
        <v>4819</v>
      </c>
      <c r="G60" s="30">
        <v>1</v>
      </c>
      <c r="H60" s="371">
        <v>137000</v>
      </c>
      <c r="I60" s="17">
        <f t="shared" si="3"/>
        <v>137000</v>
      </c>
      <c r="J60" s="364">
        <f t="shared" si="6"/>
        <v>34250</v>
      </c>
      <c r="K60" s="17">
        <f t="shared" si="4"/>
        <v>102750</v>
      </c>
      <c r="N60" s="17">
        <f t="shared" si="5"/>
        <v>102750</v>
      </c>
      <c r="O60" s="91" t="s">
        <v>23</v>
      </c>
      <c r="P60" s="11"/>
      <c r="Q60" s="91" t="s">
        <v>40</v>
      </c>
      <c r="R60" s="365"/>
      <c r="S60" s="365"/>
      <c r="T60" s="365"/>
      <c r="U60" s="365"/>
      <c r="V60" s="365"/>
      <c r="W60" s="365"/>
    </row>
    <row r="61" spans="1:23" s="364" customFormat="1">
      <c r="A61" s="9">
        <v>44379</v>
      </c>
      <c r="B61" s="91" t="s">
        <v>23</v>
      </c>
      <c r="C61" s="91" t="s">
        <v>4804</v>
      </c>
      <c r="D61" s="92" t="s">
        <v>4805</v>
      </c>
      <c r="E61" s="743" t="s">
        <v>4820</v>
      </c>
      <c r="F61" s="743" t="s">
        <v>4821</v>
      </c>
      <c r="G61" s="30">
        <v>1</v>
      </c>
      <c r="H61" s="371">
        <v>140500</v>
      </c>
      <c r="I61" s="17">
        <f t="shared" si="3"/>
        <v>140500</v>
      </c>
      <c r="J61" s="364">
        <f t="shared" si="6"/>
        <v>35125</v>
      </c>
      <c r="K61" s="17">
        <f t="shared" si="4"/>
        <v>105375</v>
      </c>
      <c r="N61" s="17">
        <f t="shared" si="5"/>
        <v>105375</v>
      </c>
      <c r="O61" s="91" t="s">
        <v>23</v>
      </c>
      <c r="P61" s="10"/>
      <c r="Q61" s="91" t="s">
        <v>40</v>
      </c>
      <c r="R61" s="365"/>
      <c r="S61" s="365"/>
      <c r="T61" s="365"/>
      <c r="U61" s="365"/>
      <c r="V61" s="365"/>
      <c r="W61" s="365"/>
    </row>
    <row r="62" spans="1:23" s="364" customFormat="1">
      <c r="A62" s="9">
        <v>44379</v>
      </c>
      <c r="B62" s="91" t="s">
        <v>23</v>
      </c>
      <c r="C62" s="91" t="s">
        <v>4804</v>
      </c>
      <c r="D62" s="92" t="s">
        <v>4805</v>
      </c>
      <c r="E62" s="743" t="s">
        <v>4822</v>
      </c>
      <c r="F62" s="743" t="s">
        <v>4821</v>
      </c>
      <c r="G62" s="645">
        <v>1</v>
      </c>
      <c r="H62" s="371">
        <v>163000</v>
      </c>
      <c r="I62" s="17">
        <f t="shared" si="3"/>
        <v>163000</v>
      </c>
      <c r="J62" s="364">
        <f t="shared" si="6"/>
        <v>40750</v>
      </c>
      <c r="K62" s="17">
        <f t="shared" si="4"/>
        <v>122250</v>
      </c>
      <c r="N62" s="17">
        <f t="shared" si="5"/>
        <v>122250</v>
      </c>
      <c r="O62" s="91" t="s">
        <v>23</v>
      </c>
      <c r="P62" s="10"/>
      <c r="Q62" s="91" t="s">
        <v>40</v>
      </c>
      <c r="R62" s="365"/>
      <c r="S62" s="737"/>
      <c r="T62" s="365"/>
      <c r="U62" s="365"/>
      <c r="V62" s="365"/>
      <c r="W62" s="365"/>
    </row>
    <row r="63" spans="1:23" s="364" customFormat="1">
      <c r="A63" s="9">
        <v>44379</v>
      </c>
      <c r="B63" s="91" t="s">
        <v>23</v>
      </c>
      <c r="C63" s="91" t="s">
        <v>4804</v>
      </c>
      <c r="D63" s="92" t="s">
        <v>4805</v>
      </c>
      <c r="E63" s="743" t="s">
        <v>4823</v>
      </c>
      <c r="F63" s="743" t="s">
        <v>4824</v>
      </c>
      <c r="G63" s="30">
        <v>1</v>
      </c>
      <c r="H63" s="371">
        <v>142000</v>
      </c>
      <c r="I63" s="17">
        <f t="shared" si="3"/>
        <v>142000</v>
      </c>
      <c r="J63" s="364">
        <f t="shared" si="6"/>
        <v>35500</v>
      </c>
      <c r="K63" s="17">
        <f t="shared" si="4"/>
        <v>106500</v>
      </c>
      <c r="L63" s="17"/>
      <c r="M63" s="365"/>
      <c r="N63" s="17">
        <f t="shared" si="5"/>
        <v>106500</v>
      </c>
      <c r="O63" s="91" t="s">
        <v>23</v>
      </c>
      <c r="P63" s="10"/>
      <c r="Q63" s="91" t="s">
        <v>40</v>
      </c>
      <c r="R63" s="365"/>
      <c r="S63" s="17"/>
      <c r="T63" s="365"/>
      <c r="U63" s="365"/>
      <c r="V63" s="365"/>
      <c r="W63" s="365"/>
    </row>
    <row r="64" spans="1:23" s="364" customFormat="1">
      <c r="A64" s="9">
        <v>44379</v>
      </c>
      <c r="B64" s="91" t="s">
        <v>23</v>
      </c>
      <c r="C64" s="91" t="s">
        <v>4804</v>
      </c>
      <c r="D64" s="92" t="s">
        <v>4805</v>
      </c>
      <c r="E64" s="743" t="s">
        <v>4825</v>
      </c>
      <c r="F64" s="743" t="s">
        <v>4826</v>
      </c>
      <c r="G64" s="30">
        <v>1</v>
      </c>
      <c r="H64" s="371">
        <v>61000</v>
      </c>
      <c r="I64" s="17">
        <f t="shared" si="3"/>
        <v>61000</v>
      </c>
      <c r="J64" s="364">
        <f t="shared" si="6"/>
        <v>15250</v>
      </c>
      <c r="K64" s="17">
        <f t="shared" si="4"/>
        <v>45750</v>
      </c>
      <c r="L64" s="365"/>
      <c r="M64" s="365"/>
      <c r="N64" s="17">
        <f t="shared" si="5"/>
        <v>45750</v>
      </c>
      <c r="O64" s="91" t="s">
        <v>23</v>
      </c>
      <c r="P64" s="10"/>
      <c r="Q64" s="91" t="s">
        <v>40</v>
      </c>
      <c r="R64" s="365"/>
      <c r="S64" s="17"/>
      <c r="T64" s="365"/>
      <c r="U64" s="365"/>
      <c r="V64" s="365"/>
      <c r="W64" s="365"/>
    </row>
    <row r="65" spans="1:23" s="364" customFormat="1">
      <c r="A65" s="9">
        <v>44379</v>
      </c>
      <c r="B65" s="91" t="s">
        <v>23</v>
      </c>
      <c r="C65" s="91" t="s">
        <v>4804</v>
      </c>
      <c r="D65" s="92" t="s">
        <v>4805</v>
      </c>
      <c r="E65" s="743" t="s">
        <v>4827</v>
      </c>
      <c r="F65" s="743" t="s">
        <v>4828</v>
      </c>
      <c r="G65" s="30">
        <v>1</v>
      </c>
      <c r="H65" s="371">
        <v>32000</v>
      </c>
      <c r="I65" s="17">
        <f t="shared" si="3"/>
        <v>32000</v>
      </c>
      <c r="J65" s="364">
        <f t="shared" si="6"/>
        <v>8000</v>
      </c>
      <c r="K65" s="17">
        <f t="shared" si="4"/>
        <v>24000</v>
      </c>
      <c r="L65" s="365"/>
      <c r="M65" s="365"/>
      <c r="N65" s="17">
        <f t="shared" si="5"/>
        <v>24000</v>
      </c>
      <c r="O65" s="91" t="s">
        <v>23</v>
      </c>
      <c r="P65" s="10"/>
      <c r="Q65" s="91" t="s">
        <v>40</v>
      </c>
      <c r="R65" s="365"/>
      <c r="S65" s="17"/>
      <c r="T65" s="365"/>
      <c r="U65" s="365"/>
      <c r="V65" s="365"/>
      <c r="W65" s="365"/>
    </row>
    <row r="66" spans="1:23" s="364" customFormat="1">
      <c r="A66" s="9">
        <v>44379</v>
      </c>
      <c r="B66" s="91" t="s">
        <v>23</v>
      </c>
      <c r="C66" s="91" t="s">
        <v>4804</v>
      </c>
      <c r="D66" s="92" t="s">
        <v>4805</v>
      </c>
      <c r="E66" s="743" t="s">
        <v>2129</v>
      </c>
      <c r="F66" s="743" t="s">
        <v>2130</v>
      </c>
      <c r="G66" s="30">
        <v>1</v>
      </c>
      <c r="H66" s="371">
        <v>84000</v>
      </c>
      <c r="I66" s="17">
        <f t="shared" ref="I66:I97" si="7">H66*G66</f>
        <v>84000</v>
      </c>
      <c r="J66" s="364">
        <f t="shared" si="6"/>
        <v>21000</v>
      </c>
      <c r="K66" s="17">
        <f t="shared" ref="K66:K97" si="8">I66-J66</f>
        <v>63000</v>
      </c>
      <c r="L66" s="365"/>
      <c r="M66" s="365"/>
      <c r="N66" s="17">
        <f t="shared" ref="N66:N97" si="9">K66+L66+M66</f>
        <v>63000</v>
      </c>
      <c r="O66" s="91" t="s">
        <v>23</v>
      </c>
      <c r="P66" s="10"/>
      <c r="Q66" s="91" t="s">
        <v>40</v>
      </c>
      <c r="R66" s="365"/>
      <c r="S66" s="17"/>
      <c r="T66" s="365"/>
      <c r="U66" s="365"/>
      <c r="V66" s="365"/>
      <c r="W66" s="365"/>
    </row>
    <row r="67" spans="1:23" s="364" customFormat="1">
      <c r="A67" s="9">
        <v>44379</v>
      </c>
      <c r="B67" s="91" t="s">
        <v>23</v>
      </c>
      <c r="C67" s="91" t="s">
        <v>4829</v>
      </c>
      <c r="D67" s="92" t="s">
        <v>4830</v>
      </c>
      <c r="E67" s="746" t="s">
        <v>4820</v>
      </c>
      <c r="F67" s="746" t="s">
        <v>4821</v>
      </c>
      <c r="G67" s="30">
        <v>1</v>
      </c>
      <c r="H67" s="371">
        <v>140500</v>
      </c>
      <c r="I67" s="17">
        <f t="shared" si="7"/>
        <v>140500</v>
      </c>
      <c r="J67" s="364">
        <f t="shared" si="6"/>
        <v>35125</v>
      </c>
      <c r="K67" s="17">
        <f t="shared" si="8"/>
        <v>105375</v>
      </c>
      <c r="L67" s="365"/>
      <c r="M67" s="365"/>
      <c r="N67" s="17">
        <f t="shared" si="9"/>
        <v>105375</v>
      </c>
      <c r="O67" s="91" t="s">
        <v>23</v>
      </c>
      <c r="P67" s="10"/>
      <c r="Q67" s="91" t="s">
        <v>40</v>
      </c>
      <c r="R67" s="365"/>
      <c r="S67" s="17"/>
      <c r="T67" s="365"/>
      <c r="U67" s="365"/>
      <c r="V67" s="365"/>
      <c r="W67" s="365"/>
    </row>
    <row r="68" spans="1:23" s="364" customFormat="1">
      <c r="A68" s="9">
        <v>44379</v>
      </c>
      <c r="B68" s="91" t="s">
        <v>23</v>
      </c>
      <c r="C68" s="91" t="s">
        <v>4829</v>
      </c>
      <c r="D68" s="92" t="s">
        <v>4830</v>
      </c>
      <c r="E68" s="746" t="s">
        <v>4822</v>
      </c>
      <c r="F68" s="746" t="s">
        <v>4821</v>
      </c>
      <c r="G68" s="645">
        <v>1</v>
      </c>
      <c r="H68" s="371">
        <v>163000</v>
      </c>
      <c r="I68" s="17">
        <f t="shared" si="7"/>
        <v>163000</v>
      </c>
      <c r="J68" s="364">
        <f t="shared" si="6"/>
        <v>40750</v>
      </c>
      <c r="K68" s="17">
        <f t="shared" si="8"/>
        <v>122250</v>
      </c>
      <c r="L68" s="365"/>
      <c r="M68" s="365"/>
      <c r="N68" s="17">
        <f t="shared" si="9"/>
        <v>122250</v>
      </c>
      <c r="O68" s="91" t="s">
        <v>23</v>
      </c>
      <c r="P68" s="10"/>
      <c r="Q68" s="91" t="s">
        <v>40</v>
      </c>
      <c r="R68" s="365"/>
      <c r="S68" s="17"/>
      <c r="T68" s="365"/>
      <c r="U68" s="365"/>
      <c r="V68" s="365"/>
      <c r="W68" s="365"/>
    </row>
    <row r="69" spans="1:23" s="364" customFormat="1" hidden="1">
      <c r="A69" s="9">
        <v>44382</v>
      </c>
      <c r="B69" s="91" t="s">
        <v>43</v>
      </c>
      <c r="C69" s="123" t="s">
        <v>4831</v>
      </c>
      <c r="D69" s="92" t="s">
        <v>4832</v>
      </c>
      <c r="E69" s="739" t="s">
        <v>4833</v>
      </c>
      <c r="F69" s="739" t="s">
        <v>4834</v>
      </c>
      <c r="G69" s="30">
        <v>1</v>
      </c>
      <c r="H69" s="18">
        <v>57000</v>
      </c>
      <c r="I69" s="17">
        <f t="shared" si="7"/>
        <v>57000</v>
      </c>
      <c r="J69" s="17"/>
      <c r="K69" s="17">
        <f t="shared" si="8"/>
        <v>57000</v>
      </c>
      <c r="L69" s="365"/>
      <c r="M69" s="365">
        <v>-3129</v>
      </c>
      <c r="N69" s="17">
        <f t="shared" si="9"/>
        <v>53871</v>
      </c>
      <c r="O69" s="91" t="s">
        <v>43</v>
      </c>
      <c r="P69" s="10"/>
      <c r="Q69" s="91" t="s">
        <v>54</v>
      </c>
      <c r="R69" s="365"/>
      <c r="S69" s="17"/>
      <c r="T69" s="365"/>
      <c r="U69" s="365"/>
      <c r="V69" s="365"/>
      <c r="W69" s="365"/>
    </row>
    <row r="70" spans="1:23" s="364" customFormat="1" hidden="1">
      <c r="A70" s="9">
        <v>44382</v>
      </c>
      <c r="B70" s="91" t="s">
        <v>43</v>
      </c>
      <c r="C70" s="91" t="s">
        <v>4835</v>
      </c>
      <c r="D70" s="92" t="s">
        <v>4836</v>
      </c>
      <c r="E70" s="738" t="s">
        <v>4837</v>
      </c>
      <c r="F70" s="738" t="s">
        <v>4838</v>
      </c>
      <c r="G70" s="30">
        <v>1</v>
      </c>
      <c r="H70" s="18">
        <v>47500</v>
      </c>
      <c r="I70" s="17">
        <f t="shared" si="7"/>
        <v>47500</v>
      </c>
      <c r="J70" s="365"/>
      <c r="K70" s="17">
        <f t="shared" si="8"/>
        <v>47500</v>
      </c>
      <c r="L70" s="365">
        <v>11000</v>
      </c>
      <c r="M70" s="365">
        <v>-14812</v>
      </c>
      <c r="N70" s="17">
        <f t="shared" si="9"/>
        <v>43688</v>
      </c>
      <c r="O70" s="91" t="s">
        <v>43</v>
      </c>
      <c r="P70" s="10"/>
      <c r="Q70" s="91" t="s">
        <v>54</v>
      </c>
      <c r="R70" s="365"/>
      <c r="S70" s="17"/>
      <c r="T70" s="365"/>
      <c r="U70" s="365"/>
      <c r="V70" s="365"/>
      <c r="W70" s="365"/>
    </row>
    <row r="71" spans="1:23" s="364" customFormat="1" hidden="1">
      <c r="A71" s="9">
        <v>44382</v>
      </c>
      <c r="B71" s="91" t="s">
        <v>43</v>
      </c>
      <c r="C71" s="91" t="s">
        <v>4835</v>
      </c>
      <c r="D71" s="92" t="s">
        <v>4836</v>
      </c>
      <c r="E71" s="738" t="s">
        <v>345</v>
      </c>
      <c r="F71" s="738" t="s">
        <v>1352</v>
      </c>
      <c r="G71" s="747">
        <v>1</v>
      </c>
      <c r="H71" s="18">
        <v>66000</v>
      </c>
      <c r="I71" s="17">
        <f t="shared" si="7"/>
        <v>66000</v>
      </c>
      <c r="J71" s="365"/>
      <c r="K71" s="17">
        <f t="shared" si="8"/>
        <v>66000</v>
      </c>
      <c r="L71" s="365"/>
      <c r="M71" s="365"/>
      <c r="N71" s="17">
        <f t="shared" si="9"/>
        <v>66000</v>
      </c>
      <c r="O71" s="91" t="s">
        <v>43</v>
      </c>
      <c r="P71" s="10"/>
      <c r="Q71" s="91" t="s">
        <v>54</v>
      </c>
      <c r="R71" s="365"/>
      <c r="S71" s="17"/>
      <c r="T71" s="365"/>
      <c r="U71" s="365"/>
      <c r="V71" s="365"/>
      <c r="W71" s="365"/>
    </row>
    <row r="72" spans="1:23" s="364" customFormat="1" hidden="1">
      <c r="A72" s="9">
        <v>44382</v>
      </c>
      <c r="B72" s="91" t="s">
        <v>43</v>
      </c>
      <c r="C72" s="91" t="s">
        <v>4835</v>
      </c>
      <c r="D72" s="92" t="s">
        <v>4836</v>
      </c>
      <c r="E72" s="738" t="s">
        <v>4546</v>
      </c>
      <c r="F72" s="738" t="s">
        <v>4547</v>
      </c>
      <c r="G72" s="30">
        <v>1</v>
      </c>
      <c r="H72" s="18">
        <v>78000</v>
      </c>
      <c r="I72" s="17">
        <f t="shared" si="7"/>
        <v>78000</v>
      </c>
      <c r="J72" s="365"/>
      <c r="K72" s="17">
        <f t="shared" si="8"/>
        <v>78000</v>
      </c>
      <c r="L72" s="365"/>
      <c r="M72" s="365"/>
      <c r="N72" s="17">
        <f t="shared" si="9"/>
        <v>78000</v>
      </c>
      <c r="O72" s="91" t="s">
        <v>43</v>
      </c>
      <c r="P72" s="10"/>
      <c r="Q72" s="91" t="s">
        <v>54</v>
      </c>
      <c r="R72" s="365"/>
      <c r="S72" s="17"/>
      <c r="T72" s="365"/>
      <c r="U72" s="365"/>
      <c r="V72" s="365"/>
      <c r="W72" s="365"/>
    </row>
    <row r="73" spans="1:23" s="364" customFormat="1" hidden="1">
      <c r="A73" s="9">
        <v>44382</v>
      </c>
      <c r="B73" s="91" t="s">
        <v>43</v>
      </c>
      <c r="C73" s="91" t="s">
        <v>4835</v>
      </c>
      <c r="D73" s="92" t="s">
        <v>4836</v>
      </c>
      <c r="E73" s="738" t="s">
        <v>2808</v>
      </c>
      <c r="F73" s="738" t="s">
        <v>4839</v>
      </c>
      <c r="G73" s="30">
        <v>1</v>
      </c>
      <c r="H73" s="18">
        <v>73000</v>
      </c>
      <c r="I73" s="17">
        <f t="shared" si="7"/>
        <v>73000</v>
      </c>
      <c r="J73" s="365"/>
      <c r="K73" s="17">
        <f t="shared" si="8"/>
        <v>73000</v>
      </c>
      <c r="L73" s="365"/>
      <c r="M73" s="365"/>
      <c r="N73" s="17">
        <f t="shared" si="9"/>
        <v>73000</v>
      </c>
      <c r="O73" s="91" t="s">
        <v>43</v>
      </c>
      <c r="P73" s="10"/>
      <c r="Q73" s="91" t="s">
        <v>54</v>
      </c>
      <c r="R73" s="365"/>
      <c r="S73" s="365"/>
      <c r="T73" s="365"/>
      <c r="U73" s="365"/>
      <c r="V73" s="365"/>
      <c r="W73" s="365"/>
    </row>
    <row r="74" spans="1:23" s="364" customFormat="1" hidden="1">
      <c r="A74" s="9">
        <v>44382</v>
      </c>
      <c r="B74" s="91" t="s">
        <v>43</v>
      </c>
      <c r="C74" s="123" t="s">
        <v>4840</v>
      </c>
      <c r="D74" s="92" t="s">
        <v>4841</v>
      </c>
      <c r="E74" s="739" t="s">
        <v>1056</v>
      </c>
      <c r="F74" s="739" t="s">
        <v>4842</v>
      </c>
      <c r="G74" s="30">
        <v>1</v>
      </c>
      <c r="H74" s="18">
        <v>155000</v>
      </c>
      <c r="I74" s="17">
        <f t="shared" si="7"/>
        <v>155000</v>
      </c>
      <c r="J74" s="365"/>
      <c r="K74" s="17">
        <f t="shared" si="8"/>
        <v>155000</v>
      </c>
      <c r="L74" s="365"/>
      <c r="M74" s="365">
        <v>-8680</v>
      </c>
      <c r="N74" s="17">
        <f t="shared" si="9"/>
        <v>146320</v>
      </c>
      <c r="O74" s="91" t="s">
        <v>43</v>
      </c>
      <c r="P74" s="10"/>
      <c r="Q74" s="91" t="s">
        <v>54</v>
      </c>
      <c r="R74" s="365"/>
      <c r="S74" s="737"/>
      <c r="T74" s="365"/>
      <c r="U74" s="365"/>
      <c r="V74" s="365"/>
      <c r="W74" s="365"/>
    </row>
    <row r="75" spans="1:23" s="364" customFormat="1" hidden="1">
      <c r="A75" s="9">
        <v>44382</v>
      </c>
      <c r="B75" s="91" t="s">
        <v>206</v>
      </c>
      <c r="C75" s="123" t="s">
        <v>4843</v>
      </c>
      <c r="D75" s="11" t="s">
        <v>4844</v>
      </c>
      <c r="E75" s="739" t="s">
        <v>4302</v>
      </c>
      <c r="F75" s="739" t="s">
        <v>4303</v>
      </c>
      <c r="G75" s="30">
        <v>1</v>
      </c>
      <c r="H75" s="18">
        <v>94000</v>
      </c>
      <c r="I75" s="17">
        <f t="shared" si="7"/>
        <v>94000</v>
      </c>
      <c r="J75" s="365"/>
      <c r="K75" s="17">
        <f t="shared" si="8"/>
        <v>94000</v>
      </c>
      <c r="L75" s="365">
        <v>39600</v>
      </c>
      <c r="M75" s="365"/>
      <c r="N75" s="17">
        <f t="shared" si="9"/>
        <v>133600</v>
      </c>
      <c r="O75" s="91" t="s">
        <v>206</v>
      </c>
      <c r="P75" s="11"/>
      <c r="Q75" s="91" t="s">
        <v>54</v>
      </c>
      <c r="R75" s="365"/>
      <c r="S75" s="17"/>
      <c r="T75" s="365"/>
      <c r="U75" s="365"/>
      <c r="V75" s="365"/>
      <c r="W75" s="365"/>
    </row>
    <row r="76" spans="1:23" s="364" customFormat="1" hidden="1">
      <c r="A76" s="9">
        <v>44382</v>
      </c>
      <c r="B76" s="91" t="s">
        <v>170</v>
      </c>
      <c r="C76" s="123" t="s">
        <v>4845</v>
      </c>
      <c r="D76" s="92" t="s">
        <v>4846</v>
      </c>
      <c r="E76" s="739" t="s">
        <v>4847</v>
      </c>
      <c r="F76" s="739" t="s">
        <v>4848</v>
      </c>
      <c r="G76" s="30">
        <v>1</v>
      </c>
      <c r="H76" s="18">
        <v>51000</v>
      </c>
      <c r="I76" s="17">
        <f t="shared" si="7"/>
        <v>51000</v>
      </c>
      <c r="J76" s="365"/>
      <c r="K76" s="17">
        <f t="shared" si="8"/>
        <v>51000</v>
      </c>
      <c r="L76" s="365">
        <f>12-12</f>
        <v>0</v>
      </c>
      <c r="M76" s="365"/>
      <c r="N76" s="17">
        <f t="shared" si="9"/>
        <v>51000</v>
      </c>
      <c r="O76" s="91" t="s">
        <v>170</v>
      </c>
      <c r="P76" s="11"/>
      <c r="Q76" s="91" t="s">
        <v>176</v>
      </c>
      <c r="R76" s="365"/>
      <c r="S76" s="17"/>
      <c r="T76" s="365"/>
      <c r="U76" s="365"/>
      <c r="V76" s="365"/>
      <c r="W76" s="365"/>
    </row>
    <row r="77" spans="1:23" s="364" customFormat="1" hidden="1">
      <c r="A77" s="9">
        <v>44382</v>
      </c>
      <c r="B77" s="91" t="s">
        <v>170</v>
      </c>
      <c r="C77" s="91" t="s">
        <v>4714</v>
      </c>
      <c r="D77" s="92" t="s">
        <v>4715</v>
      </c>
      <c r="E77" s="739" t="s">
        <v>2641</v>
      </c>
      <c r="F77" s="739" t="s">
        <v>2642</v>
      </c>
      <c r="G77" s="30">
        <v>1</v>
      </c>
      <c r="H77" s="18">
        <v>91000</v>
      </c>
      <c r="I77" s="17">
        <f t="shared" si="7"/>
        <v>91000</v>
      </c>
      <c r="J77" s="365"/>
      <c r="K77" s="17">
        <f t="shared" si="8"/>
        <v>91000</v>
      </c>
      <c r="L77" s="365">
        <f>117-117</f>
        <v>0</v>
      </c>
      <c r="M77" s="365"/>
      <c r="N77" s="17">
        <f t="shared" si="9"/>
        <v>91000</v>
      </c>
      <c r="O77" s="91" t="s">
        <v>170</v>
      </c>
      <c r="P77" s="11"/>
      <c r="Q77" s="91" t="s">
        <v>176</v>
      </c>
      <c r="R77" s="365"/>
      <c r="S77" s="17"/>
      <c r="T77" s="365"/>
      <c r="U77" s="365"/>
      <c r="V77" s="365"/>
      <c r="W77" s="365"/>
    </row>
    <row r="78" spans="1:23" s="364" customFormat="1" hidden="1">
      <c r="A78" s="9">
        <v>44382</v>
      </c>
      <c r="B78" s="91" t="s">
        <v>170</v>
      </c>
      <c r="C78" s="123" t="s">
        <v>4849</v>
      </c>
      <c r="D78" s="92" t="s">
        <v>4850</v>
      </c>
      <c r="E78" s="748" t="s">
        <v>4677</v>
      </c>
      <c r="F78" s="748" t="s">
        <v>4678</v>
      </c>
      <c r="G78" s="30">
        <v>1</v>
      </c>
      <c r="H78" s="18">
        <v>51500</v>
      </c>
      <c r="I78" s="17">
        <f t="shared" si="7"/>
        <v>51500</v>
      </c>
      <c r="J78" s="365"/>
      <c r="K78" s="17">
        <f t="shared" si="8"/>
        <v>51500</v>
      </c>
      <c r="L78" s="365">
        <v>7000</v>
      </c>
      <c r="M78" s="365"/>
      <c r="N78" s="17">
        <f t="shared" si="9"/>
        <v>58500</v>
      </c>
      <c r="O78" s="91" t="s">
        <v>170</v>
      </c>
      <c r="P78" s="11"/>
      <c r="Q78" s="91" t="s">
        <v>28</v>
      </c>
      <c r="R78" s="365"/>
      <c r="S78" s="17"/>
      <c r="T78" s="365"/>
      <c r="U78" s="365"/>
      <c r="V78" s="365"/>
      <c r="W78" s="365"/>
    </row>
    <row r="79" spans="1:23" s="364" customFormat="1" hidden="1">
      <c r="A79" s="9">
        <v>44382</v>
      </c>
      <c r="B79" s="91" t="s">
        <v>170</v>
      </c>
      <c r="C79" s="123" t="s">
        <v>4849</v>
      </c>
      <c r="D79" s="92" t="s">
        <v>4851</v>
      </c>
      <c r="E79" s="748" t="s">
        <v>4671</v>
      </c>
      <c r="F79" s="748" t="s">
        <v>4672</v>
      </c>
      <c r="G79" s="30">
        <v>1</v>
      </c>
      <c r="H79" s="18">
        <v>107000</v>
      </c>
      <c r="I79" s="17">
        <f t="shared" si="7"/>
        <v>107000</v>
      </c>
      <c r="J79" s="365"/>
      <c r="K79" s="17">
        <f t="shared" si="8"/>
        <v>107000</v>
      </c>
      <c r="L79" s="365"/>
      <c r="M79" s="365"/>
      <c r="N79" s="17">
        <f t="shared" si="9"/>
        <v>107000</v>
      </c>
      <c r="O79" s="91" t="s">
        <v>170</v>
      </c>
      <c r="P79" s="11"/>
      <c r="Q79" s="91" t="s">
        <v>28</v>
      </c>
      <c r="R79" s="365"/>
      <c r="S79" s="17"/>
      <c r="T79" s="365"/>
      <c r="U79" s="365"/>
      <c r="V79" s="365"/>
      <c r="W79" s="365"/>
    </row>
    <row r="80" spans="1:23" s="364" customFormat="1" hidden="1">
      <c r="A80" s="9">
        <v>44382</v>
      </c>
      <c r="B80" s="91" t="s">
        <v>170</v>
      </c>
      <c r="C80" s="123" t="s">
        <v>4849</v>
      </c>
      <c r="D80" s="92" t="s">
        <v>4852</v>
      </c>
      <c r="E80" s="748" t="s">
        <v>4853</v>
      </c>
      <c r="F80" s="748" t="s">
        <v>4854</v>
      </c>
      <c r="G80" s="30">
        <v>1</v>
      </c>
      <c r="H80" s="18">
        <v>93000</v>
      </c>
      <c r="I80" s="17">
        <f t="shared" si="7"/>
        <v>93000</v>
      </c>
      <c r="J80" s="365"/>
      <c r="K80" s="17">
        <f t="shared" si="8"/>
        <v>93000</v>
      </c>
      <c r="L80" s="365"/>
      <c r="M80" s="365"/>
      <c r="N80" s="17">
        <f t="shared" si="9"/>
        <v>93000</v>
      </c>
      <c r="O80" s="91" t="s">
        <v>170</v>
      </c>
      <c r="P80" s="10"/>
      <c r="Q80" s="91" t="s">
        <v>28</v>
      </c>
      <c r="R80" s="365"/>
      <c r="S80" s="17"/>
      <c r="T80" s="365"/>
      <c r="U80" s="365"/>
      <c r="V80" s="365"/>
      <c r="W80" s="365"/>
    </row>
    <row r="81" spans="1:23" s="76" customFormat="1" hidden="1">
      <c r="A81" s="9">
        <v>44382</v>
      </c>
      <c r="B81" s="91" t="s">
        <v>170</v>
      </c>
      <c r="C81" s="123" t="s">
        <v>4855</v>
      </c>
      <c r="D81" s="92" t="s">
        <v>4856</v>
      </c>
      <c r="E81" s="739" t="s">
        <v>1081</v>
      </c>
      <c r="F81" s="739" t="s">
        <v>1082</v>
      </c>
      <c r="G81" s="30">
        <v>1</v>
      </c>
      <c r="H81" s="86">
        <v>88000</v>
      </c>
      <c r="I81" s="92">
        <f t="shared" si="7"/>
        <v>88000</v>
      </c>
      <c r="J81" s="740">
        <f>I81*20%</f>
        <v>17600</v>
      </c>
      <c r="K81" s="92">
        <f t="shared" si="8"/>
        <v>70400</v>
      </c>
      <c r="L81" s="740">
        <f>14-14</f>
        <v>0</v>
      </c>
      <c r="M81" s="740"/>
      <c r="N81" s="17">
        <f t="shared" si="9"/>
        <v>70400</v>
      </c>
      <c r="O81" s="91" t="s">
        <v>170</v>
      </c>
      <c r="P81" s="10"/>
      <c r="Q81" s="91" t="s">
        <v>176</v>
      </c>
      <c r="R81" s="740"/>
      <c r="S81" s="92"/>
      <c r="T81" s="740"/>
      <c r="U81" s="740"/>
      <c r="V81" s="740"/>
      <c r="W81" s="740"/>
    </row>
    <row r="82" spans="1:23" s="364" customFormat="1" hidden="1">
      <c r="A82" s="9">
        <v>44383</v>
      </c>
      <c r="B82" s="91" t="s">
        <v>43</v>
      </c>
      <c r="C82" s="123" t="s">
        <v>4857</v>
      </c>
      <c r="D82" s="92" t="s">
        <v>4858</v>
      </c>
      <c r="E82" s="739" t="s">
        <v>3202</v>
      </c>
      <c r="F82" s="739" t="s">
        <v>3203</v>
      </c>
      <c r="G82" s="30">
        <v>1</v>
      </c>
      <c r="H82" s="86">
        <v>66500</v>
      </c>
      <c r="I82" s="92">
        <f t="shared" si="7"/>
        <v>66500</v>
      </c>
      <c r="J82" s="365"/>
      <c r="K82" s="92">
        <f t="shared" si="8"/>
        <v>66500</v>
      </c>
      <c r="L82" s="365">
        <v>1000</v>
      </c>
      <c r="M82" s="365">
        <v>-3724</v>
      </c>
      <c r="N82" s="17">
        <f t="shared" si="9"/>
        <v>63776</v>
      </c>
      <c r="O82" s="91" t="s">
        <v>43</v>
      </c>
      <c r="P82" s="11"/>
      <c r="Q82" s="91" t="s">
        <v>54</v>
      </c>
      <c r="R82" s="365"/>
      <c r="S82" s="17"/>
      <c r="T82" s="365"/>
      <c r="U82" s="365"/>
      <c r="V82" s="365"/>
      <c r="W82" s="365"/>
    </row>
    <row r="83" spans="1:23" s="364" customFormat="1" hidden="1">
      <c r="A83" s="9">
        <v>44383</v>
      </c>
      <c r="B83" s="91" t="s">
        <v>43</v>
      </c>
      <c r="C83" s="123" t="s">
        <v>4859</v>
      </c>
      <c r="D83" s="92" t="s">
        <v>4860</v>
      </c>
      <c r="E83" s="739" t="s">
        <v>4861</v>
      </c>
      <c r="F83" s="739" t="s">
        <v>4862</v>
      </c>
      <c r="G83" s="30">
        <v>1</v>
      </c>
      <c r="H83" s="86">
        <v>80500</v>
      </c>
      <c r="I83" s="92">
        <f t="shared" si="7"/>
        <v>80500</v>
      </c>
      <c r="J83" s="365"/>
      <c r="K83" s="92">
        <f t="shared" si="8"/>
        <v>80500</v>
      </c>
      <c r="L83" s="365">
        <v>20000</v>
      </c>
      <c r="M83" s="365">
        <v>-4508</v>
      </c>
      <c r="N83" s="17">
        <f t="shared" si="9"/>
        <v>95992</v>
      </c>
      <c r="O83" s="91" t="s">
        <v>43</v>
      </c>
      <c r="P83" s="10"/>
      <c r="Q83" s="91" t="s">
        <v>54</v>
      </c>
      <c r="R83" s="365"/>
      <c r="S83" s="365"/>
      <c r="T83" s="365"/>
      <c r="U83" s="365"/>
      <c r="V83" s="365"/>
      <c r="W83" s="365"/>
    </row>
    <row r="84" spans="1:23" s="364" customFormat="1" ht="302.39999999999998">
      <c r="A84" s="9">
        <v>44383</v>
      </c>
      <c r="B84" s="91" t="s">
        <v>43</v>
      </c>
      <c r="C84" s="91" t="s">
        <v>4863</v>
      </c>
      <c r="D84" s="930" t="s">
        <v>9426</v>
      </c>
      <c r="E84" s="739" t="s">
        <v>489</v>
      </c>
      <c r="F84" s="739" t="s">
        <v>490</v>
      </c>
      <c r="G84" s="30">
        <v>1</v>
      </c>
      <c r="H84" s="86">
        <v>72000</v>
      </c>
      <c r="I84" s="92">
        <f t="shared" si="7"/>
        <v>72000</v>
      </c>
      <c r="J84" s="365"/>
      <c r="K84" s="92">
        <f t="shared" si="8"/>
        <v>72000</v>
      </c>
      <c r="L84" s="365">
        <v>38000</v>
      </c>
      <c r="M84" s="365">
        <v>-4032</v>
      </c>
      <c r="N84" s="17">
        <f t="shared" si="9"/>
        <v>105968</v>
      </c>
      <c r="O84" s="91" t="s">
        <v>43</v>
      </c>
      <c r="P84" s="11"/>
      <c r="Q84" s="91" t="s">
        <v>54</v>
      </c>
      <c r="R84" s="365"/>
      <c r="S84" s="17"/>
      <c r="T84" s="365"/>
      <c r="U84" s="365"/>
      <c r="V84" s="365"/>
      <c r="W84" s="365"/>
    </row>
    <row r="85" spans="1:23" s="364" customFormat="1">
      <c r="A85" s="9">
        <v>44383</v>
      </c>
      <c r="B85" s="91" t="s">
        <v>170</v>
      </c>
      <c r="C85" s="123" t="s">
        <v>4864</v>
      </c>
      <c r="D85" s="29" t="s">
        <v>4865</v>
      </c>
      <c r="E85" s="743" t="s">
        <v>1208</v>
      </c>
      <c r="F85" s="743" t="s">
        <v>1209</v>
      </c>
      <c r="G85" s="30">
        <v>1</v>
      </c>
      <c r="H85" s="86">
        <v>88000</v>
      </c>
      <c r="I85" s="92">
        <f t="shared" si="7"/>
        <v>88000</v>
      </c>
      <c r="J85" s="365">
        <f>I85*20%</f>
        <v>17600</v>
      </c>
      <c r="K85" s="92">
        <f t="shared" si="8"/>
        <v>70400</v>
      </c>
      <c r="L85" s="365">
        <f>33-33</f>
        <v>0</v>
      </c>
      <c r="M85" s="365"/>
      <c r="N85" s="17">
        <f t="shared" si="9"/>
        <v>70400</v>
      </c>
      <c r="O85" s="91" t="s">
        <v>170</v>
      </c>
      <c r="P85" s="11"/>
      <c r="Q85" s="91" t="s">
        <v>176</v>
      </c>
      <c r="R85" s="365"/>
      <c r="S85" s="365"/>
      <c r="T85" s="365"/>
      <c r="U85" s="365"/>
      <c r="V85" s="365"/>
      <c r="W85" s="365"/>
    </row>
    <row r="86" spans="1:23" s="364" customFormat="1">
      <c r="A86" s="9">
        <v>44383</v>
      </c>
      <c r="B86" s="91" t="s">
        <v>170</v>
      </c>
      <c r="C86" s="123" t="s">
        <v>4864</v>
      </c>
      <c r="D86" s="29" t="s">
        <v>4866</v>
      </c>
      <c r="E86" s="743" t="s">
        <v>3426</v>
      </c>
      <c r="F86" s="743" t="s">
        <v>3427</v>
      </c>
      <c r="G86" s="30">
        <v>1</v>
      </c>
      <c r="H86" s="86">
        <v>54000</v>
      </c>
      <c r="I86" s="92">
        <f t="shared" si="7"/>
        <v>54000</v>
      </c>
      <c r="J86" s="365">
        <f>I86*20%</f>
        <v>10800</v>
      </c>
      <c r="K86" s="92">
        <f t="shared" si="8"/>
        <v>43200</v>
      </c>
      <c r="L86" s="365"/>
      <c r="M86" s="365"/>
      <c r="N86" s="17">
        <f t="shared" si="9"/>
        <v>43200</v>
      </c>
      <c r="O86" s="91" t="s">
        <v>170</v>
      </c>
      <c r="P86" s="10"/>
      <c r="Q86" s="91" t="s">
        <v>176</v>
      </c>
      <c r="R86" s="365"/>
      <c r="S86" s="365"/>
      <c r="T86" s="365"/>
      <c r="U86" s="365"/>
      <c r="V86" s="365"/>
      <c r="W86" s="365"/>
    </row>
    <row r="87" spans="1:23" s="364" customFormat="1">
      <c r="A87" s="9">
        <v>44383</v>
      </c>
      <c r="B87" s="91" t="s">
        <v>170</v>
      </c>
      <c r="C87" s="123" t="s">
        <v>4867</v>
      </c>
      <c r="D87" s="29" t="s">
        <v>4868</v>
      </c>
      <c r="E87" s="749" t="s">
        <v>4456</v>
      </c>
      <c r="F87" s="749" t="s">
        <v>4457</v>
      </c>
      <c r="G87" s="30">
        <v>1</v>
      </c>
      <c r="H87" s="86">
        <v>63000</v>
      </c>
      <c r="I87" s="92">
        <f t="shared" si="7"/>
        <v>63000</v>
      </c>
      <c r="J87" s="365"/>
      <c r="K87" s="92">
        <f t="shared" si="8"/>
        <v>63000</v>
      </c>
      <c r="L87" s="365"/>
      <c r="M87" s="365"/>
      <c r="N87" s="17">
        <f t="shared" si="9"/>
        <v>63000</v>
      </c>
      <c r="O87" s="91" t="s">
        <v>170</v>
      </c>
      <c r="P87" s="10"/>
      <c r="Q87" s="91" t="s">
        <v>176</v>
      </c>
      <c r="R87" s="365"/>
      <c r="S87" s="17"/>
      <c r="T87" s="365"/>
      <c r="U87" s="365"/>
      <c r="V87" s="365"/>
      <c r="W87" s="365"/>
    </row>
    <row r="88" spans="1:23" s="364" customFormat="1">
      <c r="A88" s="9">
        <v>44383</v>
      </c>
      <c r="B88" s="91" t="s">
        <v>170</v>
      </c>
      <c r="C88" s="123" t="s">
        <v>4867</v>
      </c>
      <c r="D88" s="29" t="s">
        <v>4869</v>
      </c>
      <c r="E88" s="749" t="s">
        <v>4870</v>
      </c>
      <c r="F88" s="749" t="s">
        <v>4871</v>
      </c>
      <c r="G88" s="30">
        <v>1</v>
      </c>
      <c r="H88" s="86">
        <v>114000</v>
      </c>
      <c r="I88" s="92">
        <f t="shared" si="7"/>
        <v>114000</v>
      </c>
      <c r="J88" s="365"/>
      <c r="K88" s="92">
        <f t="shared" si="8"/>
        <v>114000</v>
      </c>
      <c r="L88" s="365"/>
      <c r="M88" s="365"/>
      <c r="N88" s="17">
        <f t="shared" si="9"/>
        <v>114000</v>
      </c>
      <c r="O88" s="91" t="s">
        <v>170</v>
      </c>
      <c r="P88" s="10"/>
      <c r="Q88" s="91" t="s">
        <v>176</v>
      </c>
      <c r="R88" s="365"/>
      <c r="S88" s="17"/>
      <c r="T88" s="365"/>
      <c r="U88" s="365"/>
      <c r="V88" s="365"/>
      <c r="W88" s="365"/>
    </row>
    <row r="89" spans="1:23" s="364" customFormat="1">
      <c r="A89" s="9">
        <v>44383</v>
      </c>
      <c r="B89" s="91" t="s">
        <v>170</v>
      </c>
      <c r="C89" s="123" t="s">
        <v>4867</v>
      </c>
      <c r="D89" s="29" t="s">
        <v>4872</v>
      </c>
      <c r="E89" s="749" t="s">
        <v>4873</v>
      </c>
      <c r="F89" s="749" t="s">
        <v>4874</v>
      </c>
      <c r="G89" s="30">
        <v>1</v>
      </c>
      <c r="H89" s="86">
        <v>86000</v>
      </c>
      <c r="I89" s="92">
        <f t="shared" si="7"/>
        <v>86000</v>
      </c>
      <c r="J89" s="365">
        <f>17500</f>
        <v>17500</v>
      </c>
      <c r="K89" s="92">
        <f t="shared" si="8"/>
        <v>68500</v>
      </c>
      <c r="L89" s="365">
        <f>19-19</f>
        <v>0</v>
      </c>
      <c r="M89" s="365"/>
      <c r="N89" s="17">
        <f t="shared" si="9"/>
        <v>68500</v>
      </c>
      <c r="O89" s="91" t="s">
        <v>170</v>
      </c>
      <c r="P89" s="10"/>
      <c r="Q89" s="91" t="s">
        <v>176</v>
      </c>
      <c r="R89" s="365"/>
      <c r="S89" s="17"/>
      <c r="T89" s="365"/>
      <c r="U89" s="365"/>
      <c r="V89" s="365"/>
      <c r="W89" s="365"/>
    </row>
    <row r="90" spans="1:23" s="364" customFormat="1">
      <c r="A90" s="9">
        <v>44383</v>
      </c>
      <c r="B90" s="91" t="s">
        <v>170</v>
      </c>
      <c r="C90" s="123" t="s">
        <v>4867</v>
      </c>
      <c r="D90" s="29" t="s">
        <v>4875</v>
      </c>
      <c r="E90" s="749" t="s">
        <v>4876</v>
      </c>
      <c r="F90" s="749" t="s">
        <v>4877</v>
      </c>
      <c r="G90" s="30">
        <v>1</v>
      </c>
      <c r="H90" s="86">
        <v>89000</v>
      </c>
      <c r="I90" s="92">
        <f t="shared" si="7"/>
        <v>89000</v>
      </c>
      <c r="J90" s="365"/>
      <c r="K90" s="92">
        <f t="shared" si="8"/>
        <v>89000</v>
      </c>
      <c r="L90" s="365"/>
      <c r="M90" s="365"/>
      <c r="N90" s="17">
        <f t="shared" si="9"/>
        <v>89000</v>
      </c>
      <c r="O90" s="91" t="s">
        <v>170</v>
      </c>
      <c r="P90" s="10"/>
      <c r="Q90" s="91" t="s">
        <v>176</v>
      </c>
      <c r="R90" s="365"/>
      <c r="S90" s="17"/>
      <c r="T90" s="365"/>
      <c r="U90" s="365"/>
      <c r="V90" s="365"/>
      <c r="W90" s="365"/>
    </row>
    <row r="91" spans="1:23" s="364" customFormat="1">
      <c r="A91" s="9">
        <v>44383</v>
      </c>
      <c r="B91" s="91" t="s">
        <v>23</v>
      </c>
      <c r="C91" s="91" t="s">
        <v>4878</v>
      </c>
      <c r="D91" s="76" t="s">
        <v>4879</v>
      </c>
      <c r="E91" s="739" t="s">
        <v>4244</v>
      </c>
      <c r="F91" s="739" t="s">
        <v>4245</v>
      </c>
      <c r="G91" s="30">
        <v>1</v>
      </c>
      <c r="H91" s="86">
        <v>95500</v>
      </c>
      <c r="I91" s="92">
        <f t="shared" si="7"/>
        <v>95500</v>
      </c>
      <c r="J91" s="365"/>
      <c r="K91" s="92">
        <f t="shared" si="8"/>
        <v>95500</v>
      </c>
      <c r="L91" s="365">
        <v>17087</v>
      </c>
      <c r="M91" s="365"/>
      <c r="N91" s="17">
        <f t="shared" si="9"/>
        <v>112587</v>
      </c>
      <c r="O91" s="91" t="s">
        <v>23</v>
      </c>
      <c r="P91" s="11"/>
      <c r="Q91" s="91" t="s">
        <v>40</v>
      </c>
      <c r="R91" s="365"/>
      <c r="S91" s="365"/>
      <c r="T91" s="365"/>
      <c r="U91" s="365"/>
      <c r="V91" s="365"/>
      <c r="W91" s="365"/>
    </row>
    <row r="92" spans="1:23" s="76" customFormat="1" ht="17.25" customHeight="1">
      <c r="A92" s="9">
        <v>44383</v>
      </c>
      <c r="B92" s="91" t="s">
        <v>23</v>
      </c>
      <c r="C92" s="123" t="s">
        <v>4880</v>
      </c>
      <c r="D92" s="76" t="s">
        <v>4881</v>
      </c>
      <c r="E92" s="739" t="s">
        <v>4882</v>
      </c>
      <c r="F92" s="739" t="s">
        <v>4883</v>
      </c>
      <c r="G92" s="30">
        <v>1</v>
      </c>
      <c r="H92" s="86">
        <v>89500</v>
      </c>
      <c r="I92" s="92">
        <f t="shared" si="7"/>
        <v>89500</v>
      </c>
      <c r="J92" s="740"/>
      <c r="K92" s="92">
        <f t="shared" si="8"/>
        <v>89500</v>
      </c>
      <c r="L92" s="740">
        <v>39000</v>
      </c>
      <c r="M92" s="740"/>
      <c r="N92" s="17">
        <f t="shared" si="9"/>
        <v>128500</v>
      </c>
      <c r="O92" s="91" t="s">
        <v>23</v>
      </c>
      <c r="P92" s="10"/>
      <c r="Q92" s="91" t="s">
        <v>40</v>
      </c>
      <c r="R92" s="740"/>
      <c r="S92" s="92"/>
      <c r="T92" s="740"/>
      <c r="U92" s="740"/>
      <c r="V92" s="740"/>
      <c r="W92" s="740"/>
    </row>
    <row r="93" spans="1:23" s="364" customFormat="1">
      <c r="A93" s="9">
        <v>44384</v>
      </c>
      <c r="B93" s="91" t="s">
        <v>23</v>
      </c>
      <c r="C93" s="123" t="s">
        <v>4884</v>
      </c>
      <c r="D93" s="76" t="s">
        <v>4885</v>
      </c>
      <c r="E93" s="739" t="s">
        <v>4886</v>
      </c>
      <c r="F93" s="739" t="s">
        <v>3676</v>
      </c>
      <c r="G93" s="30">
        <v>6</v>
      </c>
      <c r="H93" s="86">
        <v>140000</v>
      </c>
      <c r="I93" s="92">
        <f t="shared" si="7"/>
        <v>840000</v>
      </c>
      <c r="J93" s="365"/>
      <c r="K93" s="92">
        <f t="shared" si="8"/>
        <v>840000</v>
      </c>
      <c r="L93" s="365">
        <v>132000</v>
      </c>
      <c r="M93" s="365"/>
      <c r="N93" s="17">
        <f t="shared" si="9"/>
        <v>972000</v>
      </c>
      <c r="O93" s="91" t="s">
        <v>23</v>
      </c>
      <c r="P93" s="10"/>
      <c r="Q93" s="91" t="s">
        <v>54</v>
      </c>
      <c r="R93" s="365"/>
      <c r="S93" s="17"/>
      <c r="T93" s="365"/>
      <c r="U93" s="365"/>
      <c r="V93" s="365"/>
      <c r="W93" s="365"/>
    </row>
    <row r="94" spans="1:23" s="364" customFormat="1" hidden="1">
      <c r="A94" s="9">
        <v>44384</v>
      </c>
      <c r="B94" s="91" t="s">
        <v>43</v>
      </c>
      <c r="C94" s="91" t="s">
        <v>4887</v>
      </c>
      <c r="D94" s="76" t="s">
        <v>4888</v>
      </c>
      <c r="E94" s="739" t="s">
        <v>4889</v>
      </c>
      <c r="F94" s="739" t="s">
        <v>4890</v>
      </c>
      <c r="G94" s="30">
        <v>1</v>
      </c>
      <c r="H94" s="86">
        <v>81500</v>
      </c>
      <c r="I94" s="92">
        <f t="shared" si="7"/>
        <v>81500</v>
      </c>
      <c r="J94" s="365"/>
      <c r="K94" s="92">
        <f t="shared" si="8"/>
        <v>81500</v>
      </c>
      <c r="L94" s="17">
        <v>5600</v>
      </c>
      <c r="M94" s="365">
        <v>-4564</v>
      </c>
      <c r="N94" s="17">
        <f t="shared" si="9"/>
        <v>82536</v>
      </c>
      <c r="O94" s="91" t="s">
        <v>43</v>
      </c>
      <c r="P94" s="11"/>
      <c r="Q94" s="91" t="s">
        <v>54</v>
      </c>
      <c r="R94" s="365"/>
      <c r="S94" s="17"/>
      <c r="T94" s="365"/>
      <c r="U94" s="365"/>
      <c r="V94" s="365"/>
      <c r="W94" s="365"/>
    </row>
    <row r="95" spans="1:23" s="364" customFormat="1" hidden="1">
      <c r="A95" s="9">
        <v>44384</v>
      </c>
      <c r="B95" s="91" t="s">
        <v>43</v>
      </c>
      <c r="C95" s="123" t="s">
        <v>4891</v>
      </c>
      <c r="D95" s="29" t="s">
        <v>4892</v>
      </c>
      <c r="E95" s="739" t="s">
        <v>4889</v>
      </c>
      <c r="F95" s="739" t="s">
        <v>4890</v>
      </c>
      <c r="G95" s="30">
        <v>1</v>
      </c>
      <c r="H95" s="86">
        <v>81500</v>
      </c>
      <c r="I95" s="92">
        <f t="shared" si="7"/>
        <v>81500</v>
      </c>
      <c r="J95" s="365"/>
      <c r="K95" s="92">
        <f t="shared" si="8"/>
        <v>81500</v>
      </c>
      <c r="L95" s="365"/>
      <c r="M95" s="365">
        <v>-4564</v>
      </c>
      <c r="N95" s="17">
        <f t="shared" si="9"/>
        <v>76936</v>
      </c>
      <c r="O95" s="91" t="s">
        <v>43</v>
      </c>
      <c r="P95" s="10"/>
      <c r="Q95" s="91" t="s">
        <v>54</v>
      </c>
      <c r="R95" s="365"/>
      <c r="S95" s="17"/>
      <c r="T95" s="365"/>
      <c r="U95" s="365"/>
      <c r="V95" s="365"/>
      <c r="W95" s="365"/>
    </row>
    <row r="96" spans="1:23" s="364" customFormat="1" ht="43.2" hidden="1">
      <c r="A96" s="290">
        <v>44384</v>
      </c>
      <c r="B96" s="213" t="s">
        <v>43</v>
      </c>
      <c r="C96" s="123" t="s">
        <v>4893</v>
      </c>
      <c r="D96" s="29" t="s">
        <v>4894</v>
      </c>
      <c r="E96" s="750" t="s">
        <v>345</v>
      </c>
      <c r="F96" s="750" t="s">
        <v>1352</v>
      </c>
      <c r="G96" s="751">
        <v>1</v>
      </c>
      <c r="H96" s="86">
        <v>66000</v>
      </c>
      <c r="I96" s="92">
        <f t="shared" si="7"/>
        <v>66000</v>
      </c>
      <c r="J96" s="365"/>
      <c r="K96" s="92">
        <f t="shared" si="8"/>
        <v>66000</v>
      </c>
      <c r="L96" s="17">
        <v>3000</v>
      </c>
      <c r="M96" s="365">
        <v>-3696</v>
      </c>
      <c r="N96" s="17">
        <f t="shared" si="9"/>
        <v>65304</v>
      </c>
      <c r="O96" s="213" t="s">
        <v>43</v>
      </c>
      <c r="P96" s="11"/>
      <c r="Q96" s="213" t="s">
        <v>176</v>
      </c>
      <c r="R96" s="365"/>
      <c r="S96" s="17"/>
      <c r="T96" s="365"/>
      <c r="U96" s="365"/>
      <c r="V96" s="365"/>
      <c r="W96" s="365"/>
    </row>
    <row r="97" spans="1:23" s="364" customFormat="1" hidden="1">
      <c r="A97" s="9">
        <v>44384</v>
      </c>
      <c r="B97" s="91" t="s">
        <v>206</v>
      </c>
      <c r="C97" s="123" t="s">
        <v>4895</v>
      </c>
      <c r="D97" s="76" t="s">
        <v>4896</v>
      </c>
      <c r="E97" s="752" t="s">
        <v>4897</v>
      </c>
      <c r="F97" s="752" t="s">
        <v>4898</v>
      </c>
      <c r="G97" s="30">
        <v>1</v>
      </c>
      <c r="H97" s="86">
        <v>104000</v>
      </c>
      <c r="I97" s="92">
        <f t="shared" si="7"/>
        <v>104000</v>
      </c>
      <c r="J97" s="365"/>
      <c r="K97" s="92">
        <f t="shared" si="8"/>
        <v>104000</v>
      </c>
      <c r="L97" s="17">
        <v>16300</v>
      </c>
      <c r="M97" s="365"/>
      <c r="N97" s="17">
        <f t="shared" si="9"/>
        <v>120300</v>
      </c>
      <c r="O97" s="91" t="s">
        <v>206</v>
      </c>
      <c r="P97" s="10"/>
      <c r="Q97" s="91" t="s">
        <v>28</v>
      </c>
      <c r="R97" s="365"/>
      <c r="S97" s="365"/>
      <c r="T97" s="365"/>
      <c r="U97" s="365"/>
      <c r="V97" s="365"/>
      <c r="W97" s="365"/>
    </row>
    <row r="98" spans="1:23" s="364" customFormat="1" hidden="1">
      <c r="A98" s="9">
        <v>44384</v>
      </c>
      <c r="B98" s="91" t="s">
        <v>206</v>
      </c>
      <c r="C98" s="123" t="s">
        <v>4895</v>
      </c>
      <c r="D98" s="76" t="s">
        <v>4896</v>
      </c>
      <c r="E98" s="752" t="s">
        <v>3984</v>
      </c>
      <c r="F98" s="752" t="s">
        <v>2107</v>
      </c>
      <c r="G98" s="30">
        <v>1</v>
      </c>
      <c r="H98" s="86">
        <v>70000</v>
      </c>
      <c r="I98" s="92">
        <f t="shared" ref="I98:I106" si="10">H98*G98</f>
        <v>70000</v>
      </c>
      <c r="J98" s="365"/>
      <c r="K98" s="92">
        <f t="shared" ref="K98:K119" si="11">I98-J98</f>
        <v>70000</v>
      </c>
      <c r="L98" s="365"/>
      <c r="M98" s="365"/>
      <c r="N98" s="17">
        <f t="shared" ref="N98:N119" si="12">K98+L98+M98</f>
        <v>70000</v>
      </c>
      <c r="O98" s="91" t="s">
        <v>206</v>
      </c>
      <c r="P98" s="10"/>
      <c r="Q98" s="91" t="s">
        <v>28</v>
      </c>
      <c r="R98" s="365"/>
      <c r="S98" s="365"/>
      <c r="T98" s="365"/>
      <c r="U98" s="365"/>
      <c r="V98" s="365"/>
      <c r="W98" s="365"/>
    </row>
    <row r="99" spans="1:23" s="364" customFormat="1" hidden="1">
      <c r="A99" s="9">
        <v>44384</v>
      </c>
      <c r="B99" s="91" t="s">
        <v>206</v>
      </c>
      <c r="C99" s="123" t="s">
        <v>4895</v>
      </c>
      <c r="D99" s="76" t="s">
        <v>4896</v>
      </c>
      <c r="E99" s="752" t="s">
        <v>4899</v>
      </c>
      <c r="F99" s="752" t="s">
        <v>4900</v>
      </c>
      <c r="G99" s="30">
        <v>1</v>
      </c>
      <c r="H99" s="86">
        <v>75000</v>
      </c>
      <c r="I99" s="92">
        <f t="shared" si="10"/>
        <v>75000</v>
      </c>
      <c r="J99" s="365"/>
      <c r="K99" s="92">
        <f t="shared" si="11"/>
        <v>75000</v>
      </c>
      <c r="L99" s="365"/>
      <c r="M99" s="365"/>
      <c r="N99" s="17">
        <f t="shared" si="12"/>
        <v>75000</v>
      </c>
      <c r="O99" s="91" t="s">
        <v>206</v>
      </c>
      <c r="P99" s="10"/>
      <c r="Q99" s="91" t="s">
        <v>28</v>
      </c>
      <c r="R99" s="365"/>
      <c r="S99" s="17"/>
      <c r="T99" s="365"/>
      <c r="U99" s="365"/>
      <c r="V99" s="365"/>
      <c r="W99" s="365"/>
    </row>
    <row r="100" spans="1:23" s="364" customFormat="1" hidden="1">
      <c r="A100" s="9">
        <v>44384</v>
      </c>
      <c r="B100" s="91" t="s">
        <v>206</v>
      </c>
      <c r="C100" s="123" t="s">
        <v>4895</v>
      </c>
      <c r="D100" s="76" t="s">
        <v>4896</v>
      </c>
      <c r="E100" s="752" t="s">
        <v>4901</v>
      </c>
      <c r="F100" s="752" t="s">
        <v>4902</v>
      </c>
      <c r="G100" s="30">
        <v>1</v>
      </c>
      <c r="H100" s="86">
        <v>70000</v>
      </c>
      <c r="I100" s="92">
        <f t="shared" si="10"/>
        <v>70000</v>
      </c>
      <c r="J100" s="365"/>
      <c r="K100" s="92">
        <f t="shared" si="11"/>
        <v>70000</v>
      </c>
      <c r="L100" s="365"/>
      <c r="M100" s="365"/>
      <c r="N100" s="17">
        <f t="shared" si="12"/>
        <v>70000</v>
      </c>
      <c r="O100" s="91" t="s">
        <v>206</v>
      </c>
      <c r="P100" s="10"/>
      <c r="Q100" s="91" t="s">
        <v>28</v>
      </c>
      <c r="R100" s="365"/>
      <c r="S100" s="17"/>
      <c r="T100" s="365"/>
      <c r="U100" s="365"/>
      <c r="V100" s="365"/>
      <c r="W100" s="365"/>
    </row>
    <row r="101" spans="1:23" s="364" customFormat="1" hidden="1">
      <c r="A101" s="9">
        <v>44384</v>
      </c>
      <c r="B101" s="91" t="s">
        <v>206</v>
      </c>
      <c r="C101" s="123" t="s">
        <v>4895</v>
      </c>
      <c r="D101" s="76" t="s">
        <v>4896</v>
      </c>
      <c r="E101" s="752" t="s">
        <v>4903</v>
      </c>
      <c r="F101" s="752" t="s">
        <v>3514</v>
      </c>
      <c r="G101" s="30">
        <v>1</v>
      </c>
      <c r="H101" s="86">
        <v>64500</v>
      </c>
      <c r="I101" s="92">
        <f t="shared" si="10"/>
        <v>64500</v>
      </c>
      <c r="J101" s="365"/>
      <c r="K101" s="92">
        <f t="shared" si="11"/>
        <v>64500</v>
      </c>
      <c r="L101" s="365"/>
      <c r="M101" s="365"/>
      <c r="N101" s="17">
        <f t="shared" si="12"/>
        <v>64500</v>
      </c>
      <c r="O101" s="91" t="s">
        <v>206</v>
      </c>
      <c r="P101" s="10"/>
      <c r="Q101" s="91" t="s">
        <v>28</v>
      </c>
      <c r="R101" s="365"/>
      <c r="S101" s="365"/>
      <c r="T101" s="365"/>
      <c r="U101" s="365"/>
      <c r="V101" s="365"/>
      <c r="W101" s="365"/>
    </row>
    <row r="102" spans="1:23" s="364" customFormat="1" hidden="1">
      <c r="A102" s="9">
        <v>44384</v>
      </c>
      <c r="B102" s="91" t="s">
        <v>206</v>
      </c>
      <c r="C102" s="123" t="s">
        <v>4895</v>
      </c>
      <c r="D102" s="76" t="s">
        <v>4896</v>
      </c>
      <c r="E102" s="752" t="s">
        <v>4904</v>
      </c>
      <c r="F102" s="752" t="s">
        <v>404</v>
      </c>
      <c r="G102" s="30">
        <v>1</v>
      </c>
      <c r="H102" s="86">
        <v>168000</v>
      </c>
      <c r="I102" s="92">
        <f t="shared" si="10"/>
        <v>168000</v>
      </c>
      <c r="K102" s="92">
        <f t="shared" si="11"/>
        <v>168000</v>
      </c>
      <c r="L102" s="365"/>
      <c r="M102" s="365"/>
      <c r="N102" s="17">
        <f t="shared" si="12"/>
        <v>168000</v>
      </c>
      <c r="O102" s="91" t="s">
        <v>206</v>
      </c>
      <c r="P102" s="11"/>
      <c r="Q102" s="91" t="s">
        <v>28</v>
      </c>
      <c r="R102" s="365"/>
      <c r="S102" s="17"/>
      <c r="T102" s="365"/>
      <c r="U102" s="365"/>
      <c r="V102" s="365"/>
      <c r="W102" s="365"/>
    </row>
    <row r="103" spans="1:23" s="364" customFormat="1" hidden="1">
      <c r="A103" s="9">
        <v>44384</v>
      </c>
      <c r="B103" s="91" t="s">
        <v>43</v>
      </c>
      <c r="C103" s="91" t="s">
        <v>4905</v>
      </c>
      <c r="D103" s="183" t="s">
        <v>4906</v>
      </c>
      <c r="E103" s="76" t="s">
        <v>679</v>
      </c>
      <c r="F103" s="76" t="s">
        <v>680</v>
      </c>
      <c r="G103" s="30">
        <v>1</v>
      </c>
      <c r="H103" s="86">
        <v>58500</v>
      </c>
      <c r="I103" s="92">
        <f t="shared" si="10"/>
        <v>58500</v>
      </c>
      <c r="K103" s="92">
        <f t="shared" si="11"/>
        <v>58500</v>
      </c>
      <c r="L103" s="365"/>
      <c r="M103" s="365">
        <v>-3276</v>
      </c>
      <c r="N103" s="17">
        <f t="shared" si="12"/>
        <v>55224</v>
      </c>
      <c r="O103" s="91" t="s">
        <v>43</v>
      </c>
      <c r="P103" s="10"/>
      <c r="Q103" s="91" t="s">
        <v>54</v>
      </c>
      <c r="R103" s="365"/>
      <c r="S103" s="365"/>
      <c r="T103" s="365"/>
      <c r="U103" s="365"/>
      <c r="V103" s="365"/>
      <c r="W103" s="365"/>
    </row>
    <row r="104" spans="1:23" s="364" customFormat="1" hidden="1">
      <c r="A104" s="9">
        <v>44384</v>
      </c>
      <c r="B104" s="91" t="s">
        <v>43</v>
      </c>
      <c r="C104" s="91" t="s">
        <v>4905</v>
      </c>
      <c r="D104" s="183" t="s">
        <v>4907</v>
      </c>
      <c r="E104" s="76" t="s">
        <v>679</v>
      </c>
      <c r="F104" s="76" t="s">
        <v>680</v>
      </c>
      <c r="G104" s="30">
        <v>1</v>
      </c>
      <c r="H104" s="86">
        <v>58500</v>
      </c>
      <c r="I104" s="92">
        <f t="shared" si="10"/>
        <v>58500</v>
      </c>
      <c r="K104" s="92">
        <f t="shared" si="11"/>
        <v>58500</v>
      </c>
      <c r="L104" s="365"/>
      <c r="M104" s="365">
        <v>-3276</v>
      </c>
      <c r="N104" s="17">
        <f t="shared" si="12"/>
        <v>55224</v>
      </c>
      <c r="O104" s="91" t="s">
        <v>43</v>
      </c>
      <c r="P104" s="11"/>
      <c r="Q104" s="91" t="s">
        <v>54</v>
      </c>
      <c r="R104" s="365"/>
      <c r="S104" s="17"/>
      <c r="T104" s="365"/>
      <c r="U104" s="365"/>
      <c r="V104" s="365"/>
      <c r="W104" s="365"/>
    </row>
    <row r="105" spans="1:23" s="364" customFormat="1" hidden="1">
      <c r="A105" s="9">
        <v>44384</v>
      </c>
      <c r="B105" s="91" t="s">
        <v>43</v>
      </c>
      <c r="C105" s="91" t="s">
        <v>4908</v>
      </c>
      <c r="D105" s="183" t="s">
        <v>4909</v>
      </c>
      <c r="E105" s="739" t="s">
        <v>276</v>
      </c>
      <c r="F105" s="739" t="s">
        <v>1266</v>
      </c>
      <c r="G105" s="30">
        <v>1</v>
      </c>
      <c r="H105" s="86">
        <v>101000</v>
      </c>
      <c r="I105" s="92">
        <f t="shared" si="10"/>
        <v>101000</v>
      </c>
      <c r="K105" s="92">
        <f t="shared" si="11"/>
        <v>101000</v>
      </c>
      <c r="L105" s="17">
        <v>18000</v>
      </c>
      <c r="M105" s="365">
        <v>-5656</v>
      </c>
      <c r="N105" s="17">
        <f t="shared" si="12"/>
        <v>113344</v>
      </c>
      <c r="O105" s="91" t="s">
        <v>43</v>
      </c>
      <c r="P105" s="10"/>
      <c r="Q105" s="91" t="s">
        <v>54</v>
      </c>
      <c r="R105" s="365"/>
      <c r="S105" s="17"/>
      <c r="T105" s="365"/>
      <c r="U105" s="365"/>
      <c r="V105" s="365"/>
      <c r="W105" s="365"/>
    </row>
    <row r="106" spans="1:23">
      <c r="A106" s="9">
        <v>44384</v>
      </c>
      <c r="B106" s="282" t="s">
        <v>23</v>
      </c>
      <c r="C106" s="282" t="s">
        <v>4949</v>
      </c>
      <c r="D106" s="183" t="s">
        <v>31</v>
      </c>
      <c r="E106" s="753" t="s">
        <v>4910</v>
      </c>
      <c r="F106" s="753" t="s">
        <v>4911</v>
      </c>
      <c r="G106" s="56">
        <v>12</v>
      </c>
      <c r="H106" s="86">
        <v>99000</v>
      </c>
      <c r="I106" s="92">
        <f t="shared" si="10"/>
        <v>1188000</v>
      </c>
      <c r="J106">
        <f>I106*50%</f>
        <v>594000</v>
      </c>
      <c r="K106" s="92">
        <f t="shared" si="11"/>
        <v>594000</v>
      </c>
      <c r="L106">
        <v>34000</v>
      </c>
      <c r="N106" s="17">
        <f t="shared" si="12"/>
        <v>628000</v>
      </c>
    </row>
    <row r="107" spans="1:23" hidden="1">
      <c r="A107" s="9">
        <v>44385</v>
      </c>
      <c r="B107" s="10" t="s">
        <v>313</v>
      </c>
      <c r="C107" s="10" t="s">
        <v>4912</v>
      </c>
      <c r="D107" s="76" t="s">
        <v>4913</v>
      </c>
      <c r="E107" s="739" t="s">
        <v>3322</v>
      </c>
      <c r="F107" s="739" t="s">
        <v>3323</v>
      </c>
      <c r="G107" s="30">
        <v>1</v>
      </c>
      <c r="H107" s="86">
        <v>195000</v>
      </c>
      <c r="I107" s="171">
        <f t="shared" ref="I107:I170" si="13">G107*H107</f>
        <v>195000</v>
      </c>
      <c r="J107" s="86"/>
      <c r="K107" s="86">
        <f t="shared" si="11"/>
        <v>195000</v>
      </c>
      <c r="L107" s="365">
        <v>17039</v>
      </c>
      <c r="M107" s="365"/>
      <c r="N107" s="171">
        <f t="shared" si="12"/>
        <v>212039</v>
      </c>
      <c r="O107" s="10" t="s">
        <v>313</v>
      </c>
      <c r="P107" s="10"/>
      <c r="Q107" s="10" t="s">
        <v>40</v>
      </c>
    </row>
    <row r="108" spans="1:23" hidden="1">
      <c r="A108" s="9">
        <v>44385</v>
      </c>
      <c r="B108" s="10" t="s">
        <v>206</v>
      </c>
      <c r="C108" s="11" t="s">
        <v>4914</v>
      </c>
      <c r="D108" s="76" t="s">
        <v>4915</v>
      </c>
      <c r="E108" s="739" t="s">
        <v>4916</v>
      </c>
      <c r="F108" s="739" t="s">
        <v>4917</v>
      </c>
      <c r="G108" s="30">
        <v>1</v>
      </c>
      <c r="H108" s="86">
        <v>121000</v>
      </c>
      <c r="I108" s="171">
        <f t="shared" si="13"/>
        <v>121000</v>
      </c>
      <c r="J108" s="365"/>
      <c r="K108" s="86">
        <f t="shared" si="11"/>
        <v>121000</v>
      </c>
      <c r="L108" s="365">
        <v>52700</v>
      </c>
      <c r="M108" s="365"/>
      <c r="N108" s="171">
        <f t="shared" si="12"/>
        <v>173700</v>
      </c>
      <c r="O108" s="10" t="s">
        <v>206</v>
      </c>
      <c r="P108" s="10"/>
      <c r="Q108" s="10" t="s">
        <v>28</v>
      </c>
    </row>
    <row r="109" spans="1:23">
      <c r="A109" s="9">
        <v>44385</v>
      </c>
      <c r="B109" s="91" t="s">
        <v>23</v>
      </c>
      <c r="C109" s="123" t="s">
        <v>4918</v>
      </c>
      <c r="D109" s="76" t="s">
        <v>4919</v>
      </c>
      <c r="E109" s="754" t="s">
        <v>4920</v>
      </c>
      <c r="F109" s="754" t="s">
        <v>4921</v>
      </c>
      <c r="G109" s="30">
        <v>1</v>
      </c>
      <c r="H109" s="86">
        <v>112000</v>
      </c>
      <c r="I109" s="171">
        <f t="shared" si="13"/>
        <v>112000</v>
      </c>
      <c r="J109" s="365"/>
      <c r="K109" s="86">
        <f t="shared" si="11"/>
        <v>112000</v>
      </c>
      <c r="L109" s="17">
        <v>20000</v>
      </c>
      <c r="M109" s="365"/>
      <c r="N109" s="171">
        <f t="shared" si="12"/>
        <v>132000</v>
      </c>
      <c r="O109" s="91" t="s">
        <v>23</v>
      </c>
      <c r="P109" s="11"/>
      <c r="Q109" s="91" t="s">
        <v>40</v>
      </c>
    </row>
    <row r="110" spans="1:23">
      <c r="A110" s="9">
        <v>44385</v>
      </c>
      <c r="B110" s="91" t="s">
        <v>23</v>
      </c>
      <c r="C110" s="123" t="s">
        <v>4918</v>
      </c>
      <c r="D110" s="76" t="s">
        <v>4919</v>
      </c>
      <c r="E110" s="754" t="s">
        <v>679</v>
      </c>
      <c r="F110" s="754" t="s">
        <v>680</v>
      </c>
      <c r="G110" s="30">
        <v>1</v>
      </c>
      <c r="H110" s="86">
        <v>58500</v>
      </c>
      <c r="I110" s="171">
        <f t="shared" si="13"/>
        <v>58500</v>
      </c>
      <c r="J110" s="365"/>
      <c r="K110" s="86">
        <f t="shared" si="11"/>
        <v>58500</v>
      </c>
      <c r="L110" s="365"/>
      <c r="M110" s="365"/>
      <c r="N110" s="171">
        <f t="shared" si="12"/>
        <v>58500</v>
      </c>
      <c r="O110" s="91" t="s">
        <v>23</v>
      </c>
      <c r="P110" s="10"/>
      <c r="Q110" s="91" t="s">
        <v>40</v>
      </c>
    </row>
    <row r="111" spans="1:23">
      <c r="A111" s="9">
        <v>44385</v>
      </c>
      <c r="B111" s="91" t="s">
        <v>23</v>
      </c>
      <c r="C111" s="123" t="s">
        <v>4918</v>
      </c>
      <c r="D111" s="76" t="s">
        <v>4919</v>
      </c>
      <c r="E111" s="754" t="s">
        <v>2056</v>
      </c>
      <c r="F111" s="754" t="s">
        <v>2057</v>
      </c>
      <c r="G111" s="30">
        <v>1</v>
      </c>
      <c r="H111" s="86">
        <v>59500</v>
      </c>
      <c r="I111" s="171">
        <f t="shared" si="13"/>
        <v>59500</v>
      </c>
      <c r="J111" s="365"/>
      <c r="K111" s="86">
        <f t="shared" si="11"/>
        <v>59500</v>
      </c>
      <c r="L111" s="365"/>
      <c r="M111" s="365"/>
      <c r="N111" s="171">
        <f t="shared" si="12"/>
        <v>59500</v>
      </c>
      <c r="O111" s="91" t="s">
        <v>23</v>
      </c>
      <c r="P111" s="10"/>
      <c r="Q111" s="91" t="s">
        <v>40</v>
      </c>
    </row>
    <row r="112" spans="1:23">
      <c r="A112" s="9">
        <v>44385</v>
      </c>
      <c r="B112" s="91" t="s">
        <v>23</v>
      </c>
      <c r="C112" s="123" t="s">
        <v>4922</v>
      </c>
      <c r="D112" s="76" t="s">
        <v>4923</v>
      </c>
      <c r="E112" s="739" t="s">
        <v>1685</v>
      </c>
      <c r="F112" s="739" t="s">
        <v>1686</v>
      </c>
      <c r="G112" s="30">
        <v>1</v>
      </c>
      <c r="H112" s="86">
        <v>105000</v>
      </c>
      <c r="I112" s="171">
        <f t="shared" si="13"/>
        <v>105000</v>
      </c>
      <c r="J112" s="365"/>
      <c r="K112" s="86">
        <f t="shared" si="11"/>
        <v>105000</v>
      </c>
      <c r="L112" s="17">
        <v>16000</v>
      </c>
      <c r="M112" s="365"/>
      <c r="N112" s="171">
        <f t="shared" si="12"/>
        <v>121000</v>
      </c>
      <c r="O112" s="91" t="s">
        <v>23</v>
      </c>
      <c r="P112" s="11"/>
      <c r="Q112" s="91" t="s">
        <v>40</v>
      </c>
    </row>
    <row r="113" spans="1:23" hidden="1">
      <c r="A113" s="9">
        <v>44386</v>
      </c>
      <c r="B113" s="91" t="s">
        <v>43</v>
      </c>
      <c r="C113" s="123" t="s">
        <v>4924</v>
      </c>
      <c r="D113" s="76" t="s">
        <v>4925</v>
      </c>
      <c r="E113" s="739" t="s">
        <v>4926</v>
      </c>
      <c r="F113" s="739" t="s">
        <v>4927</v>
      </c>
      <c r="G113" s="30">
        <v>1</v>
      </c>
      <c r="H113" s="86">
        <v>109000</v>
      </c>
      <c r="I113" s="171">
        <f t="shared" si="13"/>
        <v>109000</v>
      </c>
      <c r="J113" s="365"/>
      <c r="K113" s="86">
        <f t="shared" si="11"/>
        <v>109000</v>
      </c>
      <c r="L113" s="17">
        <v>5600</v>
      </c>
      <c r="M113" s="365">
        <v>-6104</v>
      </c>
      <c r="N113" s="171">
        <f t="shared" si="12"/>
        <v>108496</v>
      </c>
      <c r="O113" s="91" t="s">
        <v>43</v>
      </c>
      <c r="P113" s="10"/>
      <c r="Q113" s="91" t="s">
        <v>54</v>
      </c>
    </row>
    <row r="114" spans="1:23" hidden="1">
      <c r="A114" s="9">
        <v>44386</v>
      </c>
      <c r="B114" s="91" t="s">
        <v>170</v>
      </c>
      <c r="C114" s="123" t="s">
        <v>4928</v>
      </c>
      <c r="D114" s="76" t="s">
        <v>4929</v>
      </c>
      <c r="E114" s="739" t="s">
        <v>252</v>
      </c>
      <c r="F114" s="739" t="s">
        <v>253</v>
      </c>
      <c r="G114" s="30">
        <v>1</v>
      </c>
      <c r="H114" s="86">
        <v>82000</v>
      </c>
      <c r="I114" s="171">
        <f t="shared" si="13"/>
        <v>82000</v>
      </c>
      <c r="J114" s="365"/>
      <c r="K114" s="86">
        <f t="shared" si="11"/>
        <v>82000</v>
      </c>
      <c r="L114" s="365">
        <f>18000-18000</f>
        <v>0</v>
      </c>
      <c r="M114" s="365"/>
      <c r="N114" s="171">
        <f t="shared" si="12"/>
        <v>82000</v>
      </c>
      <c r="O114" s="91" t="s">
        <v>170</v>
      </c>
      <c r="P114" s="10"/>
      <c r="Q114" s="91" t="s">
        <v>176</v>
      </c>
    </row>
    <row r="115" spans="1:23" hidden="1">
      <c r="A115" s="9">
        <v>44386</v>
      </c>
      <c r="B115" s="91" t="s">
        <v>170</v>
      </c>
      <c r="C115" s="123" t="s">
        <v>4930</v>
      </c>
      <c r="D115" s="29" t="s">
        <v>4931</v>
      </c>
      <c r="E115" s="743" t="s">
        <v>4932</v>
      </c>
      <c r="F115" s="743" t="s">
        <v>4933</v>
      </c>
      <c r="G115" s="30">
        <v>1</v>
      </c>
      <c r="H115" s="86">
        <v>82000</v>
      </c>
      <c r="I115" s="171">
        <f t="shared" si="13"/>
        <v>82000</v>
      </c>
      <c r="J115" s="365">
        <v>-40000</v>
      </c>
      <c r="K115" s="86">
        <f t="shared" si="11"/>
        <v>122000</v>
      </c>
      <c r="L115" s="365">
        <f>38000-38000</f>
        <v>0</v>
      </c>
      <c r="M115" s="365"/>
      <c r="N115" s="171">
        <f t="shared" si="12"/>
        <v>122000</v>
      </c>
      <c r="O115" s="91" t="s">
        <v>170</v>
      </c>
      <c r="P115" s="10"/>
      <c r="Q115" s="91" t="s">
        <v>54</v>
      </c>
    </row>
    <row r="116" spans="1:23" hidden="1">
      <c r="A116" s="9">
        <v>44386</v>
      </c>
      <c r="B116" s="91" t="s">
        <v>170</v>
      </c>
      <c r="C116" s="123" t="s">
        <v>4930</v>
      </c>
      <c r="D116" s="29" t="s">
        <v>4934</v>
      </c>
      <c r="E116" s="743" t="s">
        <v>781</v>
      </c>
      <c r="F116" s="743" t="s">
        <v>782</v>
      </c>
      <c r="G116" s="30">
        <v>1</v>
      </c>
      <c r="H116" s="86">
        <v>57500</v>
      </c>
      <c r="I116" s="171">
        <f t="shared" si="13"/>
        <v>57500</v>
      </c>
      <c r="J116" s="365"/>
      <c r="K116" s="86">
        <f t="shared" si="11"/>
        <v>57500</v>
      </c>
      <c r="L116" s="365"/>
      <c r="M116" s="365"/>
      <c r="N116" s="171">
        <f t="shared" si="12"/>
        <v>57500</v>
      </c>
      <c r="O116" s="91" t="s">
        <v>170</v>
      </c>
      <c r="P116" s="10"/>
      <c r="Q116" s="91" t="s">
        <v>54</v>
      </c>
    </row>
    <row r="117" spans="1:23" hidden="1">
      <c r="A117" s="9">
        <v>44386</v>
      </c>
      <c r="B117" s="91" t="s">
        <v>170</v>
      </c>
      <c r="C117" s="123" t="s">
        <v>4930</v>
      </c>
      <c r="D117" s="29" t="s">
        <v>4935</v>
      </c>
      <c r="E117" s="743" t="s">
        <v>4065</v>
      </c>
      <c r="F117" s="743" t="s">
        <v>4066</v>
      </c>
      <c r="G117" s="30">
        <v>1</v>
      </c>
      <c r="H117" s="86">
        <v>64000</v>
      </c>
      <c r="I117" s="171">
        <f t="shared" si="13"/>
        <v>64000</v>
      </c>
      <c r="J117" s="365"/>
      <c r="K117" s="86">
        <f t="shared" si="11"/>
        <v>64000</v>
      </c>
      <c r="L117" s="365"/>
      <c r="M117" s="365"/>
      <c r="N117" s="171">
        <f t="shared" si="12"/>
        <v>64000</v>
      </c>
      <c r="O117" s="91" t="s">
        <v>170</v>
      </c>
      <c r="P117" s="10"/>
      <c r="Q117" s="91" t="s">
        <v>54</v>
      </c>
    </row>
    <row r="118" spans="1:23" s="364" customFormat="1" hidden="1">
      <c r="A118" s="9">
        <v>44386</v>
      </c>
      <c r="B118" s="91" t="s">
        <v>170</v>
      </c>
      <c r="C118" s="123" t="s">
        <v>4930</v>
      </c>
      <c r="D118" s="29" t="s">
        <v>4936</v>
      </c>
      <c r="E118" s="743" t="s">
        <v>4937</v>
      </c>
      <c r="F118" s="743" t="s">
        <v>4938</v>
      </c>
      <c r="G118" s="30">
        <v>1</v>
      </c>
      <c r="H118" s="86">
        <v>87000</v>
      </c>
      <c r="I118" s="171">
        <f t="shared" si="13"/>
        <v>87000</v>
      </c>
      <c r="J118" s="365"/>
      <c r="K118" s="86">
        <f t="shared" si="11"/>
        <v>87000</v>
      </c>
      <c r="L118" s="365"/>
      <c r="M118" s="365"/>
      <c r="N118" s="171">
        <f t="shared" si="12"/>
        <v>87000</v>
      </c>
      <c r="O118" s="91" t="s">
        <v>170</v>
      </c>
      <c r="P118" s="10"/>
      <c r="Q118" s="91" t="s">
        <v>54</v>
      </c>
      <c r="R118" s="365"/>
      <c r="S118" s="17"/>
      <c r="T118" s="365"/>
      <c r="U118" s="365"/>
      <c r="V118" s="365"/>
      <c r="W118" s="365"/>
    </row>
    <row r="119" spans="1:23" s="364" customFormat="1" hidden="1">
      <c r="A119" s="9">
        <v>44386</v>
      </c>
      <c r="B119" s="91" t="s">
        <v>43</v>
      </c>
      <c r="C119" s="123" t="s">
        <v>4939</v>
      </c>
      <c r="D119" s="92" t="s">
        <v>4940</v>
      </c>
      <c r="E119" s="739" t="s">
        <v>4153</v>
      </c>
      <c r="F119" s="739" t="s">
        <v>4154</v>
      </c>
      <c r="G119" s="645">
        <v>1</v>
      </c>
      <c r="H119" s="86">
        <v>60000</v>
      </c>
      <c r="I119" s="171">
        <f t="shared" si="13"/>
        <v>60000</v>
      </c>
      <c r="J119" s="365"/>
      <c r="K119" s="86">
        <f t="shared" si="11"/>
        <v>60000</v>
      </c>
      <c r="L119" s="365">
        <v>5600</v>
      </c>
      <c r="M119" s="365">
        <v>-3360</v>
      </c>
      <c r="N119" s="171">
        <f t="shared" si="12"/>
        <v>62240</v>
      </c>
      <c r="O119" s="91" t="s">
        <v>43</v>
      </c>
      <c r="P119" s="10"/>
      <c r="Q119" s="91" t="s">
        <v>54</v>
      </c>
      <c r="R119" s="365"/>
      <c r="S119" s="17"/>
      <c r="T119" s="365"/>
      <c r="U119" s="365"/>
      <c r="V119" s="365"/>
      <c r="W119" s="365"/>
    </row>
    <row r="120" spans="1:23" s="364" customFormat="1" hidden="1">
      <c r="A120" s="9">
        <v>44386</v>
      </c>
      <c r="B120" s="91" t="s">
        <v>43</v>
      </c>
      <c r="C120" s="123" t="s">
        <v>4941</v>
      </c>
      <c r="D120" s="92" t="s">
        <v>4942</v>
      </c>
      <c r="E120" s="739" t="s">
        <v>4302</v>
      </c>
      <c r="F120" s="739" t="s">
        <v>4303</v>
      </c>
      <c r="G120" s="30">
        <v>1</v>
      </c>
      <c r="H120" s="86">
        <v>94000</v>
      </c>
      <c r="I120" s="171">
        <f t="shared" si="13"/>
        <v>94000</v>
      </c>
      <c r="J120" s="365"/>
      <c r="K120" s="86">
        <f t="shared" ref="K120:K183" si="14">I120-J120</f>
        <v>94000</v>
      </c>
      <c r="L120" s="365"/>
      <c r="M120" s="365">
        <v>-5264</v>
      </c>
      <c r="N120" s="171">
        <f t="shared" ref="N120:N183" si="15">K120+L120+M120</f>
        <v>88736</v>
      </c>
      <c r="O120" s="91" t="s">
        <v>43</v>
      </c>
      <c r="P120" s="10"/>
      <c r="Q120" s="91" t="s">
        <v>54</v>
      </c>
      <c r="R120" s="365"/>
      <c r="S120" s="365"/>
      <c r="T120" s="365"/>
      <c r="U120" s="365"/>
      <c r="V120" s="365"/>
      <c r="W120" s="365"/>
    </row>
    <row r="121" spans="1:23" s="364" customFormat="1">
      <c r="A121" s="9">
        <v>44386</v>
      </c>
      <c r="B121" s="10" t="s">
        <v>23</v>
      </c>
      <c r="C121" s="10" t="s">
        <v>4943</v>
      </c>
      <c r="D121" s="92" t="s">
        <v>4944</v>
      </c>
      <c r="E121" s="746" t="s">
        <v>4945</v>
      </c>
      <c r="F121" s="746" t="s">
        <v>4946</v>
      </c>
      <c r="G121" s="30">
        <v>1</v>
      </c>
      <c r="H121" s="86">
        <v>68500</v>
      </c>
      <c r="I121" s="171">
        <f t="shared" si="13"/>
        <v>68500</v>
      </c>
      <c r="J121" s="365">
        <f>I121*10%</f>
        <v>6850</v>
      </c>
      <c r="K121" s="86">
        <f t="shared" si="14"/>
        <v>61650</v>
      </c>
      <c r="L121" s="365">
        <v>55000</v>
      </c>
      <c r="M121" s="365"/>
      <c r="N121" s="171">
        <f t="shared" si="15"/>
        <v>116650</v>
      </c>
      <c r="O121" s="10" t="s">
        <v>23</v>
      </c>
      <c r="P121" s="10"/>
      <c r="Q121" s="10" t="s">
        <v>40</v>
      </c>
      <c r="R121" s="365"/>
      <c r="S121" s="365"/>
      <c r="T121" s="365"/>
      <c r="U121" s="365"/>
      <c r="V121" s="365"/>
      <c r="W121" s="365"/>
    </row>
    <row r="122" spans="1:23" s="364" customFormat="1">
      <c r="A122" s="9">
        <v>44386</v>
      </c>
      <c r="B122" s="10" t="s">
        <v>23</v>
      </c>
      <c r="C122" s="10" t="s">
        <v>4943</v>
      </c>
      <c r="D122" s="92" t="s">
        <v>4944</v>
      </c>
      <c r="E122" s="746" t="s">
        <v>4947</v>
      </c>
      <c r="F122" s="746" t="s">
        <v>4948</v>
      </c>
      <c r="G122" s="30">
        <v>1</v>
      </c>
      <c r="H122" s="86">
        <v>116000</v>
      </c>
      <c r="I122" s="171">
        <f t="shared" si="13"/>
        <v>116000</v>
      </c>
      <c r="J122" s="365">
        <f>I122*10%</f>
        <v>11600</v>
      </c>
      <c r="K122" s="86">
        <f t="shared" si="14"/>
        <v>104400</v>
      </c>
      <c r="L122" s="365"/>
      <c r="M122" s="365"/>
      <c r="N122" s="171">
        <f t="shared" si="15"/>
        <v>104400</v>
      </c>
      <c r="O122" s="10" t="s">
        <v>23</v>
      </c>
      <c r="P122" s="10"/>
      <c r="Q122" s="10" t="s">
        <v>40</v>
      </c>
      <c r="R122" s="365"/>
      <c r="S122" s="365"/>
      <c r="T122" s="365"/>
      <c r="U122" s="365"/>
      <c r="V122" s="365"/>
      <c r="W122" s="365"/>
    </row>
    <row r="123" spans="1:23" s="364" customFormat="1" hidden="1">
      <c r="A123" s="9">
        <v>44389</v>
      </c>
      <c r="B123" s="91" t="s">
        <v>43</v>
      </c>
      <c r="C123" s="91" t="s">
        <v>4950</v>
      </c>
      <c r="D123" s="92" t="s">
        <v>4951</v>
      </c>
      <c r="E123" s="739" t="s">
        <v>489</v>
      </c>
      <c r="F123" s="739" t="s">
        <v>490</v>
      </c>
      <c r="G123" s="30">
        <v>1</v>
      </c>
      <c r="H123" s="86">
        <v>72000</v>
      </c>
      <c r="I123" s="171">
        <f t="shared" si="13"/>
        <v>72000</v>
      </c>
      <c r="K123" s="86">
        <f t="shared" si="14"/>
        <v>72000</v>
      </c>
      <c r="L123" s="365">
        <v>16000</v>
      </c>
      <c r="M123" s="365">
        <v>-4032</v>
      </c>
      <c r="N123" s="171">
        <f t="shared" si="15"/>
        <v>83968</v>
      </c>
      <c r="O123" s="91" t="s">
        <v>43</v>
      </c>
      <c r="P123" s="11"/>
      <c r="Q123" s="91" t="s">
        <v>54</v>
      </c>
      <c r="R123" s="365"/>
      <c r="S123" s="737"/>
      <c r="T123" s="365"/>
      <c r="U123" s="365"/>
      <c r="V123" s="365"/>
      <c r="W123" s="365"/>
    </row>
    <row r="124" spans="1:23" s="364" customFormat="1" hidden="1">
      <c r="A124" s="9">
        <v>44389</v>
      </c>
      <c r="B124" s="91" t="s">
        <v>43</v>
      </c>
      <c r="C124" s="91" t="s">
        <v>4952</v>
      </c>
      <c r="D124" s="92" t="s">
        <v>4953</v>
      </c>
      <c r="E124" s="739" t="s">
        <v>130</v>
      </c>
      <c r="F124" s="739" t="s">
        <v>132</v>
      </c>
      <c r="G124" s="30">
        <v>5</v>
      </c>
      <c r="H124" s="86">
        <v>28000</v>
      </c>
      <c r="I124" s="171">
        <f t="shared" si="13"/>
        <v>140000</v>
      </c>
      <c r="K124" s="86">
        <f t="shared" si="14"/>
        <v>140000</v>
      </c>
      <c r="L124" s="17">
        <v>13000</v>
      </c>
      <c r="M124" s="17">
        <v>-7840</v>
      </c>
      <c r="N124" s="171">
        <f t="shared" si="15"/>
        <v>145160</v>
      </c>
      <c r="O124" s="91" t="s">
        <v>43</v>
      </c>
      <c r="P124" s="10"/>
      <c r="Q124" s="91" t="s">
        <v>54</v>
      </c>
      <c r="R124" s="365"/>
      <c r="S124" s="737"/>
      <c r="T124" s="365"/>
      <c r="U124" s="365"/>
      <c r="V124" s="365"/>
      <c r="W124" s="365"/>
    </row>
    <row r="125" spans="1:23" s="364" customFormat="1" hidden="1">
      <c r="A125" s="9">
        <v>44389</v>
      </c>
      <c r="B125" s="91" t="s">
        <v>206</v>
      </c>
      <c r="C125" s="123" t="s">
        <v>4914</v>
      </c>
      <c r="D125" s="76" t="s">
        <v>4954</v>
      </c>
      <c r="E125" s="738" t="s">
        <v>4955</v>
      </c>
      <c r="F125" s="738" t="s">
        <v>4956</v>
      </c>
      <c r="G125" s="30">
        <v>1</v>
      </c>
      <c r="H125" s="86">
        <v>68000</v>
      </c>
      <c r="I125" s="171">
        <f t="shared" si="13"/>
        <v>68000</v>
      </c>
      <c r="K125" s="86">
        <f t="shared" si="14"/>
        <v>68000</v>
      </c>
      <c r="L125" s="17">
        <v>52800</v>
      </c>
      <c r="M125" s="365"/>
      <c r="N125" s="171">
        <f t="shared" si="15"/>
        <v>120800</v>
      </c>
      <c r="O125" s="91" t="s">
        <v>206</v>
      </c>
      <c r="P125" s="10"/>
      <c r="Q125" s="91" t="s">
        <v>28</v>
      </c>
      <c r="R125" s="365"/>
      <c r="S125" s="365"/>
      <c r="T125" s="365"/>
      <c r="U125" s="365"/>
      <c r="V125" s="365"/>
      <c r="W125" s="365"/>
    </row>
    <row r="126" spans="1:23" s="364" customFormat="1" hidden="1">
      <c r="A126" s="9">
        <v>44389</v>
      </c>
      <c r="B126" s="91" t="s">
        <v>206</v>
      </c>
      <c r="C126" s="123" t="s">
        <v>4914</v>
      </c>
      <c r="D126" s="76" t="s">
        <v>4954</v>
      </c>
      <c r="E126" s="738" t="s">
        <v>4957</v>
      </c>
      <c r="F126" s="738" t="s">
        <v>4958</v>
      </c>
      <c r="G126" s="30">
        <v>1</v>
      </c>
      <c r="H126" s="86">
        <v>56000</v>
      </c>
      <c r="I126" s="171">
        <f t="shared" si="13"/>
        <v>56000</v>
      </c>
      <c r="K126" s="86">
        <f t="shared" si="14"/>
        <v>56000</v>
      </c>
      <c r="L126" s="365"/>
      <c r="M126" s="365"/>
      <c r="N126" s="171">
        <f t="shared" si="15"/>
        <v>56000</v>
      </c>
      <c r="O126" s="91" t="s">
        <v>206</v>
      </c>
      <c r="P126" s="11"/>
      <c r="Q126" s="91" t="s">
        <v>28</v>
      </c>
      <c r="R126" s="365"/>
      <c r="S126" s="365"/>
      <c r="T126" s="365"/>
      <c r="U126" s="365"/>
      <c r="V126" s="365"/>
      <c r="W126" s="365"/>
    </row>
    <row r="127" spans="1:23" s="364" customFormat="1" hidden="1">
      <c r="A127" s="9">
        <v>44389</v>
      </c>
      <c r="B127" s="91" t="s">
        <v>170</v>
      </c>
      <c r="C127" s="123" t="s">
        <v>4959</v>
      </c>
      <c r="D127" s="29" t="s">
        <v>4960</v>
      </c>
      <c r="E127" s="739" t="s">
        <v>4961</v>
      </c>
      <c r="F127" s="739" t="s">
        <v>4962</v>
      </c>
      <c r="G127" s="30">
        <v>1</v>
      </c>
      <c r="H127" s="86">
        <v>39000</v>
      </c>
      <c r="I127" s="171">
        <f t="shared" si="13"/>
        <v>39000</v>
      </c>
      <c r="K127" s="86">
        <f t="shared" si="14"/>
        <v>39000</v>
      </c>
      <c r="L127" s="365">
        <f>17000-17000</f>
        <v>0</v>
      </c>
      <c r="M127" s="365"/>
      <c r="N127" s="171">
        <f t="shared" si="15"/>
        <v>39000</v>
      </c>
      <c r="O127" s="91" t="s">
        <v>170</v>
      </c>
      <c r="P127" s="10"/>
      <c r="Q127" s="91" t="s">
        <v>40</v>
      </c>
      <c r="R127" s="365"/>
      <c r="S127" s="365"/>
      <c r="T127" s="365"/>
      <c r="U127" s="365"/>
      <c r="V127" s="365"/>
      <c r="W127" s="365"/>
    </row>
    <row r="128" spans="1:23" s="364" customFormat="1" hidden="1">
      <c r="A128" s="9">
        <v>44389</v>
      </c>
      <c r="B128" s="91" t="s">
        <v>177</v>
      </c>
      <c r="C128" s="123" t="s">
        <v>4963</v>
      </c>
      <c r="D128" s="29" t="s">
        <v>4964</v>
      </c>
      <c r="E128" s="739" t="s">
        <v>1107</v>
      </c>
      <c r="F128" s="739" t="s">
        <v>1108</v>
      </c>
      <c r="G128" s="755">
        <v>1</v>
      </c>
      <c r="H128" s="86">
        <v>118000</v>
      </c>
      <c r="I128" s="171">
        <f t="shared" si="13"/>
        <v>118000</v>
      </c>
      <c r="K128" s="86">
        <f t="shared" si="14"/>
        <v>118000</v>
      </c>
      <c r="L128" s="17">
        <v>6500</v>
      </c>
      <c r="M128" s="365"/>
      <c r="N128" s="171">
        <f t="shared" si="15"/>
        <v>124500</v>
      </c>
      <c r="O128" s="91" t="s">
        <v>177</v>
      </c>
      <c r="P128" s="10"/>
      <c r="Q128" s="91" t="s">
        <v>54</v>
      </c>
      <c r="R128" s="365"/>
      <c r="S128" s="17"/>
      <c r="T128" s="365"/>
      <c r="U128" s="365"/>
      <c r="V128" s="365"/>
      <c r="W128" s="365"/>
    </row>
    <row r="129" spans="1:23" s="364" customFormat="1" ht="15.6" hidden="1">
      <c r="A129" s="9">
        <v>44389</v>
      </c>
      <c r="B129" s="91" t="s">
        <v>313</v>
      </c>
      <c r="C129" s="123" t="s">
        <v>4965</v>
      </c>
      <c r="D129" s="76" t="s">
        <v>4966</v>
      </c>
      <c r="E129" s="746" t="s">
        <v>4967</v>
      </c>
      <c r="F129" s="746" t="s">
        <v>4968</v>
      </c>
      <c r="G129" s="30">
        <v>1</v>
      </c>
      <c r="H129" s="756">
        <v>46000</v>
      </c>
      <c r="I129" s="171">
        <f t="shared" si="13"/>
        <v>46000</v>
      </c>
      <c r="K129" s="86">
        <f t="shared" si="14"/>
        <v>46000</v>
      </c>
      <c r="L129" s="17">
        <v>416030</v>
      </c>
      <c r="M129" s="365"/>
      <c r="N129" s="171">
        <f t="shared" si="15"/>
        <v>462030</v>
      </c>
      <c r="O129" s="91" t="s">
        <v>313</v>
      </c>
      <c r="P129" s="11"/>
      <c r="Q129" s="91" t="s">
        <v>40</v>
      </c>
      <c r="R129" s="365"/>
      <c r="S129" s="365"/>
      <c r="T129" s="365"/>
      <c r="U129" s="365"/>
      <c r="V129" s="365"/>
      <c r="W129" s="365"/>
    </row>
    <row r="130" spans="1:23" s="364" customFormat="1" ht="15.6" hidden="1">
      <c r="A130" s="9">
        <v>44389</v>
      </c>
      <c r="B130" s="91" t="s">
        <v>313</v>
      </c>
      <c r="C130" s="123" t="s">
        <v>4965</v>
      </c>
      <c r="D130" s="76" t="s">
        <v>4966</v>
      </c>
      <c r="E130" s="746" t="s">
        <v>4969</v>
      </c>
      <c r="F130" s="746" t="s">
        <v>4970</v>
      </c>
      <c r="G130" s="30">
        <v>1</v>
      </c>
      <c r="H130" s="756">
        <v>86000</v>
      </c>
      <c r="I130" s="171">
        <f t="shared" si="13"/>
        <v>86000</v>
      </c>
      <c r="K130" s="86">
        <f t="shared" si="14"/>
        <v>86000</v>
      </c>
      <c r="L130" s="17"/>
      <c r="M130" s="365"/>
      <c r="N130" s="171">
        <f t="shared" si="15"/>
        <v>86000</v>
      </c>
      <c r="O130" s="91" t="s">
        <v>313</v>
      </c>
      <c r="P130" s="11"/>
      <c r="Q130" s="91" t="s">
        <v>40</v>
      </c>
      <c r="R130" s="365"/>
      <c r="S130" s="365"/>
      <c r="T130" s="365"/>
      <c r="U130" s="365"/>
      <c r="V130" s="365"/>
      <c r="W130" s="365"/>
    </row>
    <row r="131" spans="1:23" s="364" customFormat="1" ht="15.6" hidden="1">
      <c r="A131" s="9">
        <v>44389</v>
      </c>
      <c r="B131" s="91" t="s">
        <v>313</v>
      </c>
      <c r="C131" s="123" t="s">
        <v>4965</v>
      </c>
      <c r="D131" s="76" t="s">
        <v>4966</v>
      </c>
      <c r="E131" s="746" t="s">
        <v>1457</v>
      </c>
      <c r="F131" s="746" t="s">
        <v>4971</v>
      </c>
      <c r="G131" s="30">
        <v>1</v>
      </c>
      <c r="H131" s="756">
        <v>111000</v>
      </c>
      <c r="I131" s="171">
        <f t="shared" si="13"/>
        <v>111000</v>
      </c>
      <c r="K131" s="86">
        <f t="shared" si="14"/>
        <v>111000</v>
      </c>
      <c r="L131" s="365"/>
      <c r="M131" s="365"/>
      <c r="N131" s="171">
        <f t="shared" si="15"/>
        <v>111000</v>
      </c>
      <c r="O131" s="91" t="s">
        <v>313</v>
      </c>
      <c r="P131" s="10"/>
      <c r="Q131" s="91" t="s">
        <v>40</v>
      </c>
      <c r="R131" s="365"/>
      <c r="S131" s="365"/>
      <c r="T131" s="365"/>
      <c r="U131" s="365"/>
      <c r="V131" s="365"/>
      <c r="W131" s="365"/>
    </row>
    <row r="132" spans="1:23" s="364" customFormat="1" ht="15.6" hidden="1">
      <c r="A132" s="9">
        <v>44389</v>
      </c>
      <c r="B132" s="91" t="s">
        <v>313</v>
      </c>
      <c r="C132" s="123" t="s">
        <v>4965</v>
      </c>
      <c r="D132" s="76" t="s">
        <v>4966</v>
      </c>
      <c r="E132" s="746" t="s">
        <v>4957</v>
      </c>
      <c r="F132" s="746" t="s">
        <v>4958</v>
      </c>
      <c r="G132" s="30">
        <v>1</v>
      </c>
      <c r="H132" s="756">
        <v>56000</v>
      </c>
      <c r="I132" s="171">
        <f t="shared" si="13"/>
        <v>56000</v>
      </c>
      <c r="K132" s="86">
        <f t="shared" si="14"/>
        <v>56000</v>
      </c>
      <c r="L132" s="365"/>
      <c r="M132" s="365"/>
      <c r="N132" s="171">
        <f t="shared" si="15"/>
        <v>56000</v>
      </c>
      <c r="O132" s="91" t="s">
        <v>313</v>
      </c>
      <c r="P132" s="11"/>
      <c r="Q132" s="91" t="s">
        <v>40</v>
      </c>
      <c r="R132" s="365"/>
      <c r="S132" s="17"/>
      <c r="T132" s="365"/>
      <c r="U132" s="365"/>
      <c r="V132" s="365"/>
      <c r="W132" s="365"/>
    </row>
    <row r="133" spans="1:23" s="364" customFormat="1" ht="15.6" hidden="1">
      <c r="A133" s="9">
        <v>44389</v>
      </c>
      <c r="B133" s="91" t="s">
        <v>313</v>
      </c>
      <c r="C133" s="123" t="s">
        <v>4965</v>
      </c>
      <c r="D133" s="76" t="s">
        <v>4966</v>
      </c>
      <c r="E133" s="746" t="s">
        <v>4972</v>
      </c>
      <c r="F133" s="746" t="s">
        <v>4973</v>
      </c>
      <c r="G133" s="30">
        <v>1</v>
      </c>
      <c r="H133" s="756">
        <v>125500</v>
      </c>
      <c r="I133" s="171">
        <f t="shared" si="13"/>
        <v>125500</v>
      </c>
      <c r="J133" s="365"/>
      <c r="K133" s="86">
        <f t="shared" si="14"/>
        <v>125500</v>
      </c>
      <c r="L133" s="365"/>
      <c r="M133" s="365"/>
      <c r="N133" s="171">
        <f t="shared" si="15"/>
        <v>125500</v>
      </c>
      <c r="O133" s="91" t="s">
        <v>313</v>
      </c>
      <c r="P133" s="11"/>
      <c r="Q133" s="91" t="s">
        <v>40</v>
      </c>
      <c r="R133" s="365"/>
      <c r="S133" s="17"/>
      <c r="T133" s="365"/>
      <c r="U133" s="365"/>
      <c r="V133" s="365"/>
      <c r="W133" s="365"/>
    </row>
    <row r="134" spans="1:23" s="364" customFormat="1" ht="15.6" hidden="1">
      <c r="A134" s="9">
        <v>44389</v>
      </c>
      <c r="B134" s="91" t="s">
        <v>313</v>
      </c>
      <c r="C134" s="123" t="s">
        <v>4965</v>
      </c>
      <c r="D134" s="76" t="s">
        <v>4966</v>
      </c>
      <c r="E134" s="746" t="s">
        <v>4974</v>
      </c>
      <c r="F134" s="746" t="s">
        <v>4975</v>
      </c>
      <c r="G134" s="30">
        <v>1</v>
      </c>
      <c r="H134" s="756">
        <v>81500</v>
      </c>
      <c r="I134" s="171">
        <f t="shared" si="13"/>
        <v>81500</v>
      </c>
      <c r="J134" s="365"/>
      <c r="K134" s="86">
        <f t="shared" si="14"/>
        <v>81500</v>
      </c>
      <c r="L134" s="365"/>
      <c r="M134" s="365"/>
      <c r="N134" s="171">
        <f t="shared" si="15"/>
        <v>81500</v>
      </c>
      <c r="O134" s="91" t="s">
        <v>313</v>
      </c>
      <c r="P134" s="11"/>
      <c r="Q134" s="91" t="s">
        <v>40</v>
      </c>
      <c r="R134" s="365"/>
      <c r="S134" s="365"/>
      <c r="T134" s="365"/>
      <c r="U134" s="365"/>
      <c r="V134" s="365"/>
      <c r="W134" s="365"/>
    </row>
    <row r="135" spans="1:23" s="364" customFormat="1" ht="15.6" hidden="1">
      <c r="A135" s="9">
        <v>44389</v>
      </c>
      <c r="B135" s="91" t="s">
        <v>313</v>
      </c>
      <c r="C135" s="123" t="s">
        <v>4965</v>
      </c>
      <c r="D135" s="76" t="s">
        <v>4966</v>
      </c>
      <c r="E135" s="746" t="s">
        <v>4976</v>
      </c>
      <c r="F135" s="746" t="s">
        <v>4977</v>
      </c>
      <c r="G135" s="30">
        <v>1</v>
      </c>
      <c r="H135" s="756">
        <v>89000</v>
      </c>
      <c r="I135" s="171">
        <f t="shared" si="13"/>
        <v>89000</v>
      </c>
      <c r="J135" s="365"/>
      <c r="K135" s="86">
        <f t="shared" si="14"/>
        <v>89000</v>
      </c>
      <c r="L135" s="365"/>
      <c r="M135" s="365"/>
      <c r="N135" s="171">
        <f t="shared" si="15"/>
        <v>89000</v>
      </c>
      <c r="O135" s="91" t="s">
        <v>313</v>
      </c>
      <c r="P135" s="10"/>
      <c r="Q135" s="91" t="s">
        <v>40</v>
      </c>
      <c r="R135" s="365"/>
      <c r="S135" s="365"/>
      <c r="T135" s="365"/>
      <c r="U135" s="365"/>
      <c r="V135" s="365"/>
      <c r="W135" s="365"/>
    </row>
    <row r="136" spans="1:23" s="364" customFormat="1" ht="15.6" hidden="1">
      <c r="A136" s="9">
        <v>44389</v>
      </c>
      <c r="B136" s="91" t="s">
        <v>313</v>
      </c>
      <c r="C136" s="123" t="s">
        <v>4965</v>
      </c>
      <c r="D136" s="76" t="s">
        <v>4966</v>
      </c>
      <c r="E136" s="746" t="s">
        <v>3507</v>
      </c>
      <c r="F136" s="746" t="s">
        <v>3508</v>
      </c>
      <c r="G136" s="30">
        <v>1</v>
      </c>
      <c r="H136" s="756">
        <v>94000</v>
      </c>
      <c r="I136" s="171">
        <f t="shared" si="13"/>
        <v>94000</v>
      </c>
      <c r="J136" s="365"/>
      <c r="K136" s="86">
        <f t="shared" si="14"/>
        <v>94000</v>
      </c>
      <c r="L136" s="365"/>
      <c r="M136" s="365"/>
      <c r="N136" s="171">
        <f t="shared" si="15"/>
        <v>94000</v>
      </c>
      <c r="O136" s="91" t="s">
        <v>313</v>
      </c>
      <c r="P136" s="11"/>
      <c r="Q136" s="91" t="s">
        <v>40</v>
      </c>
      <c r="R136" s="365"/>
      <c r="S136" s="365"/>
      <c r="T136" s="365"/>
      <c r="U136" s="365"/>
      <c r="V136" s="365"/>
      <c r="W136" s="365"/>
    </row>
    <row r="137" spans="1:23" s="364" customFormat="1" ht="15.6" hidden="1">
      <c r="A137" s="9">
        <v>44389</v>
      </c>
      <c r="B137" s="91" t="s">
        <v>313</v>
      </c>
      <c r="C137" s="123" t="s">
        <v>4965</v>
      </c>
      <c r="D137" s="76" t="s">
        <v>4966</v>
      </c>
      <c r="E137" s="746" t="s">
        <v>4978</v>
      </c>
      <c r="F137" s="746" t="s">
        <v>4979</v>
      </c>
      <c r="G137" s="30">
        <v>1</v>
      </c>
      <c r="H137" s="756">
        <v>101500</v>
      </c>
      <c r="I137" s="171">
        <f t="shared" si="13"/>
        <v>101500</v>
      </c>
      <c r="K137" s="86">
        <f t="shared" si="14"/>
        <v>101500</v>
      </c>
      <c r="L137" s="365"/>
      <c r="M137" s="365"/>
      <c r="N137" s="171">
        <f t="shared" si="15"/>
        <v>101500</v>
      </c>
      <c r="O137" s="91" t="s">
        <v>313</v>
      </c>
      <c r="P137" s="10"/>
      <c r="Q137" s="91" t="s">
        <v>40</v>
      </c>
      <c r="R137" s="365"/>
      <c r="S137" s="365"/>
      <c r="T137" s="365"/>
      <c r="U137" s="365"/>
      <c r="V137" s="365"/>
      <c r="W137" s="365"/>
    </row>
    <row r="138" spans="1:23" s="364" customFormat="1" ht="15.6" hidden="1">
      <c r="A138" s="9">
        <v>44389</v>
      </c>
      <c r="B138" s="91" t="s">
        <v>313</v>
      </c>
      <c r="C138" s="123" t="s">
        <v>4965</v>
      </c>
      <c r="D138" s="76" t="s">
        <v>4966</v>
      </c>
      <c r="E138" s="746" t="s">
        <v>4980</v>
      </c>
      <c r="F138" s="746" t="s">
        <v>4981</v>
      </c>
      <c r="G138" s="30">
        <v>1</v>
      </c>
      <c r="H138" s="756">
        <v>79000</v>
      </c>
      <c r="I138" s="171">
        <f t="shared" si="13"/>
        <v>79000</v>
      </c>
      <c r="K138" s="86">
        <f t="shared" si="14"/>
        <v>79000</v>
      </c>
      <c r="L138" s="365"/>
      <c r="M138" s="365"/>
      <c r="N138" s="171">
        <f t="shared" si="15"/>
        <v>79000</v>
      </c>
      <c r="O138" s="91" t="s">
        <v>313</v>
      </c>
      <c r="P138" s="10"/>
      <c r="Q138" s="91" t="s">
        <v>40</v>
      </c>
      <c r="R138" s="365"/>
      <c r="S138" s="365"/>
      <c r="T138" s="365"/>
      <c r="U138" s="365"/>
      <c r="V138" s="365"/>
      <c r="W138" s="365"/>
    </row>
    <row r="139" spans="1:23" s="364" customFormat="1" ht="15.6" hidden="1">
      <c r="A139" s="9">
        <v>44389</v>
      </c>
      <c r="B139" s="91" t="s">
        <v>313</v>
      </c>
      <c r="C139" s="123" t="s">
        <v>4965</v>
      </c>
      <c r="D139" s="76" t="s">
        <v>4966</v>
      </c>
      <c r="E139" s="746" t="s">
        <v>4982</v>
      </c>
      <c r="F139" s="746" t="s">
        <v>4983</v>
      </c>
      <c r="G139" s="30">
        <v>1</v>
      </c>
      <c r="H139" s="756">
        <v>80000</v>
      </c>
      <c r="I139" s="171">
        <f t="shared" si="13"/>
        <v>80000</v>
      </c>
      <c r="K139" s="86">
        <f t="shared" si="14"/>
        <v>80000</v>
      </c>
      <c r="L139" s="365"/>
      <c r="M139" s="365"/>
      <c r="N139" s="171">
        <f t="shared" si="15"/>
        <v>80000</v>
      </c>
      <c r="O139" s="91" t="s">
        <v>313</v>
      </c>
      <c r="P139" s="10"/>
      <c r="Q139" s="91" t="s">
        <v>40</v>
      </c>
      <c r="R139" s="365"/>
      <c r="S139" s="365"/>
      <c r="T139" s="365"/>
      <c r="U139" s="365"/>
      <c r="V139" s="365"/>
      <c r="W139" s="365"/>
    </row>
    <row r="140" spans="1:23" s="364" customFormat="1" ht="15.6" hidden="1">
      <c r="A140" s="9">
        <v>44389</v>
      </c>
      <c r="B140" s="91" t="s">
        <v>313</v>
      </c>
      <c r="C140" s="123" t="s">
        <v>4965</v>
      </c>
      <c r="D140" s="76" t="s">
        <v>4966</v>
      </c>
      <c r="E140" s="746" t="s">
        <v>4984</v>
      </c>
      <c r="F140" s="746" t="s">
        <v>4985</v>
      </c>
      <c r="G140" s="30">
        <v>1</v>
      </c>
      <c r="H140" s="756">
        <v>86000</v>
      </c>
      <c r="I140" s="171">
        <f t="shared" si="13"/>
        <v>86000</v>
      </c>
      <c r="K140" s="86">
        <f t="shared" si="14"/>
        <v>86000</v>
      </c>
      <c r="L140" s="365"/>
      <c r="M140" s="365"/>
      <c r="N140" s="171">
        <f t="shared" si="15"/>
        <v>86000</v>
      </c>
      <c r="O140" s="91" t="s">
        <v>313</v>
      </c>
      <c r="P140" s="11"/>
      <c r="Q140" s="91" t="s">
        <v>40</v>
      </c>
      <c r="R140" s="365"/>
      <c r="S140" s="365"/>
      <c r="T140" s="365"/>
      <c r="U140" s="365"/>
      <c r="V140" s="365"/>
      <c r="W140" s="365"/>
    </row>
    <row r="141" spans="1:23" s="364" customFormat="1" ht="15.6" hidden="1">
      <c r="A141" s="9">
        <v>44389</v>
      </c>
      <c r="B141" s="91" t="s">
        <v>313</v>
      </c>
      <c r="C141" s="123" t="s">
        <v>4965</v>
      </c>
      <c r="D141" s="76" t="s">
        <v>4966</v>
      </c>
      <c r="E141" s="746" t="s">
        <v>4986</v>
      </c>
      <c r="F141" s="746" t="s">
        <v>4987</v>
      </c>
      <c r="G141" s="30">
        <v>1</v>
      </c>
      <c r="H141" s="756">
        <v>71000</v>
      </c>
      <c r="I141" s="171">
        <f t="shared" si="13"/>
        <v>71000</v>
      </c>
      <c r="K141" s="86">
        <f t="shared" si="14"/>
        <v>71000</v>
      </c>
      <c r="L141" s="365"/>
      <c r="M141" s="365"/>
      <c r="N141" s="171">
        <f t="shared" si="15"/>
        <v>71000</v>
      </c>
      <c r="O141" s="91" t="s">
        <v>313</v>
      </c>
      <c r="P141" s="11"/>
      <c r="Q141" s="91" t="s">
        <v>40</v>
      </c>
      <c r="R141" s="365"/>
      <c r="S141" s="365"/>
      <c r="T141" s="365"/>
      <c r="U141" s="365"/>
      <c r="V141" s="365"/>
      <c r="W141" s="365"/>
    </row>
    <row r="142" spans="1:23" s="364" customFormat="1" hidden="1">
      <c r="A142" s="9">
        <v>44389</v>
      </c>
      <c r="B142" s="91" t="s">
        <v>313</v>
      </c>
      <c r="C142" s="123" t="s">
        <v>4965</v>
      </c>
      <c r="D142" s="76" t="s">
        <v>4966</v>
      </c>
      <c r="E142" s="746" t="s">
        <v>4988</v>
      </c>
      <c r="F142" s="746" t="s">
        <v>4295</v>
      </c>
      <c r="G142" s="30">
        <v>1</v>
      </c>
      <c r="H142" s="757">
        <v>88000</v>
      </c>
      <c r="I142" s="171">
        <f t="shared" si="13"/>
        <v>88000</v>
      </c>
      <c r="K142" s="86">
        <f t="shared" si="14"/>
        <v>88000</v>
      </c>
      <c r="L142" s="365"/>
      <c r="M142" s="365"/>
      <c r="N142" s="171">
        <f t="shared" si="15"/>
        <v>88000</v>
      </c>
      <c r="O142" s="91" t="s">
        <v>313</v>
      </c>
      <c r="P142" s="10"/>
      <c r="Q142" s="91" t="s">
        <v>40</v>
      </c>
      <c r="R142" s="365"/>
      <c r="S142" s="17"/>
      <c r="T142" s="365"/>
      <c r="U142" s="365"/>
      <c r="V142" s="365"/>
      <c r="W142" s="365"/>
    </row>
    <row r="143" spans="1:23" s="364" customFormat="1" hidden="1">
      <c r="A143" s="9">
        <v>44389</v>
      </c>
      <c r="B143" s="91" t="s">
        <v>313</v>
      </c>
      <c r="C143" s="123" t="s">
        <v>4965</v>
      </c>
      <c r="D143" s="76" t="s">
        <v>4966</v>
      </c>
      <c r="E143" s="746" t="s">
        <v>4989</v>
      </c>
      <c r="F143" s="746" t="s">
        <v>4990</v>
      </c>
      <c r="G143" s="30">
        <v>1</v>
      </c>
      <c r="H143" s="757">
        <v>73000</v>
      </c>
      <c r="I143" s="171">
        <f t="shared" si="13"/>
        <v>73000</v>
      </c>
      <c r="K143" s="86">
        <f t="shared" si="14"/>
        <v>73000</v>
      </c>
      <c r="L143" s="365"/>
      <c r="M143" s="365"/>
      <c r="N143" s="171">
        <f t="shared" si="15"/>
        <v>73000</v>
      </c>
      <c r="O143" s="91" t="s">
        <v>313</v>
      </c>
      <c r="P143" s="10"/>
      <c r="Q143" s="91" t="s">
        <v>40</v>
      </c>
      <c r="R143" s="365"/>
      <c r="S143" s="365"/>
      <c r="T143" s="365"/>
      <c r="U143" s="365"/>
      <c r="V143" s="365"/>
      <c r="W143" s="365"/>
    </row>
    <row r="144" spans="1:23" s="20" customFormat="1" hidden="1">
      <c r="A144" s="9">
        <v>44389</v>
      </c>
      <c r="B144" s="91" t="s">
        <v>313</v>
      </c>
      <c r="C144" s="123" t="s">
        <v>4965</v>
      </c>
      <c r="D144" s="76" t="s">
        <v>4966</v>
      </c>
      <c r="E144" s="746" t="s">
        <v>96</v>
      </c>
      <c r="F144" s="746" t="s">
        <v>118</v>
      </c>
      <c r="G144" s="30">
        <v>1</v>
      </c>
      <c r="H144" s="757">
        <v>71000</v>
      </c>
      <c r="I144" s="171">
        <f t="shared" si="13"/>
        <v>71000</v>
      </c>
      <c r="K144" s="86">
        <f t="shared" si="14"/>
        <v>71000</v>
      </c>
      <c r="L144" s="17"/>
      <c r="M144" s="17"/>
      <c r="N144" s="171">
        <f t="shared" si="15"/>
        <v>71000</v>
      </c>
      <c r="O144" s="91" t="s">
        <v>313</v>
      </c>
      <c r="P144" s="72"/>
      <c r="Q144" s="91" t="s">
        <v>40</v>
      </c>
      <c r="R144" s="17"/>
      <c r="S144" s="17"/>
      <c r="T144" s="17"/>
      <c r="U144" s="17"/>
      <c r="V144" s="17"/>
      <c r="W144" s="17"/>
    </row>
    <row r="145" spans="1:23" s="364" customFormat="1" hidden="1">
      <c r="A145" s="9">
        <v>44389</v>
      </c>
      <c r="B145" s="91" t="s">
        <v>313</v>
      </c>
      <c r="C145" s="123" t="s">
        <v>4965</v>
      </c>
      <c r="D145" s="76" t="s">
        <v>4966</v>
      </c>
      <c r="E145" s="746" t="s">
        <v>4991</v>
      </c>
      <c r="F145" s="746" t="s">
        <v>4992</v>
      </c>
      <c r="G145" s="30">
        <v>1</v>
      </c>
      <c r="H145" s="757">
        <v>90000</v>
      </c>
      <c r="I145" s="171">
        <f t="shared" si="13"/>
        <v>90000</v>
      </c>
      <c r="K145" s="86">
        <f t="shared" si="14"/>
        <v>90000</v>
      </c>
      <c r="L145" s="365"/>
      <c r="M145" s="365"/>
      <c r="N145" s="171">
        <f t="shared" si="15"/>
        <v>90000</v>
      </c>
      <c r="O145" s="91" t="s">
        <v>313</v>
      </c>
      <c r="P145" s="10"/>
      <c r="Q145" s="91" t="s">
        <v>40</v>
      </c>
      <c r="R145" s="365"/>
      <c r="S145" s="17"/>
      <c r="T145" s="365"/>
      <c r="U145" s="365"/>
      <c r="V145" s="365"/>
      <c r="W145" s="365"/>
    </row>
    <row r="146" spans="1:23" s="364" customFormat="1" hidden="1">
      <c r="A146" s="9">
        <v>44389</v>
      </c>
      <c r="B146" s="91" t="s">
        <v>313</v>
      </c>
      <c r="C146" s="123" t="s">
        <v>4965</v>
      </c>
      <c r="D146" s="76" t="s">
        <v>4966</v>
      </c>
      <c r="E146" s="746" t="s">
        <v>4993</v>
      </c>
      <c r="F146" s="746" t="s">
        <v>4994</v>
      </c>
      <c r="G146" s="30">
        <v>1</v>
      </c>
      <c r="H146" s="757">
        <v>92000</v>
      </c>
      <c r="I146" s="171">
        <f t="shared" si="13"/>
        <v>92000</v>
      </c>
      <c r="K146" s="86">
        <f t="shared" si="14"/>
        <v>92000</v>
      </c>
      <c r="L146" s="365"/>
      <c r="M146" s="365"/>
      <c r="N146" s="171">
        <f t="shared" si="15"/>
        <v>92000</v>
      </c>
      <c r="O146" s="91" t="s">
        <v>313</v>
      </c>
      <c r="P146" s="10"/>
      <c r="Q146" s="91" t="s">
        <v>40</v>
      </c>
      <c r="R146" s="365"/>
      <c r="S146" s="365"/>
      <c r="T146" s="365"/>
      <c r="U146" s="365"/>
      <c r="V146" s="365"/>
      <c r="W146" s="365"/>
    </row>
    <row r="147" spans="1:23" s="364" customFormat="1" hidden="1">
      <c r="A147" s="9">
        <v>44389</v>
      </c>
      <c r="B147" s="91" t="s">
        <v>313</v>
      </c>
      <c r="C147" s="123" t="s">
        <v>4965</v>
      </c>
      <c r="D147" s="76" t="s">
        <v>4966</v>
      </c>
      <c r="E147" s="746" t="s">
        <v>3909</v>
      </c>
      <c r="F147" s="746" t="s">
        <v>3910</v>
      </c>
      <c r="G147" s="30">
        <v>1</v>
      </c>
      <c r="H147" s="757">
        <v>97500</v>
      </c>
      <c r="I147" s="171">
        <f t="shared" si="13"/>
        <v>97500</v>
      </c>
      <c r="K147" s="86">
        <f t="shared" si="14"/>
        <v>97500</v>
      </c>
      <c r="L147" s="365"/>
      <c r="M147" s="365"/>
      <c r="N147" s="171">
        <f t="shared" si="15"/>
        <v>97500</v>
      </c>
      <c r="O147" s="91" t="s">
        <v>313</v>
      </c>
      <c r="P147" s="10"/>
      <c r="Q147" s="91" t="s">
        <v>40</v>
      </c>
      <c r="R147" s="365"/>
      <c r="S147" s="365"/>
      <c r="T147" s="365"/>
      <c r="U147" s="365"/>
      <c r="V147" s="365"/>
      <c r="W147" s="365"/>
    </row>
    <row r="148" spans="1:23" s="364" customFormat="1" hidden="1">
      <c r="A148" s="9">
        <v>44389</v>
      </c>
      <c r="B148" s="91" t="s">
        <v>313</v>
      </c>
      <c r="C148" s="123" t="s">
        <v>4965</v>
      </c>
      <c r="D148" s="76" t="s">
        <v>4966</v>
      </c>
      <c r="E148" s="746" t="s">
        <v>4995</v>
      </c>
      <c r="F148" s="746" t="s">
        <v>4996</v>
      </c>
      <c r="G148" s="30">
        <v>1</v>
      </c>
      <c r="H148" s="757">
        <v>77000</v>
      </c>
      <c r="I148" s="171">
        <f t="shared" si="13"/>
        <v>77000</v>
      </c>
      <c r="K148" s="86">
        <f t="shared" si="14"/>
        <v>77000</v>
      </c>
      <c r="L148" s="365"/>
      <c r="M148" s="365"/>
      <c r="N148" s="171">
        <f t="shared" si="15"/>
        <v>77000</v>
      </c>
      <c r="O148" s="91" t="s">
        <v>313</v>
      </c>
      <c r="P148" s="10"/>
      <c r="Q148" s="91" t="s">
        <v>40</v>
      </c>
      <c r="R148" s="365"/>
      <c r="S148" s="365"/>
      <c r="T148" s="365"/>
      <c r="U148" s="365"/>
      <c r="V148" s="365"/>
      <c r="W148" s="365"/>
    </row>
    <row r="149" spans="1:23" s="364" customFormat="1" hidden="1">
      <c r="A149" s="9">
        <v>44389</v>
      </c>
      <c r="B149" s="91" t="s">
        <v>313</v>
      </c>
      <c r="C149" s="123" t="s">
        <v>4965</v>
      </c>
      <c r="D149" s="76" t="s">
        <v>4966</v>
      </c>
      <c r="E149" s="746" t="s">
        <v>4997</v>
      </c>
      <c r="F149" s="746" t="s">
        <v>4998</v>
      </c>
      <c r="G149" s="30">
        <v>1</v>
      </c>
      <c r="H149" s="757">
        <v>59500</v>
      </c>
      <c r="I149" s="171">
        <f t="shared" si="13"/>
        <v>59500</v>
      </c>
      <c r="K149" s="86">
        <f t="shared" si="14"/>
        <v>59500</v>
      </c>
      <c r="L149" s="365"/>
      <c r="M149" s="365"/>
      <c r="N149" s="171">
        <f t="shared" si="15"/>
        <v>59500</v>
      </c>
      <c r="O149" s="91" t="s">
        <v>313</v>
      </c>
      <c r="P149" s="740"/>
      <c r="Q149" s="91" t="s">
        <v>40</v>
      </c>
      <c r="R149" s="365"/>
      <c r="S149" s="17"/>
      <c r="T149" s="365"/>
      <c r="U149" s="365"/>
      <c r="V149" s="365"/>
      <c r="W149" s="365"/>
    </row>
    <row r="150" spans="1:23" s="364" customFormat="1" hidden="1">
      <c r="A150" s="9">
        <v>44389</v>
      </c>
      <c r="B150" s="91" t="s">
        <v>313</v>
      </c>
      <c r="C150" s="123" t="s">
        <v>4965</v>
      </c>
      <c r="D150" s="76" t="s">
        <v>4966</v>
      </c>
      <c r="E150" s="746" t="s">
        <v>4999</v>
      </c>
      <c r="F150" s="746" t="s">
        <v>5000</v>
      </c>
      <c r="G150" s="30">
        <v>1</v>
      </c>
      <c r="H150" s="757">
        <v>124500</v>
      </c>
      <c r="I150" s="171">
        <f t="shared" si="13"/>
        <v>124500</v>
      </c>
      <c r="K150" s="86">
        <f t="shared" si="14"/>
        <v>124500</v>
      </c>
      <c r="L150" s="365"/>
      <c r="M150" s="365"/>
      <c r="N150" s="171">
        <f t="shared" si="15"/>
        <v>124500</v>
      </c>
      <c r="O150" s="91" t="s">
        <v>313</v>
      </c>
      <c r="P150" s="740"/>
      <c r="Q150" s="91" t="s">
        <v>40</v>
      </c>
      <c r="R150" s="365"/>
      <c r="S150" s="17"/>
      <c r="T150" s="365"/>
      <c r="U150" s="365"/>
      <c r="V150" s="365"/>
      <c r="W150" s="365"/>
    </row>
    <row r="151" spans="1:23" s="364" customFormat="1" hidden="1">
      <c r="A151" s="9">
        <v>44389</v>
      </c>
      <c r="B151" s="91" t="s">
        <v>313</v>
      </c>
      <c r="C151" s="123" t="s">
        <v>4965</v>
      </c>
      <c r="D151" s="76" t="s">
        <v>4966</v>
      </c>
      <c r="E151" s="746" t="s">
        <v>4279</v>
      </c>
      <c r="F151" s="746" t="s">
        <v>4280</v>
      </c>
      <c r="G151" s="30">
        <v>1</v>
      </c>
      <c r="H151" s="757">
        <v>142000</v>
      </c>
      <c r="I151" s="171">
        <f t="shared" si="13"/>
        <v>142000</v>
      </c>
      <c r="K151" s="86">
        <f t="shared" si="14"/>
        <v>142000</v>
      </c>
      <c r="L151" s="365"/>
      <c r="M151" s="365"/>
      <c r="N151" s="171">
        <f t="shared" si="15"/>
        <v>142000</v>
      </c>
      <c r="O151" s="91" t="s">
        <v>313</v>
      </c>
      <c r="P151" s="740"/>
      <c r="Q151" s="91" t="s">
        <v>40</v>
      </c>
      <c r="R151" s="365"/>
      <c r="S151" s="17"/>
      <c r="T151" s="365"/>
      <c r="U151" s="365"/>
      <c r="V151" s="365"/>
      <c r="W151" s="365"/>
    </row>
    <row r="152" spans="1:23" s="364" customFormat="1" hidden="1">
      <c r="A152" s="9">
        <v>44389</v>
      </c>
      <c r="B152" s="91" t="s">
        <v>313</v>
      </c>
      <c r="C152" s="123" t="s">
        <v>4965</v>
      </c>
      <c r="D152" s="76" t="s">
        <v>4966</v>
      </c>
      <c r="E152" s="746" t="s">
        <v>5001</v>
      </c>
      <c r="F152" s="746" t="s">
        <v>5002</v>
      </c>
      <c r="G152" s="30">
        <v>1</v>
      </c>
      <c r="H152" s="757">
        <v>110500</v>
      </c>
      <c r="I152" s="171">
        <f t="shared" si="13"/>
        <v>110500</v>
      </c>
      <c r="K152" s="86">
        <f t="shared" si="14"/>
        <v>110500</v>
      </c>
      <c r="L152" s="365"/>
      <c r="M152" s="365"/>
      <c r="N152" s="171">
        <f t="shared" si="15"/>
        <v>110500</v>
      </c>
      <c r="O152" s="91" t="s">
        <v>313</v>
      </c>
      <c r="P152" s="740"/>
      <c r="Q152" s="91" t="s">
        <v>40</v>
      </c>
      <c r="R152" s="365"/>
      <c r="S152" s="17"/>
      <c r="T152" s="365"/>
      <c r="U152" s="365"/>
      <c r="V152" s="365"/>
      <c r="W152" s="365"/>
    </row>
    <row r="153" spans="1:23" s="364" customFormat="1" hidden="1">
      <c r="A153" s="9">
        <v>44389</v>
      </c>
      <c r="B153" s="91" t="s">
        <v>313</v>
      </c>
      <c r="C153" s="123" t="s">
        <v>4965</v>
      </c>
      <c r="D153" s="76" t="s">
        <v>4966</v>
      </c>
      <c r="E153" s="746" t="s">
        <v>5003</v>
      </c>
      <c r="F153" s="746" t="s">
        <v>5004</v>
      </c>
      <c r="G153" s="30">
        <v>1</v>
      </c>
      <c r="H153" s="757">
        <v>128000</v>
      </c>
      <c r="I153" s="171">
        <f t="shared" si="13"/>
        <v>128000</v>
      </c>
      <c r="K153" s="86">
        <f t="shared" si="14"/>
        <v>128000</v>
      </c>
      <c r="L153" s="365"/>
      <c r="M153" s="365"/>
      <c r="N153" s="171">
        <f t="shared" si="15"/>
        <v>128000</v>
      </c>
      <c r="O153" s="91" t="s">
        <v>313</v>
      </c>
      <c r="P153" s="740"/>
      <c r="Q153" s="91" t="s">
        <v>40</v>
      </c>
      <c r="R153" s="365"/>
      <c r="S153" s="17"/>
      <c r="T153" s="365"/>
      <c r="U153" s="365"/>
      <c r="V153" s="365"/>
      <c r="W153" s="365"/>
    </row>
    <row r="154" spans="1:23" s="364" customFormat="1" hidden="1">
      <c r="A154" s="9">
        <v>44390</v>
      </c>
      <c r="B154" s="91" t="s">
        <v>43</v>
      </c>
      <c r="C154" s="123" t="s">
        <v>5005</v>
      </c>
      <c r="D154" s="91" t="s">
        <v>5006</v>
      </c>
      <c r="E154" s="748" t="s">
        <v>180</v>
      </c>
      <c r="F154" s="748" t="s">
        <v>181</v>
      </c>
      <c r="G154" s="30">
        <v>1</v>
      </c>
      <c r="H154" s="757">
        <v>70000</v>
      </c>
      <c r="I154" s="171">
        <f t="shared" si="13"/>
        <v>70000</v>
      </c>
      <c r="K154" s="86">
        <f t="shared" si="14"/>
        <v>70000</v>
      </c>
      <c r="L154" s="365"/>
      <c r="M154" s="365">
        <v>-7840</v>
      </c>
      <c r="N154" s="171">
        <f t="shared" si="15"/>
        <v>62160</v>
      </c>
      <c r="O154" s="91" t="s">
        <v>43</v>
      </c>
      <c r="P154" s="740"/>
      <c r="Q154" s="91" t="s">
        <v>54</v>
      </c>
      <c r="R154" s="365"/>
      <c r="S154" s="17"/>
      <c r="T154" s="365"/>
      <c r="U154" s="365"/>
      <c r="V154" s="365"/>
      <c r="W154" s="365"/>
    </row>
    <row r="155" spans="1:23" s="364" customFormat="1" hidden="1">
      <c r="A155" s="9">
        <v>44390</v>
      </c>
      <c r="B155" s="91" t="s">
        <v>43</v>
      </c>
      <c r="C155" s="123" t="s">
        <v>5005</v>
      </c>
      <c r="D155" s="91" t="s">
        <v>5006</v>
      </c>
      <c r="E155" s="748" t="s">
        <v>3196</v>
      </c>
      <c r="F155" s="748" t="s">
        <v>3197</v>
      </c>
      <c r="G155" s="30">
        <v>1</v>
      </c>
      <c r="H155" s="757">
        <v>70000</v>
      </c>
      <c r="I155" s="171">
        <f t="shared" si="13"/>
        <v>70000</v>
      </c>
      <c r="K155" s="86">
        <f t="shared" si="14"/>
        <v>70000</v>
      </c>
      <c r="L155" s="365"/>
      <c r="M155" s="365"/>
      <c r="N155" s="171">
        <f t="shared" si="15"/>
        <v>70000</v>
      </c>
      <c r="O155" s="91" t="s">
        <v>43</v>
      </c>
      <c r="P155" s="758"/>
      <c r="Q155" s="91" t="s">
        <v>54</v>
      </c>
      <c r="R155" s="365"/>
      <c r="S155" s="365"/>
      <c r="T155" s="365"/>
      <c r="U155" s="365"/>
      <c r="V155" s="365"/>
      <c r="W155" s="365"/>
    </row>
    <row r="156" spans="1:23" s="364" customFormat="1" hidden="1">
      <c r="A156" s="9">
        <v>44390</v>
      </c>
      <c r="B156" s="91" t="s">
        <v>170</v>
      </c>
      <c r="C156" s="123" t="s">
        <v>5007</v>
      </c>
      <c r="D156" s="91" t="s">
        <v>5008</v>
      </c>
      <c r="E156" s="739" t="s">
        <v>4467</v>
      </c>
      <c r="F156" s="739" t="s">
        <v>4468</v>
      </c>
      <c r="G156" s="30">
        <v>1</v>
      </c>
      <c r="H156" s="757">
        <v>127000</v>
      </c>
      <c r="I156" s="171">
        <f t="shared" si="13"/>
        <v>127000</v>
      </c>
      <c r="J156" s="364">
        <f>I156*20%</f>
        <v>25400</v>
      </c>
      <c r="K156" s="86">
        <f t="shared" si="14"/>
        <v>101600</v>
      </c>
      <c r="L156" s="365">
        <f>7000-7000</f>
        <v>0</v>
      </c>
      <c r="M156" s="365"/>
      <c r="N156" s="171">
        <f t="shared" si="15"/>
        <v>101600</v>
      </c>
      <c r="O156" s="91" t="s">
        <v>170</v>
      </c>
      <c r="P156" s="758"/>
      <c r="Q156" s="91" t="s">
        <v>176</v>
      </c>
      <c r="R156" s="365"/>
      <c r="S156" s="365"/>
      <c r="T156" s="365"/>
      <c r="U156" s="365"/>
      <c r="V156" s="365"/>
      <c r="W156" s="365"/>
    </row>
    <row r="157" spans="1:23" s="364" customFormat="1" hidden="1">
      <c r="A157" s="9">
        <v>44390</v>
      </c>
      <c r="B157" s="91" t="s">
        <v>177</v>
      </c>
      <c r="C157" s="123" t="s">
        <v>5009</v>
      </c>
      <c r="D157" s="91" t="s">
        <v>5010</v>
      </c>
      <c r="E157" s="759" t="s">
        <v>4980</v>
      </c>
      <c r="F157" s="759" t="s">
        <v>4981</v>
      </c>
      <c r="G157" s="30">
        <v>1</v>
      </c>
      <c r="H157" s="757">
        <v>79000</v>
      </c>
      <c r="I157" s="171">
        <f t="shared" si="13"/>
        <v>79000</v>
      </c>
      <c r="K157" s="86">
        <f t="shared" si="14"/>
        <v>79000</v>
      </c>
      <c r="L157" s="365">
        <v>8000</v>
      </c>
      <c r="M157" s="365"/>
      <c r="N157" s="171">
        <f t="shared" si="15"/>
        <v>87000</v>
      </c>
      <c r="O157" s="91" t="s">
        <v>177</v>
      </c>
      <c r="P157" s="758"/>
      <c r="Q157" s="91" t="s">
        <v>54</v>
      </c>
      <c r="R157" s="365"/>
      <c r="S157" s="17"/>
      <c r="T157" s="365"/>
      <c r="U157" s="365"/>
      <c r="V157" s="365"/>
      <c r="W157" s="365"/>
    </row>
    <row r="158" spans="1:23" s="364" customFormat="1" hidden="1">
      <c r="A158" s="9">
        <v>44390</v>
      </c>
      <c r="B158" s="91" t="s">
        <v>177</v>
      </c>
      <c r="C158" s="123" t="s">
        <v>5009</v>
      </c>
      <c r="D158" s="91" t="s">
        <v>5010</v>
      </c>
      <c r="E158" s="759" t="s">
        <v>5011</v>
      </c>
      <c r="F158" s="759" t="s">
        <v>5012</v>
      </c>
      <c r="G158" s="30">
        <v>1</v>
      </c>
      <c r="H158" s="757">
        <v>70000</v>
      </c>
      <c r="I158" s="171">
        <f t="shared" si="13"/>
        <v>70000</v>
      </c>
      <c r="K158" s="86">
        <f t="shared" si="14"/>
        <v>70000</v>
      </c>
      <c r="L158" s="365"/>
      <c r="M158" s="365"/>
      <c r="N158" s="171">
        <f t="shared" si="15"/>
        <v>70000</v>
      </c>
      <c r="O158" s="91" t="s">
        <v>177</v>
      </c>
      <c r="P158" s="758"/>
      <c r="Q158" s="91" t="s">
        <v>54</v>
      </c>
      <c r="R158" s="365"/>
      <c r="S158" s="17"/>
      <c r="T158" s="365"/>
      <c r="U158" s="365"/>
      <c r="V158" s="365"/>
      <c r="W158" s="365"/>
    </row>
    <row r="159" spans="1:23" s="364" customFormat="1">
      <c r="A159" s="9">
        <v>44390</v>
      </c>
      <c r="B159" s="91" t="s">
        <v>23</v>
      </c>
      <c r="C159" s="123" t="s">
        <v>5013</v>
      </c>
      <c r="D159" s="91" t="s">
        <v>5014</v>
      </c>
      <c r="E159" s="739" t="s">
        <v>3704</v>
      </c>
      <c r="F159" s="739" t="s">
        <v>3705</v>
      </c>
      <c r="G159" s="30">
        <v>1</v>
      </c>
      <c r="H159" s="757">
        <v>114000</v>
      </c>
      <c r="I159" s="171">
        <f t="shared" si="13"/>
        <v>114000</v>
      </c>
      <c r="K159" s="86">
        <f t="shared" si="14"/>
        <v>114000</v>
      </c>
      <c r="L159" s="365">
        <v>17000</v>
      </c>
      <c r="M159" s="365"/>
      <c r="N159" s="171">
        <f t="shared" si="15"/>
        <v>131000</v>
      </c>
      <c r="O159" s="91" t="s">
        <v>23</v>
      </c>
      <c r="P159" s="758"/>
      <c r="Q159" s="91" t="s">
        <v>40</v>
      </c>
      <c r="R159" s="365"/>
      <c r="S159" s="17"/>
      <c r="T159" s="365"/>
      <c r="U159" s="365"/>
      <c r="V159" s="365"/>
      <c r="W159" s="365"/>
    </row>
    <row r="160" spans="1:23" s="364" customFormat="1">
      <c r="A160" s="9">
        <v>44390</v>
      </c>
      <c r="B160" s="91" t="s">
        <v>23</v>
      </c>
      <c r="C160" s="123" t="s">
        <v>5015</v>
      </c>
      <c r="D160" s="91" t="s">
        <v>5016</v>
      </c>
      <c r="E160" s="760" t="s">
        <v>3016</v>
      </c>
      <c r="F160" s="760" t="s">
        <v>3017</v>
      </c>
      <c r="G160" s="30">
        <v>1</v>
      </c>
      <c r="H160" s="757">
        <v>103000</v>
      </c>
      <c r="I160" s="171">
        <f t="shared" si="13"/>
        <v>103000</v>
      </c>
      <c r="J160" s="364">
        <f>I160*10%</f>
        <v>10300</v>
      </c>
      <c r="K160" s="86">
        <f t="shared" si="14"/>
        <v>92700</v>
      </c>
      <c r="L160" s="365">
        <v>10000</v>
      </c>
      <c r="M160" s="365"/>
      <c r="N160" s="171">
        <f t="shared" si="15"/>
        <v>102700</v>
      </c>
      <c r="O160" s="91" t="s">
        <v>23</v>
      </c>
      <c r="P160" s="758"/>
      <c r="Q160" s="91" t="s">
        <v>40</v>
      </c>
      <c r="R160" s="365"/>
      <c r="S160" s="17"/>
      <c r="T160" s="365"/>
      <c r="U160" s="365"/>
      <c r="V160" s="365"/>
      <c r="W160" s="365"/>
    </row>
    <row r="161" spans="1:23" s="364" customFormat="1">
      <c r="A161" s="9">
        <v>44390</v>
      </c>
      <c r="B161" s="91" t="s">
        <v>23</v>
      </c>
      <c r="C161" s="123" t="s">
        <v>5015</v>
      </c>
      <c r="D161" s="91" t="s">
        <v>5016</v>
      </c>
      <c r="E161" s="760" t="s">
        <v>5017</v>
      </c>
      <c r="F161" s="760" t="s">
        <v>5018</v>
      </c>
      <c r="G161" s="30">
        <v>1</v>
      </c>
      <c r="H161" s="757">
        <v>77000</v>
      </c>
      <c r="I161" s="171">
        <f t="shared" si="13"/>
        <v>77000</v>
      </c>
      <c r="J161" s="364">
        <f>I161*10%</f>
        <v>7700</v>
      </c>
      <c r="K161" s="86">
        <f t="shared" si="14"/>
        <v>69300</v>
      </c>
      <c r="L161" s="365"/>
      <c r="M161" s="365"/>
      <c r="N161" s="171">
        <f t="shared" si="15"/>
        <v>69300</v>
      </c>
      <c r="O161" s="91" t="s">
        <v>23</v>
      </c>
      <c r="P161" s="758"/>
      <c r="Q161" s="91" t="s">
        <v>40</v>
      </c>
      <c r="R161" s="365"/>
      <c r="S161" s="17"/>
      <c r="T161" s="365"/>
      <c r="U161" s="365"/>
      <c r="V161" s="365"/>
      <c r="W161" s="365"/>
    </row>
    <row r="162" spans="1:23" s="364" customFormat="1" hidden="1">
      <c r="A162" s="9">
        <v>44390</v>
      </c>
      <c r="B162" s="91" t="s">
        <v>206</v>
      </c>
      <c r="C162" s="91" t="s">
        <v>5019</v>
      </c>
      <c r="D162" s="91" t="s">
        <v>5020</v>
      </c>
      <c r="E162" s="739" t="s">
        <v>5021</v>
      </c>
      <c r="F162" s="739" t="s">
        <v>731</v>
      </c>
      <c r="G162" s="30">
        <v>1</v>
      </c>
      <c r="H162" s="757">
        <v>114500</v>
      </c>
      <c r="I162" s="171">
        <f t="shared" si="13"/>
        <v>114500</v>
      </c>
      <c r="K162" s="86">
        <f t="shared" si="14"/>
        <v>114500</v>
      </c>
      <c r="L162" s="17">
        <v>18600</v>
      </c>
      <c r="M162" s="365"/>
      <c r="N162" s="171">
        <f t="shared" si="15"/>
        <v>133100</v>
      </c>
      <c r="O162" s="91" t="s">
        <v>206</v>
      </c>
      <c r="P162" s="758"/>
      <c r="Q162" s="91" t="s">
        <v>176</v>
      </c>
      <c r="R162" s="365"/>
      <c r="S162" s="17"/>
      <c r="T162" s="365"/>
      <c r="U162" s="365"/>
      <c r="V162" s="365"/>
      <c r="W162" s="365"/>
    </row>
    <row r="163" spans="1:23" s="364" customFormat="1" hidden="1">
      <c r="A163" s="9">
        <v>44390</v>
      </c>
      <c r="B163" s="91" t="s">
        <v>43</v>
      </c>
      <c r="C163" s="91" t="s">
        <v>5022</v>
      </c>
      <c r="D163" s="91" t="s">
        <v>5023</v>
      </c>
      <c r="E163" s="739" t="s">
        <v>4302</v>
      </c>
      <c r="F163" s="739" t="s">
        <v>4303</v>
      </c>
      <c r="G163" s="30">
        <v>1</v>
      </c>
      <c r="H163" s="757">
        <v>94000</v>
      </c>
      <c r="I163" s="171">
        <f t="shared" si="13"/>
        <v>94000</v>
      </c>
      <c r="K163" s="86">
        <f t="shared" si="14"/>
        <v>94000</v>
      </c>
      <c r="L163" s="365"/>
      <c r="M163" s="365">
        <v>-5264</v>
      </c>
      <c r="N163" s="171">
        <f t="shared" si="15"/>
        <v>88736</v>
      </c>
      <c r="O163" s="91" t="s">
        <v>43</v>
      </c>
      <c r="P163" s="758"/>
      <c r="Q163" s="91" t="s">
        <v>54</v>
      </c>
      <c r="R163" s="365"/>
      <c r="S163" s="17"/>
      <c r="T163" s="365"/>
      <c r="U163" s="365"/>
      <c r="V163" s="365"/>
      <c r="W163" s="365"/>
    </row>
    <row r="164" spans="1:23" s="364" customFormat="1">
      <c r="A164" s="9">
        <v>44390</v>
      </c>
      <c r="B164" s="91" t="s">
        <v>23</v>
      </c>
      <c r="C164" s="91" t="s">
        <v>5024</v>
      </c>
      <c r="D164" s="91" t="s">
        <v>5025</v>
      </c>
      <c r="E164" s="761" t="s">
        <v>5026</v>
      </c>
      <c r="F164" s="761" t="s">
        <v>5027</v>
      </c>
      <c r="G164" s="30">
        <v>1</v>
      </c>
      <c r="H164" s="757">
        <v>61500</v>
      </c>
      <c r="I164" s="171">
        <f t="shared" si="13"/>
        <v>61500</v>
      </c>
      <c r="K164" s="86">
        <f t="shared" si="14"/>
        <v>61500</v>
      </c>
      <c r="L164" s="17">
        <v>17000</v>
      </c>
      <c r="M164" s="365"/>
      <c r="N164" s="171">
        <f t="shared" si="15"/>
        <v>78500</v>
      </c>
      <c r="O164" s="91" t="s">
        <v>23</v>
      </c>
      <c r="P164" s="758"/>
      <c r="Q164" s="91" t="s">
        <v>40</v>
      </c>
      <c r="R164" s="365"/>
      <c r="S164" s="17"/>
      <c r="T164" s="365"/>
      <c r="U164" s="365"/>
      <c r="V164" s="365"/>
      <c r="W164" s="365"/>
    </row>
    <row r="165" spans="1:23" s="364" customFormat="1">
      <c r="A165" s="9">
        <v>44390</v>
      </c>
      <c r="B165" s="91" t="s">
        <v>23</v>
      </c>
      <c r="C165" s="91" t="s">
        <v>5024</v>
      </c>
      <c r="D165" s="91" t="s">
        <v>5025</v>
      </c>
      <c r="E165" s="761" t="s">
        <v>5028</v>
      </c>
      <c r="F165" s="761" t="s">
        <v>5029</v>
      </c>
      <c r="G165" s="30">
        <v>1</v>
      </c>
      <c r="H165" s="757">
        <v>61500</v>
      </c>
      <c r="I165" s="171">
        <f t="shared" si="13"/>
        <v>61500</v>
      </c>
      <c r="K165" s="86">
        <f t="shared" si="14"/>
        <v>61500</v>
      </c>
      <c r="L165" s="365"/>
      <c r="M165" s="365"/>
      <c r="N165" s="171">
        <f t="shared" si="15"/>
        <v>61500</v>
      </c>
      <c r="O165" s="91" t="s">
        <v>23</v>
      </c>
      <c r="P165" s="740"/>
      <c r="Q165" s="91" t="s">
        <v>40</v>
      </c>
      <c r="R165" s="365"/>
      <c r="S165" s="365"/>
      <c r="T165" s="365"/>
      <c r="U165" s="365"/>
      <c r="V165" s="365"/>
      <c r="W165" s="365"/>
    </row>
    <row r="166" spans="1:23" s="364" customFormat="1" hidden="1">
      <c r="A166" s="9">
        <v>44391</v>
      </c>
      <c r="B166" s="91" t="s">
        <v>43</v>
      </c>
      <c r="C166" s="91" t="s">
        <v>5030</v>
      </c>
      <c r="D166" s="91" t="s">
        <v>5031</v>
      </c>
      <c r="E166" s="739" t="s">
        <v>4302</v>
      </c>
      <c r="F166" s="739" t="s">
        <v>4303</v>
      </c>
      <c r="G166" s="30">
        <v>1</v>
      </c>
      <c r="H166" s="757">
        <v>94000</v>
      </c>
      <c r="I166" s="171">
        <f t="shared" si="13"/>
        <v>94000</v>
      </c>
      <c r="K166" s="86">
        <f t="shared" si="14"/>
        <v>94000</v>
      </c>
      <c r="L166" s="365"/>
      <c r="M166" s="365">
        <v>-5264</v>
      </c>
      <c r="N166" s="171">
        <f t="shared" si="15"/>
        <v>88736</v>
      </c>
      <c r="O166" s="91" t="s">
        <v>43</v>
      </c>
      <c r="P166" s="740"/>
      <c r="Q166" s="91" t="s">
        <v>54</v>
      </c>
      <c r="R166" s="365"/>
      <c r="S166" s="365"/>
      <c r="T166" s="365"/>
      <c r="U166" s="365"/>
      <c r="V166" s="365"/>
      <c r="W166" s="365"/>
    </row>
    <row r="167" spans="1:23" s="364" customFormat="1" hidden="1">
      <c r="A167" s="9">
        <v>44391</v>
      </c>
      <c r="B167" s="91" t="s">
        <v>43</v>
      </c>
      <c r="C167" s="91" t="s">
        <v>5032</v>
      </c>
      <c r="D167" s="91" t="s">
        <v>5033</v>
      </c>
      <c r="E167" s="739" t="s">
        <v>4302</v>
      </c>
      <c r="F167" s="739" t="s">
        <v>4303</v>
      </c>
      <c r="G167" s="30">
        <v>1</v>
      </c>
      <c r="H167" s="757">
        <v>94000</v>
      </c>
      <c r="I167" s="171">
        <f t="shared" si="13"/>
        <v>94000</v>
      </c>
      <c r="K167" s="86">
        <f t="shared" si="14"/>
        <v>94000</v>
      </c>
      <c r="L167" s="365">
        <v>23000</v>
      </c>
      <c r="M167" s="365">
        <v>-5246</v>
      </c>
      <c r="N167" s="171">
        <f t="shared" si="15"/>
        <v>111754</v>
      </c>
      <c r="O167" s="91" t="s">
        <v>43</v>
      </c>
      <c r="P167" s="758"/>
      <c r="Q167" s="91" t="s">
        <v>54</v>
      </c>
      <c r="R167" s="365"/>
      <c r="S167" s="365"/>
      <c r="T167" s="365"/>
      <c r="U167" s="365"/>
      <c r="V167" s="365"/>
      <c r="W167" s="365"/>
    </row>
    <row r="168" spans="1:23" s="364" customFormat="1" hidden="1">
      <c r="A168" s="9">
        <v>44391</v>
      </c>
      <c r="B168" s="91" t="s">
        <v>43</v>
      </c>
      <c r="C168" s="123" t="s">
        <v>5034</v>
      </c>
      <c r="D168" s="76" t="s">
        <v>5035</v>
      </c>
      <c r="E168" s="739" t="s">
        <v>306</v>
      </c>
      <c r="F168" s="739" t="s">
        <v>307</v>
      </c>
      <c r="G168" s="30">
        <v>1</v>
      </c>
      <c r="H168" s="757">
        <v>90000</v>
      </c>
      <c r="I168" s="171">
        <f t="shared" si="13"/>
        <v>90000</v>
      </c>
      <c r="K168" s="86">
        <f t="shared" si="14"/>
        <v>90000</v>
      </c>
      <c r="L168" s="365">
        <v>8000</v>
      </c>
      <c r="M168" s="17">
        <v>-5068</v>
      </c>
      <c r="N168" s="171">
        <f t="shared" si="15"/>
        <v>92932</v>
      </c>
      <c r="O168" s="91" t="s">
        <v>43</v>
      </c>
      <c r="P168" s="758"/>
      <c r="Q168" s="91" t="s">
        <v>54</v>
      </c>
      <c r="R168" s="365"/>
      <c r="S168" s="365"/>
      <c r="T168" s="365"/>
      <c r="U168" s="365"/>
      <c r="V168" s="365"/>
      <c r="W168" s="365"/>
    </row>
    <row r="169" spans="1:23" s="364" customFormat="1" hidden="1">
      <c r="A169" s="9">
        <v>44391</v>
      </c>
      <c r="B169" s="91" t="s">
        <v>43</v>
      </c>
      <c r="C169" s="123" t="s">
        <v>5036</v>
      </c>
      <c r="D169" s="76" t="s">
        <v>5037</v>
      </c>
      <c r="E169" s="739" t="s">
        <v>4302</v>
      </c>
      <c r="F169" s="739" t="s">
        <v>4303</v>
      </c>
      <c r="G169" s="30">
        <v>1</v>
      </c>
      <c r="H169" s="757">
        <v>94000</v>
      </c>
      <c r="I169" s="171">
        <f t="shared" si="13"/>
        <v>94000</v>
      </c>
      <c r="K169" s="86">
        <f t="shared" si="14"/>
        <v>94000</v>
      </c>
      <c r="L169" s="365"/>
      <c r="M169" s="17">
        <v>-5264</v>
      </c>
      <c r="N169" s="171">
        <f t="shared" si="15"/>
        <v>88736</v>
      </c>
      <c r="O169" s="91" t="s">
        <v>43</v>
      </c>
      <c r="P169" s="10"/>
      <c r="Q169" s="91" t="s">
        <v>54</v>
      </c>
      <c r="R169" s="365"/>
      <c r="S169" s="365"/>
      <c r="T169" s="365"/>
      <c r="U169" s="365"/>
      <c r="V169" s="365"/>
      <c r="W169" s="365"/>
    </row>
    <row r="170" spans="1:23" s="364" customFormat="1" hidden="1">
      <c r="A170" s="9">
        <v>44391</v>
      </c>
      <c r="B170" s="91" t="s">
        <v>43</v>
      </c>
      <c r="C170" s="91" t="s">
        <v>5038</v>
      </c>
      <c r="D170" s="76" t="s">
        <v>5039</v>
      </c>
      <c r="E170" s="739" t="s">
        <v>1086</v>
      </c>
      <c r="F170" s="739" t="s">
        <v>1087</v>
      </c>
      <c r="G170" s="30">
        <v>1</v>
      </c>
      <c r="H170" s="757">
        <v>76000</v>
      </c>
      <c r="I170" s="171">
        <f t="shared" si="13"/>
        <v>76000</v>
      </c>
      <c r="K170" s="86">
        <f t="shared" si="14"/>
        <v>76000</v>
      </c>
      <c r="L170" s="365">
        <v>18000</v>
      </c>
      <c r="M170" s="17">
        <v>-4556</v>
      </c>
      <c r="N170" s="171">
        <f t="shared" si="15"/>
        <v>89444</v>
      </c>
      <c r="O170" s="91" t="s">
        <v>43</v>
      </c>
      <c r="P170" s="10"/>
      <c r="Q170" s="91" t="s">
        <v>54</v>
      </c>
      <c r="R170" s="365"/>
      <c r="S170" s="13"/>
      <c r="T170" s="365"/>
      <c r="U170" s="365"/>
      <c r="V170" s="365"/>
      <c r="W170" s="365"/>
    </row>
    <row r="171" spans="1:23" s="364" customFormat="1" hidden="1">
      <c r="A171" s="9">
        <v>44391</v>
      </c>
      <c r="B171" s="91" t="s">
        <v>206</v>
      </c>
      <c r="C171" s="123" t="s">
        <v>5040</v>
      </c>
      <c r="D171" s="76" t="s">
        <v>5041</v>
      </c>
      <c r="E171" s="739" t="s">
        <v>90</v>
      </c>
      <c r="F171" s="739" t="s">
        <v>112</v>
      </c>
      <c r="G171" s="30">
        <v>1</v>
      </c>
      <c r="H171" s="757">
        <v>77000</v>
      </c>
      <c r="I171" s="171">
        <f t="shared" ref="I171:I249" si="16">G171*H171</f>
        <v>77000</v>
      </c>
      <c r="K171" s="86">
        <f t="shared" si="14"/>
        <v>77000</v>
      </c>
      <c r="L171" s="17">
        <v>12400</v>
      </c>
      <c r="M171" s="365"/>
      <c r="N171" s="171">
        <f t="shared" si="15"/>
        <v>89400</v>
      </c>
      <c r="O171" s="91" t="s">
        <v>206</v>
      </c>
      <c r="P171" s="11"/>
      <c r="Q171" s="91" t="s">
        <v>176</v>
      </c>
      <c r="R171" s="365"/>
      <c r="S171" s="365"/>
      <c r="T171" s="365"/>
      <c r="U171" s="365"/>
      <c r="V171" s="365"/>
      <c r="W171" s="365"/>
    </row>
    <row r="172" spans="1:23" s="364" customFormat="1" hidden="1">
      <c r="A172" s="9">
        <v>44391</v>
      </c>
      <c r="B172" s="91" t="s">
        <v>177</v>
      </c>
      <c r="C172" s="123" t="s">
        <v>5042</v>
      </c>
      <c r="D172" s="29" t="s">
        <v>5043</v>
      </c>
      <c r="E172" s="739" t="s">
        <v>5044</v>
      </c>
      <c r="F172" s="739" t="s">
        <v>5045</v>
      </c>
      <c r="G172" s="30">
        <v>1</v>
      </c>
      <c r="H172" s="757">
        <v>125500</v>
      </c>
      <c r="I172" s="171">
        <f t="shared" si="16"/>
        <v>125500</v>
      </c>
      <c r="K172" s="86">
        <f t="shared" si="14"/>
        <v>125500</v>
      </c>
      <c r="L172" s="17">
        <v>9500</v>
      </c>
      <c r="M172" s="365"/>
      <c r="N172" s="171">
        <f t="shared" si="15"/>
        <v>135000</v>
      </c>
      <c r="O172" s="91" t="s">
        <v>177</v>
      </c>
      <c r="P172" s="11"/>
      <c r="Q172" s="91" t="s">
        <v>54</v>
      </c>
      <c r="R172" s="365"/>
      <c r="S172" s="365"/>
      <c r="T172" s="365"/>
      <c r="U172" s="365"/>
      <c r="V172" s="365"/>
      <c r="W172" s="365"/>
    </row>
    <row r="173" spans="1:23" s="364" customFormat="1">
      <c r="A173" s="9">
        <v>44391</v>
      </c>
      <c r="B173" s="91" t="s">
        <v>23</v>
      </c>
      <c r="C173" s="91" t="s">
        <v>5046</v>
      </c>
      <c r="D173" s="29" t="s">
        <v>5047</v>
      </c>
      <c r="E173" s="746" t="s">
        <v>5048</v>
      </c>
      <c r="F173" s="746" t="s">
        <v>2706</v>
      </c>
      <c r="G173" s="762">
        <v>1</v>
      </c>
      <c r="H173" s="371">
        <v>109500</v>
      </c>
      <c r="I173" s="171">
        <f t="shared" si="16"/>
        <v>109500</v>
      </c>
      <c r="J173" s="364">
        <f>I173*25%</f>
        <v>27375</v>
      </c>
      <c r="K173" s="86">
        <f t="shared" si="14"/>
        <v>82125</v>
      </c>
      <c r="L173" s="17">
        <v>228000</v>
      </c>
      <c r="M173" s="365"/>
      <c r="N173" s="171">
        <f t="shared" si="15"/>
        <v>310125</v>
      </c>
      <c r="O173" s="91" t="s">
        <v>23</v>
      </c>
      <c r="P173" s="11"/>
      <c r="Q173" s="91" t="s">
        <v>3179</v>
      </c>
      <c r="R173" s="365"/>
      <c r="S173" s="365"/>
      <c r="T173" s="365"/>
      <c r="U173" s="365"/>
      <c r="V173" s="365"/>
      <c r="W173" s="365"/>
    </row>
    <row r="174" spans="1:23" s="364" customFormat="1">
      <c r="A174" s="9">
        <v>44391</v>
      </c>
      <c r="B174" s="91" t="s">
        <v>23</v>
      </c>
      <c r="C174" s="91" t="s">
        <v>5046</v>
      </c>
      <c r="D174" s="29" t="s">
        <v>5047</v>
      </c>
      <c r="E174" s="746" t="s">
        <v>767</v>
      </c>
      <c r="F174" s="746" t="s">
        <v>768</v>
      </c>
      <c r="G174" s="30">
        <v>1</v>
      </c>
      <c r="H174" s="371">
        <v>98000</v>
      </c>
      <c r="I174" s="171">
        <f t="shared" si="16"/>
        <v>98000</v>
      </c>
      <c r="J174" s="364">
        <f t="shared" ref="J174:J196" si="17">I174*25%</f>
        <v>24500</v>
      </c>
      <c r="K174" s="86">
        <f t="shared" si="14"/>
        <v>73500</v>
      </c>
      <c r="L174" s="365"/>
      <c r="M174" s="365"/>
      <c r="N174" s="171">
        <f t="shared" si="15"/>
        <v>73500</v>
      </c>
      <c r="O174" s="91" t="s">
        <v>23</v>
      </c>
      <c r="P174" s="11"/>
      <c r="Q174" s="91" t="s">
        <v>3179</v>
      </c>
      <c r="R174" s="365"/>
      <c r="S174" s="365"/>
      <c r="T174" s="365"/>
      <c r="U174" s="365"/>
      <c r="V174" s="365"/>
      <c r="W174" s="365"/>
    </row>
    <row r="175" spans="1:23" s="364" customFormat="1">
      <c r="A175" s="9">
        <v>44391</v>
      </c>
      <c r="B175" s="91" t="s">
        <v>23</v>
      </c>
      <c r="C175" s="91" t="s">
        <v>5046</v>
      </c>
      <c r="D175" s="29" t="s">
        <v>5047</v>
      </c>
      <c r="E175" s="746" t="s">
        <v>1406</v>
      </c>
      <c r="F175" s="746" t="s">
        <v>5049</v>
      </c>
      <c r="G175" s="30">
        <v>1</v>
      </c>
      <c r="H175" s="371">
        <v>83000</v>
      </c>
      <c r="I175" s="171">
        <f t="shared" si="16"/>
        <v>83000</v>
      </c>
      <c r="J175" s="364">
        <f t="shared" si="17"/>
        <v>20750</v>
      </c>
      <c r="K175" s="86">
        <f t="shared" si="14"/>
        <v>62250</v>
      </c>
      <c r="L175" s="365"/>
      <c r="M175" s="365"/>
      <c r="N175" s="171">
        <f t="shared" si="15"/>
        <v>62250</v>
      </c>
      <c r="O175" s="91" t="s">
        <v>23</v>
      </c>
      <c r="P175" s="11"/>
      <c r="Q175" s="91" t="s">
        <v>3179</v>
      </c>
      <c r="R175" s="365"/>
      <c r="S175" s="365"/>
      <c r="T175" s="365"/>
      <c r="U175" s="365"/>
      <c r="V175" s="365"/>
      <c r="W175" s="365"/>
    </row>
    <row r="176" spans="1:23" s="364" customFormat="1">
      <c r="A176" s="9">
        <v>44391</v>
      </c>
      <c r="B176" s="91" t="s">
        <v>23</v>
      </c>
      <c r="C176" s="91" t="s">
        <v>5046</v>
      </c>
      <c r="D176" s="29" t="s">
        <v>5047</v>
      </c>
      <c r="E176" s="746" t="s">
        <v>3202</v>
      </c>
      <c r="F176" s="746" t="s">
        <v>3203</v>
      </c>
      <c r="G176" s="30">
        <v>1</v>
      </c>
      <c r="H176" s="371">
        <v>71500</v>
      </c>
      <c r="I176" s="171">
        <f t="shared" si="16"/>
        <v>71500</v>
      </c>
      <c r="J176" s="364">
        <f t="shared" si="17"/>
        <v>17875</v>
      </c>
      <c r="K176" s="86">
        <f t="shared" si="14"/>
        <v>53625</v>
      </c>
      <c r="L176" s="365"/>
      <c r="M176" s="365"/>
      <c r="N176" s="171">
        <f t="shared" si="15"/>
        <v>53625</v>
      </c>
      <c r="O176" s="91" t="s">
        <v>23</v>
      </c>
      <c r="P176" s="10"/>
      <c r="Q176" s="91" t="s">
        <v>3179</v>
      </c>
      <c r="R176" s="365"/>
      <c r="S176" s="365"/>
      <c r="T176" s="365"/>
      <c r="U176" s="365"/>
      <c r="V176" s="365"/>
      <c r="W176" s="365"/>
    </row>
    <row r="177" spans="1:23" s="364" customFormat="1">
      <c r="A177" s="9">
        <v>44391</v>
      </c>
      <c r="B177" s="91" t="s">
        <v>23</v>
      </c>
      <c r="C177" s="91" t="s">
        <v>5046</v>
      </c>
      <c r="D177" s="29" t="s">
        <v>5047</v>
      </c>
      <c r="E177" s="746" t="s">
        <v>5050</v>
      </c>
      <c r="F177" s="746" t="s">
        <v>5051</v>
      </c>
      <c r="G177" s="30">
        <v>1</v>
      </c>
      <c r="H177" s="371">
        <v>59000</v>
      </c>
      <c r="I177" s="171">
        <f t="shared" si="16"/>
        <v>59000</v>
      </c>
      <c r="J177" s="364">
        <f t="shared" si="17"/>
        <v>14750</v>
      </c>
      <c r="K177" s="86">
        <f t="shared" si="14"/>
        <v>44250</v>
      </c>
      <c r="L177" s="365"/>
      <c r="M177" s="365"/>
      <c r="N177" s="171">
        <f t="shared" si="15"/>
        <v>44250</v>
      </c>
      <c r="O177" s="91" t="s">
        <v>23</v>
      </c>
      <c r="P177" s="10"/>
      <c r="Q177" s="91" t="s">
        <v>3179</v>
      </c>
      <c r="R177" s="365"/>
      <c r="S177" s="365"/>
      <c r="T177" s="365"/>
      <c r="U177" s="365"/>
      <c r="V177" s="365"/>
      <c r="W177" s="365"/>
    </row>
    <row r="178" spans="1:23" s="364" customFormat="1">
      <c r="A178" s="9">
        <v>44391</v>
      </c>
      <c r="B178" s="91" t="s">
        <v>23</v>
      </c>
      <c r="C178" s="91" t="s">
        <v>5046</v>
      </c>
      <c r="D178" s="29" t="s">
        <v>5047</v>
      </c>
      <c r="E178" s="746" t="s">
        <v>95</v>
      </c>
      <c r="F178" s="746" t="s">
        <v>117</v>
      </c>
      <c r="G178" s="30">
        <v>1</v>
      </c>
      <c r="H178" s="371">
        <v>75000</v>
      </c>
      <c r="I178" s="171">
        <f t="shared" si="16"/>
        <v>75000</v>
      </c>
      <c r="J178" s="364">
        <f t="shared" si="17"/>
        <v>18750</v>
      </c>
      <c r="K178" s="86">
        <f t="shared" si="14"/>
        <v>56250</v>
      </c>
      <c r="L178" s="365"/>
      <c r="M178" s="365"/>
      <c r="N178" s="171">
        <f t="shared" si="15"/>
        <v>56250</v>
      </c>
      <c r="O178" s="91" t="s">
        <v>23</v>
      </c>
      <c r="P178" s="10"/>
      <c r="Q178" s="91" t="s">
        <v>3179</v>
      </c>
      <c r="R178" s="365"/>
      <c r="S178" s="17"/>
      <c r="T178" s="365"/>
      <c r="U178" s="365"/>
      <c r="V178" s="365"/>
      <c r="W178" s="365"/>
    </row>
    <row r="179" spans="1:23" s="364" customFormat="1">
      <c r="A179" s="9">
        <v>44391</v>
      </c>
      <c r="B179" s="91" t="s">
        <v>23</v>
      </c>
      <c r="C179" s="91" t="s">
        <v>5046</v>
      </c>
      <c r="D179" s="29" t="s">
        <v>5047</v>
      </c>
      <c r="E179" s="746" t="s">
        <v>3495</v>
      </c>
      <c r="F179" s="746" t="s">
        <v>3496</v>
      </c>
      <c r="G179" s="30">
        <v>1</v>
      </c>
      <c r="H179" s="371">
        <v>90000</v>
      </c>
      <c r="I179" s="171">
        <f t="shared" si="16"/>
        <v>90000</v>
      </c>
      <c r="J179" s="364">
        <f t="shared" si="17"/>
        <v>22500</v>
      </c>
      <c r="K179" s="86">
        <f t="shared" si="14"/>
        <v>67500</v>
      </c>
      <c r="L179" s="365"/>
      <c r="M179" s="365"/>
      <c r="N179" s="171">
        <f t="shared" si="15"/>
        <v>67500</v>
      </c>
      <c r="O179" s="91" t="s">
        <v>23</v>
      </c>
      <c r="P179" s="11"/>
      <c r="Q179" s="91" t="s">
        <v>3179</v>
      </c>
      <c r="R179" s="365"/>
      <c r="S179" s="17"/>
      <c r="T179" s="365"/>
      <c r="U179" s="365"/>
      <c r="V179" s="365"/>
      <c r="W179" s="365"/>
    </row>
    <row r="180" spans="1:23" s="364" customFormat="1">
      <c r="A180" s="9">
        <v>44391</v>
      </c>
      <c r="B180" s="91" t="s">
        <v>23</v>
      </c>
      <c r="C180" s="91" t="s">
        <v>5046</v>
      </c>
      <c r="D180" s="29" t="s">
        <v>5047</v>
      </c>
      <c r="E180" s="746" t="s">
        <v>5052</v>
      </c>
      <c r="F180" s="746" t="s">
        <v>5053</v>
      </c>
      <c r="G180" s="30">
        <v>1</v>
      </c>
      <c r="H180" s="371">
        <v>103000</v>
      </c>
      <c r="I180" s="171">
        <f t="shared" si="16"/>
        <v>103000</v>
      </c>
      <c r="J180" s="364">
        <f t="shared" si="17"/>
        <v>25750</v>
      </c>
      <c r="K180" s="86">
        <f t="shared" si="14"/>
        <v>77250</v>
      </c>
      <c r="L180" s="365"/>
      <c r="M180" s="365"/>
      <c r="N180" s="171">
        <f t="shared" si="15"/>
        <v>77250</v>
      </c>
      <c r="O180" s="91" t="s">
        <v>23</v>
      </c>
      <c r="P180" s="10"/>
      <c r="Q180" s="91" t="s">
        <v>3179</v>
      </c>
      <c r="R180" s="365"/>
      <c r="S180" s="17"/>
      <c r="T180" s="365"/>
      <c r="U180" s="365"/>
      <c r="V180" s="365"/>
      <c r="W180" s="365"/>
    </row>
    <row r="181" spans="1:23" s="364" customFormat="1">
      <c r="A181" s="9">
        <v>44391</v>
      </c>
      <c r="B181" s="91" t="s">
        <v>23</v>
      </c>
      <c r="C181" s="91" t="s">
        <v>5046</v>
      </c>
      <c r="D181" s="29" t="s">
        <v>5047</v>
      </c>
      <c r="E181" s="746" t="s">
        <v>5054</v>
      </c>
      <c r="F181" s="746" t="s">
        <v>5055</v>
      </c>
      <c r="G181" s="30">
        <v>1</v>
      </c>
      <c r="H181" s="371">
        <v>94000</v>
      </c>
      <c r="I181" s="171">
        <f t="shared" si="16"/>
        <v>94000</v>
      </c>
      <c r="J181" s="364">
        <f t="shared" si="17"/>
        <v>23500</v>
      </c>
      <c r="K181" s="86">
        <f t="shared" si="14"/>
        <v>70500</v>
      </c>
      <c r="L181" s="365"/>
      <c r="M181" s="365"/>
      <c r="N181" s="171">
        <f t="shared" si="15"/>
        <v>70500</v>
      </c>
      <c r="O181" s="91" t="s">
        <v>23</v>
      </c>
      <c r="P181" s="10"/>
      <c r="Q181" s="91" t="s">
        <v>3179</v>
      </c>
      <c r="R181" s="365"/>
      <c r="S181" s="17"/>
      <c r="T181" s="365"/>
      <c r="U181" s="365"/>
      <c r="V181" s="365"/>
      <c r="W181" s="365"/>
    </row>
    <row r="182" spans="1:23" s="364" customFormat="1">
      <c r="A182" s="9">
        <v>44391</v>
      </c>
      <c r="B182" s="91" t="s">
        <v>23</v>
      </c>
      <c r="C182" s="91" t="s">
        <v>5046</v>
      </c>
      <c r="D182" s="29" t="s">
        <v>5047</v>
      </c>
      <c r="E182" s="746" t="s">
        <v>5056</v>
      </c>
      <c r="F182" s="746" t="s">
        <v>5057</v>
      </c>
      <c r="G182" s="30">
        <v>1</v>
      </c>
      <c r="H182" s="371">
        <v>117000</v>
      </c>
      <c r="I182" s="171">
        <f t="shared" si="16"/>
        <v>117000</v>
      </c>
      <c r="J182" s="364">
        <f t="shared" si="17"/>
        <v>29250</v>
      </c>
      <c r="K182" s="86">
        <f t="shared" si="14"/>
        <v>87750</v>
      </c>
      <c r="L182" s="365"/>
      <c r="M182" s="365"/>
      <c r="N182" s="171">
        <f t="shared" si="15"/>
        <v>87750</v>
      </c>
      <c r="O182" s="91" t="s">
        <v>23</v>
      </c>
      <c r="P182" s="10"/>
      <c r="Q182" s="91" t="s">
        <v>3179</v>
      </c>
      <c r="R182" s="365"/>
      <c r="S182" s="17"/>
      <c r="T182" s="365"/>
      <c r="U182" s="365"/>
      <c r="V182" s="365"/>
      <c r="W182" s="365"/>
    </row>
    <row r="183" spans="1:23" s="364" customFormat="1">
      <c r="A183" s="9">
        <v>44391</v>
      </c>
      <c r="B183" s="91" t="s">
        <v>23</v>
      </c>
      <c r="C183" s="91" t="s">
        <v>5046</v>
      </c>
      <c r="D183" s="29" t="s">
        <v>5047</v>
      </c>
      <c r="E183" s="746" t="s">
        <v>5058</v>
      </c>
      <c r="F183" s="746" t="s">
        <v>5059</v>
      </c>
      <c r="G183" s="30">
        <v>1</v>
      </c>
      <c r="H183" s="371">
        <v>73000</v>
      </c>
      <c r="I183" s="171">
        <f t="shared" si="16"/>
        <v>73000</v>
      </c>
      <c r="J183" s="364">
        <f t="shared" si="17"/>
        <v>18250</v>
      </c>
      <c r="K183" s="86">
        <f t="shared" si="14"/>
        <v>54750</v>
      </c>
      <c r="L183" s="365"/>
      <c r="M183" s="365"/>
      <c r="N183" s="171">
        <f t="shared" si="15"/>
        <v>54750</v>
      </c>
      <c r="O183" s="91" t="s">
        <v>23</v>
      </c>
      <c r="P183" s="10"/>
      <c r="Q183" s="91" t="s">
        <v>3179</v>
      </c>
      <c r="R183" s="365"/>
      <c r="S183" s="17"/>
      <c r="T183" s="365"/>
      <c r="U183" s="365"/>
      <c r="V183" s="365"/>
      <c r="W183" s="365"/>
    </row>
    <row r="184" spans="1:23" s="364" customFormat="1">
      <c r="A184" s="9">
        <v>44391</v>
      </c>
      <c r="B184" s="91" t="s">
        <v>23</v>
      </c>
      <c r="C184" s="91" t="s">
        <v>5046</v>
      </c>
      <c r="D184" s="29" t="s">
        <v>5047</v>
      </c>
      <c r="E184" s="746" t="s">
        <v>5060</v>
      </c>
      <c r="F184" s="746" t="s">
        <v>5061</v>
      </c>
      <c r="G184" s="30">
        <v>1</v>
      </c>
      <c r="H184" s="371">
        <v>113000</v>
      </c>
      <c r="I184" s="171">
        <f t="shared" si="16"/>
        <v>113000</v>
      </c>
      <c r="J184" s="364">
        <f t="shared" si="17"/>
        <v>28250</v>
      </c>
      <c r="K184" s="86">
        <f t="shared" ref="K184:K256" si="18">I184-J184</f>
        <v>84750</v>
      </c>
      <c r="L184" s="365"/>
      <c r="M184" s="365"/>
      <c r="N184" s="171">
        <f t="shared" ref="N184:N247" si="19">K184+L184+M184</f>
        <v>84750</v>
      </c>
      <c r="O184" s="91" t="s">
        <v>23</v>
      </c>
      <c r="P184" s="10"/>
      <c r="Q184" s="91" t="s">
        <v>3179</v>
      </c>
      <c r="R184" s="365"/>
      <c r="S184" s="17"/>
      <c r="T184" s="365"/>
      <c r="U184" s="365"/>
      <c r="V184" s="365"/>
      <c r="W184" s="365"/>
    </row>
    <row r="185" spans="1:23" s="364" customFormat="1">
      <c r="A185" s="9">
        <v>44391</v>
      </c>
      <c r="B185" s="91" t="s">
        <v>23</v>
      </c>
      <c r="C185" s="91" t="s">
        <v>5046</v>
      </c>
      <c r="D185" s="29" t="s">
        <v>5047</v>
      </c>
      <c r="E185" s="746" t="s">
        <v>5062</v>
      </c>
      <c r="F185" s="746" t="s">
        <v>5063</v>
      </c>
      <c r="G185" s="30">
        <v>1</v>
      </c>
      <c r="H185" s="371">
        <v>117000</v>
      </c>
      <c r="I185" s="171">
        <f t="shared" si="16"/>
        <v>117000</v>
      </c>
      <c r="J185" s="364">
        <f t="shared" si="17"/>
        <v>29250</v>
      </c>
      <c r="K185" s="86">
        <f t="shared" si="18"/>
        <v>87750</v>
      </c>
      <c r="L185" s="365"/>
      <c r="M185" s="365"/>
      <c r="N185" s="171">
        <f t="shared" si="19"/>
        <v>87750</v>
      </c>
      <c r="O185" s="91" t="s">
        <v>23</v>
      </c>
      <c r="P185" s="10"/>
      <c r="Q185" s="91" t="s">
        <v>3179</v>
      </c>
      <c r="R185" s="365"/>
      <c r="S185" s="17"/>
      <c r="T185" s="365"/>
      <c r="U185" s="365"/>
      <c r="V185" s="365"/>
      <c r="W185" s="365"/>
    </row>
    <row r="186" spans="1:23" s="364" customFormat="1">
      <c r="A186" s="9">
        <v>44391</v>
      </c>
      <c r="B186" s="91" t="s">
        <v>23</v>
      </c>
      <c r="C186" s="91" t="s">
        <v>5046</v>
      </c>
      <c r="D186" s="29" t="s">
        <v>5047</v>
      </c>
      <c r="E186" s="746" t="s">
        <v>5064</v>
      </c>
      <c r="F186" s="746" t="s">
        <v>5065</v>
      </c>
      <c r="G186" s="30">
        <v>1</v>
      </c>
      <c r="H186" s="371">
        <v>164000</v>
      </c>
      <c r="I186" s="171">
        <f t="shared" si="16"/>
        <v>164000</v>
      </c>
      <c r="J186" s="364">
        <f t="shared" si="17"/>
        <v>41000</v>
      </c>
      <c r="K186" s="86">
        <f t="shared" si="18"/>
        <v>123000</v>
      </c>
      <c r="L186" s="365"/>
      <c r="M186" s="365"/>
      <c r="N186" s="171">
        <f t="shared" si="19"/>
        <v>123000</v>
      </c>
      <c r="O186" s="91" t="s">
        <v>23</v>
      </c>
      <c r="P186" s="10"/>
      <c r="Q186" s="91" t="s">
        <v>3179</v>
      </c>
      <c r="R186" s="365"/>
      <c r="S186" s="17"/>
      <c r="T186" s="365"/>
      <c r="U186" s="365"/>
      <c r="V186" s="365"/>
      <c r="W186" s="365"/>
    </row>
    <row r="187" spans="1:23" s="364" customFormat="1">
      <c r="A187" s="9">
        <v>44391</v>
      </c>
      <c r="B187" s="91" t="s">
        <v>23</v>
      </c>
      <c r="C187" s="91" t="s">
        <v>5046</v>
      </c>
      <c r="D187" s="29" t="s">
        <v>5047</v>
      </c>
      <c r="E187" s="746" t="s">
        <v>5066</v>
      </c>
      <c r="F187" s="746" t="s">
        <v>5067</v>
      </c>
      <c r="G187" s="30">
        <v>1</v>
      </c>
      <c r="H187" s="371">
        <v>75500</v>
      </c>
      <c r="I187" s="171">
        <f t="shared" si="16"/>
        <v>75500</v>
      </c>
      <c r="J187" s="364">
        <f t="shared" si="17"/>
        <v>18875</v>
      </c>
      <c r="K187" s="86">
        <f t="shared" si="18"/>
        <v>56625</v>
      </c>
      <c r="L187" s="365"/>
      <c r="M187" s="365"/>
      <c r="N187" s="171">
        <f t="shared" si="19"/>
        <v>56625</v>
      </c>
      <c r="O187" s="91" t="s">
        <v>23</v>
      </c>
      <c r="P187" s="10"/>
      <c r="Q187" s="91" t="s">
        <v>3179</v>
      </c>
      <c r="R187" s="365"/>
      <c r="S187" s="17"/>
      <c r="T187" s="365"/>
      <c r="U187" s="365"/>
      <c r="V187" s="365"/>
      <c r="W187" s="365"/>
    </row>
    <row r="188" spans="1:23" s="364" customFormat="1">
      <c r="A188" s="9">
        <v>44391</v>
      </c>
      <c r="B188" s="91" t="s">
        <v>23</v>
      </c>
      <c r="C188" s="91" t="s">
        <v>5046</v>
      </c>
      <c r="D188" s="29" t="s">
        <v>5047</v>
      </c>
      <c r="E188" s="746" t="s">
        <v>5068</v>
      </c>
      <c r="F188" s="746" t="s">
        <v>5069</v>
      </c>
      <c r="G188" s="30">
        <v>1</v>
      </c>
      <c r="H188" s="371">
        <v>87000</v>
      </c>
      <c r="I188" s="171">
        <f t="shared" si="16"/>
        <v>87000</v>
      </c>
      <c r="J188" s="364">
        <f t="shared" si="17"/>
        <v>21750</v>
      </c>
      <c r="K188" s="86">
        <f t="shared" si="18"/>
        <v>65250</v>
      </c>
      <c r="L188" s="365"/>
      <c r="M188" s="365"/>
      <c r="N188" s="171">
        <f t="shared" si="19"/>
        <v>65250</v>
      </c>
      <c r="O188" s="91" t="s">
        <v>23</v>
      </c>
      <c r="P188" s="10"/>
      <c r="Q188" s="91" t="s">
        <v>3179</v>
      </c>
      <c r="R188" s="365"/>
      <c r="S188" s="17"/>
      <c r="T188" s="365"/>
      <c r="U188" s="365"/>
      <c r="V188" s="365"/>
      <c r="W188" s="365"/>
    </row>
    <row r="189" spans="1:23" s="364" customFormat="1">
      <c r="A189" s="9">
        <v>44391</v>
      </c>
      <c r="B189" s="91" t="s">
        <v>23</v>
      </c>
      <c r="C189" s="91" t="s">
        <v>5046</v>
      </c>
      <c r="D189" s="29" t="s">
        <v>5047</v>
      </c>
      <c r="E189" s="746" t="s">
        <v>744</v>
      </c>
      <c r="F189" s="746" t="s">
        <v>5070</v>
      </c>
      <c r="G189" s="30">
        <v>1</v>
      </c>
      <c r="H189" s="371">
        <v>82000</v>
      </c>
      <c r="I189" s="171">
        <f t="shared" si="16"/>
        <v>82000</v>
      </c>
      <c r="J189" s="364">
        <f t="shared" si="17"/>
        <v>20500</v>
      </c>
      <c r="K189" s="86">
        <f t="shared" si="18"/>
        <v>61500</v>
      </c>
      <c r="L189" s="365"/>
      <c r="M189" s="365"/>
      <c r="N189" s="171">
        <f t="shared" si="19"/>
        <v>61500</v>
      </c>
      <c r="O189" s="91" t="s">
        <v>23</v>
      </c>
      <c r="P189" s="10"/>
      <c r="Q189" s="91" t="s">
        <v>3179</v>
      </c>
      <c r="R189" s="365"/>
      <c r="S189" s="17"/>
      <c r="T189" s="365"/>
      <c r="U189" s="365"/>
      <c r="V189" s="365"/>
      <c r="W189" s="365"/>
    </row>
    <row r="190" spans="1:23" s="364" customFormat="1">
      <c r="A190" s="9">
        <v>44391</v>
      </c>
      <c r="B190" s="91" t="s">
        <v>23</v>
      </c>
      <c r="C190" s="91" t="s">
        <v>5046</v>
      </c>
      <c r="D190" s="29" t="s">
        <v>5047</v>
      </c>
      <c r="E190" s="746" t="s">
        <v>5071</v>
      </c>
      <c r="F190" s="746" t="s">
        <v>5072</v>
      </c>
      <c r="G190" s="30">
        <v>1</v>
      </c>
      <c r="H190" s="371">
        <v>85000</v>
      </c>
      <c r="I190" s="171">
        <f t="shared" si="16"/>
        <v>85000</v>
      </c>
      <c r="J190" s="364">
        <f t="shared" si="17"/>
        <v>21250</v>
      </c>
      <c r="K190" s="86">
        <f t="shared" si="18"/>
        <v>63750</v>
      </c>
      <c r="L190" s="365"/>
      <c r="M190" s="365"/>
      <c r="N190" s="171">
        <f t="shared" si="19"/>
        <v>63750</v>
      </c>
      <c r="O190" s="91" t="s">
        <v>23</v>
      </c>
      <c r="P190" s="11"/>
      <c r="Q190" s="91" t="s">
        <v>3179</v>
      </c>
      <c r="R190" s="365"/>
      <c r="S190" s="365"/>
      <c r="T190" s="365"/>
      <c r="U190" s="365"/>
      <c r="V190" s="365"/>
      <c r="W190" s="365"/>
    </row>
    <row r="191" spans="1:23" s="364" customFormat="1">
      <c r="A191" s="9">
        <v>44391</v>
      </c>
      <c r="B191" s="91" t="s">
        <v>23</v>
      </c>
      <c r="C191" s="91" t="s">
        <v>5046</v>
      </c>
      <c r="D191" s="29" t="s">
        <v>5047</v>
      </c>
      <c r="E191" s="746" t="s">
        <v>4513</v>
      </c>
      <c r="F191" s="746" t="s">
        <v>4514</v>
      </c>
      <c r="G191" s="30">
        <v>1</v>
      </c>
      <c r="H191" s="371">
        <v>120000</v>
      </c>
      <c r="I191" s="171">
        <f t="shared" si="16"/>
        <v>120000</v>
      </c>
      <c r="J191" s="364">
        <f t="shared" si="17"/>
        <v>30000</v>
      </c>
      <c r="K191" s="86">
        <f t="shared" si="18"/>
        <v>90000</v>
      </c>
      <c r="L191" s="365"/>
      <c r="M191" s="365"/>
      <c r="N191" s="171">
        <f t="shared" si="19"/>
        <v>90000</v>
      </c>
      <c r="O191" s="91" t="s">
        <v>23</v>
      </c>
      <c r="P191" s="11"/>
      <c r="Q191" s="91" t="s">
        <v>3179</v>
      </c>
      <c r="R191" s="365"/>
      <c r="S191" s="17"/>
      <c r="T191" s="365"/>
      <c r="U191" s="365"/>
      <c r="V191" s="365"/>
      <c r="W191" s="365"/>
    </row>
    <row r="192" spans="1:23" s="364" customFormat="1">
      <c r="A192" s="9">
        <v>44391</v>
      </c>
      <c r="B192" s="91" t="s">
        <v>23</v>
      </c>
      <c r="C192" s="91" t="s">
        <v>5046</v>
      </c>
      <c r="D192" s="29" t="s">
        <v>5047</v>
      </c>
      <c r="E192" s="746" t="s">
        <v>5073</v>
      </c>
      <c r="F192" s="746" t="s">
        <v>5074</v>
      </c>
      <c r="G192" s="30">
        <v>1</v>
      </c>
      <c r="H192" s="371">
        <v>55000</v>
      </c>
      <c r="I192" s="171">
        <f t="shared" si="16"/>
        <v>55000</v>
      </c>
      <c r="J192" s="364">
        <f t="shared" si="17"/>
        <v>13750</v>
      </c>
      <c r="K192" s="86">
        <f t="shared" si="18"/>
        <v>41250</v>
      </c>
      <c r="L192" s="365"/>
      <c r="M192" s="365"/>
      <c r="N192" s="171">
        <f t="shared" si="19"/>
        <v>41250</v>
      </c>
      <c r="O192" s="91" t="s">
        <v>23</v>
      </c>
      <c r="P192" s="11"/>
      <c r="Q192" s="91" t="s">
        <v>3179</v>
      </c>
      <c r="R192" s="365"/>
      <c r="S192" s="17"/>
      <c r="T192" s="365"/>
      <c r="U192" s="365"/>
      <c r="V192" s="365"/>
      <c r="W192" s="365"/>
    </row>
    <row r="193" spans="1:23" s="364" customFormat="1">
      <c r="A193" s="9">
        <v>44391</v>
      </c>
      <c r="B193" s="91" t="s">
        <v>23</v>
      </c>
      <c r="C193" s="91" t="s">
        <v>5046</v>
      </c>
      <c r="D193" s="29" t="s">
        <v>5047</v>
      </c>
      <c r="E193" s="746" t="s">
        <v>4597</v>
      </c>
      <c r="F193" s="746" t="s">
        <v>4598</v>
      </c>
      <c r="G193" s="30">
        <v>1</v>
      </c>
      <c r="H193" s="371">
        <v>81000</v>
      </c>
      <c r="I193" s="171">
        <f t="shared" si="16"/>
        <v>81000</v>
      </c>
      <c r="J193" s="364">
        <f t="shared" si="17"/>
        <v>20250</v>
      </c>
      <c r="K193" s="86">
        <f t="shared" si="18"/>
        <v>60750</v>
      </c>
      <c r="L193" s="365"/>
      <c r="M193" s="365"/>
      <c r="N193" s="171">
        <f t="shared" si="19"/>
        <v>60750</v>
      </c>
      <c r="O193" s="91" t="s">
        <v>23</v>
      </c>
      <c r="P193" s="11"/>
      <c r="Q193" s="91" t="s">
        <v>3179</v>
      </c>
      <c r="R193" s="365"/>
      <c r="S193" s="737"/>
      <c r="T193" s="365"/>
      <c r="U193" s="365"/>
      <c r="V193" s="365"/>
      <c r="W193" s="365"/>
    </row>
    <row r="194" spans="1:23" s="364" customFormat="1">
      <c r="A194" s="9">
        <v>44391</v>
      </c>
      <c r="B194" s="91" t="s">
        <v>23</v>
      </c>
      <c r="C194" s="91" t="s">
        <v>5046</v>
      </c>
      <c r="D194" s="29" t="s">
        <v>5047</v>
      </c>
      <c r="E194" s="746" t="s">
        <v>5075</v>
      </c>
      <c r="F194" s="746" t="s">
        <v>5076</v>
      </c>
      <c r="G194" s="30">
        <v>1</v>
      </c>
      <c r="H194" s="371">
        <v>104000</v>
      </c>
      <c r="I194" s="171">
        <f t="shared" si="16"/>
        <v>104000</v>
      </c>
      <c r="J194" s="364">
        <f t="shared" si="17"/>
        <v>26000</v>
      </c>
      <c r="K194" s="86">
        <f t="shared" si="18"/>
        <v>78000</v>
      </c>
      <c r="L194" s="365"/>
      <c r="M194" s="365"/>
      <c r="N194" s="171">
        <f t="shared" si="19"/>
        <v>78000</v>
      </c>
      <c r="O194" s="91" t="s">
        <v>23</v>
      </c>
      <c r="P194" s="11"/>
      <c r="Q194" s="91" t="s">
        <v>3179</v>
      </c>
      <c r="R194" s="365"/>
      <c r="S194" s="365"/>
      <c r="T194" s="365"/>
      <c r="U194" s="365"/>
      <c r="V194" s="365"/>
      <c r="W194" s="365"/>
    </row>
    <row r="195" spans="1:23" s="364" customFormat="1">
      <c r="A195" s="9">
        <v>44391</v>
      </c>
      <c r="B195" s="91" t="s">
        <v>23</v>
      </c>
      <c r="C195" s="91" t="s">
        <v>5046</v>
      </c>
      <c r="D195" s="29" t="s">
        <v>5047</v>
      </c>
      <c r="E195" s="746" t="s">
        <v>5077</v>
      </c>
      <c r="F195" s="746" t="s">
        <v>5078</v>
      </c>
      <c r="G195" s="30">
        <v>2</v>
      </c>
      <c r="H195" s="371">
        <v>46000</v>
      </c>
      <c r="I195" s="171">
        <f t="shared" si="16"/>
        <v>92000</v>
      </c>
      <c r="J195" s="364">
        <f t="shared" si="17"/>
        <v>23000</v>
      </c>
      <c r="K195" s="86">
        <f t="shared" si="18"/>
        <v>69000</v>
      </c>
      <c r="L195" s="365"/>
      <c r="M195" s="365"/>
      <c r="N195" s="171">
        <f t="shared" si="19"/>
        <v>69000</v>
      </c>
      <c r="O195" s="91" t="s">
        <v>23</v>
      </c>
      <c r="P195" s="11"/>
      <c r="Q195" s="91" t="s">
        <v>3179</v>
      </c>
      <c r="R195" s="365"/>
      <c r="S195" s="365"/>
      <c r="T195" s="365"/>
      <c r="U195" s="365"/>
      <c r="V195" s="365"/>
      <c r="W195" s="365"/>
    </row>
    <row r="196" spans="1:23" s="364" customFormat="1">
      <c r="A196" s="9">
        <v>44391</v>
      </c>
      <c r="B196" s="91" t="s">
        <v>23</v>
      </c>
      <c r="C196" s="91" t="s">
        <v>5046</v>
      </c>
      <c r="D196" s="29" t="s">
        <v>5047</v>
      </c>
      <c r="E196" s="746" t="s">
        <v>3948</v>
      </c>
      <c r="F196" s="746" t="s">
        <v>3949</v>
      </c>
      <c r="G196" s="30">
        <v>1</v>
      </c>
      <c r="H196" s="371">
        <v>257000</v>
      </c>
      <c r="I196" s="171">
        <f t="shared" si="16"/>
        <v>257000</v>
      </c>
      <c r="J196" s="364">
        <f t="shared" si="17"/>
        <v>64250</v>
      </c>
      <c r="K196" s="86">
        <f t="shared" si="18"/>
        <v>192750</v>
      </c>
      <c r="L196" s="365"/>
      <c r="M196" s="365"/>
      <c r="N196" s="171">
        <f t="shared" si="19"/>
        <v>192750</v>
      </c>
      <c r="O196" s="91" t="s">
        <v>23</v>
      </c>
      <c r="P196" s="10"/>
      <c r="Q196" s="91" t="s">
        <v>3179</v>
      </c>
      <c r="R196" s="365"/>
      <c r="S196" s="737"/>
      <c r="T196" s="365"/>
      <c r="U196" s="365"/>
      <c r="V196" s="365"/>
      <c r="W196" s="365"/>
    </row>
    <row r="197" spans="1:23" s="364" customFormat="1">
      <c r="A197" s="9">
        <v>44391</v>
      </c>
      <c r="B197" s="91" t="s">
        <v>23</v>
      </c>
      <c r="C197" s="91" t="s">
        <v>5079</v>
      </c>
      <c r="D197" s="92" t="s">
        <v>5080</v>
      </c>
      <c r="E197" s="739" t="s">
        <v>5081</v>
      </c>
      <c r="F197" s="739" t="s">
        <v>5082</v>
      </c>
      <c r="G197" s="30">
        <v>1</v>
      </c>
      <c r="H197" s="18">
        <v>31000</v>
      </c>
      <c r="I197" s="171">
        <f t="shared" si="16"/>
        <v>31000</v>
      </c>
      <c r="J197" s="17">
        <f>I197-24800</f>
        <v>6200</v>
      </c>
      <c r="K197" s="86">
        <f t="shared" si="18"/>
        <v>24800</v>
      </c>
      <c r="L197" s="365">
        <v>46000</v>
      </c>
      <c r="M197" s="17"/>
      <c r="N197" s="171">
        <f t="shared" si="19"/>
        <v>70800</v>
      </c>
      <c r="O197" s="91" t="s">
        <v>23</v>
      </c>
      <c r="P197" s="11"/>
      <c r="Q197" s="91" t="s">
        <v>40</v>
      </c>
      <c r="R197" s="365"/>
      <c r="S197" s="13"/>
      <c r="T197" s="365"/>
      <c r="U197" s="365"/>
      <c r="V197" s="365"/>
      <c r="W197" s="365"/>
    </row>
    <row r="198" spans="1:23" s="364" customFormat="1" hidden="1">
      <c r="A198" s="9">
        <v>44392</v>
      </c>
      <c r="B198" s="91" t="s">
        <v>43</v>
      </c>
      <c r="C198" s="91" t="s">
        <v>5083</v>
      </c>
      <c r="D198" s="92" t="s">
        <v>5084</v>
      </c>
      <c r="E198" s="739" t="s">
        <v>2677</v>
      </c>
      <c r="F198" s="739" t="s">
        <v>1579</v>
      </c>
      <c r="G198" s="30">
        <v>1</v>
      </c>
      <c r="H198" s="18">
        <v>106000</v>
      </c>
      <c r="I198" s="171">
        <f t="shared" si="16"/>
        <v>106000</v>
      </c>
      <c r="J198" s="17"/>
      <c r="K198" s="86">
        <f t="shared" si="18"/>
        <v>106000</v>
      </c>
      <c r="L198" s="365"/>
      <c r="M198" s="365">
        <v>-5936</v>
      </c>
      <c r="N198" s="171">
        <f t="shared" si="19"/>
        <v>100064</v>
      </c>
      <c r="O198" s="91" t="s">
        <v>43</v>
      </c>
      <c r="P198" s="10"/>
      <c r="Q198" s="91" t="s">
        <v>54</v>
      </c>
      <c r="R198" s="365"/>
      <c r="S198" s="17"/>
      <c r="T198" s="365"/>
      <c r="U198" s="365"/>
      <c r="V198" s="365"/>
      <c r="W198" s="365"/>
    </row>
    <row r="199" spans="1:23" s="364" customFormat="1" hidden="1">
      <c r="A199" s="9">
        <v>44392</v>
      </c>
      <c r="B199" s="91" t="s">
        <v>43</v>
      </c>
      <c r="C199" s="91" t="s">
        <v>5085</v>
      </c>
      <c r="D199" s="92" t="s">
        <v>5086</v>
      </c>
      <c r="E199" s="739" t="s">
        <v>233</v>
      </c>
      <c r="F199" s="739" t="s">
        <v>234</v>
      </c>
      <c r="G199" s="30">
        <v>1</v>
      </c>
      <c r="H199" s="18">
        <v>83500</v>
      </c>
      <c r="I199" s="171">
        <f t="shared" si="16"/>
        <v>83500</v>
      </c>
      <c r="J199" s="365"/>
      <c r="K199" s="86">
        <f t="shared" si="18"/>
        <v>83500</v>
      </c>
      <c r="L199" s="365"/>
      <c r="M199" s="365">
        <v>-4676</v>
      </c>
      <c r="N199" s="171">
        <f t="shared" si="19"/>
        <v>78824</v>
      </c>
      <c r="O199" s="91" t="s">
        <v>43</v>
      </c>
      <c r="P199" s="11"/>
      <c r="Q199" s="91" t="s">
        <v>176</v>
      </c>
      <c r="R199" s="365"/>
      <c r="S199" s="365"/>
      <c r="T199" s="365"/>
      <c r="U199" s="365"/>
      <c r="V199" s="365"/>
      <c r="W199" s="365"/>
    </row>
    <row r="200" spans="1:23" s="365" customFormat="1" hidden="1">
      <c r="A200" s="9">
        <v>44392</v>
      </c>
      <c r="B200" s="91" t="s">
        <v>43</v>
      </c>
      <c r="C200" s="123" t="s">
        <v>5087</v>
      </c>
      <c r="D200" s="92" t="s">
        <v>5088</v>
      </c>
      <c r="E200" s="739" t="s">
        <v>3796</v>
      </c>
      <c r="F200" s="739" t="s">
        <v>1025</v>
      </c>
      <c r="G200" s="30">
        <v>1</v>
      </c>
      <c r="H200" s="18">
        <v>58500</v>
      </c>
      <c r="I200" s="171">
        <f t="shared" si="16"/>
        <v>58500</v>
      </c>
      <c r="K200" s="86">
        <f t="shared" si="18"/>
        <v>58500</v>
      </c>
      <c r="L200" s="17"/>
      <c r="M200" s="17">
        <v>-3276</v>
      </c>
      <c r="N200" s="171">
        <f t="shared" si="19"/>
        <v>55224</v>
      </c>
      <c r="O200" s="91" t="s">
        <v>43</v>
      </c>
      <c r="P200" s="183"/>
      <c r="Q200" s="91" t="s">
        <v>54</v>
      </c>
      <c r="R200" s="17"/>
      <c r="S200" s="13"/>
    </row>
    <row r="201" spans="1:23" s="365" customFormat="1" hidden="1">
      <c r="A201" s="9">
        <v>44392</v>
      </c>
      <c r="B201" s="91" t="s">
        <v>170</v>
      </c>
      <c r="C201" s="123" t="s">
        <v>5089</v>
      </c>
      <c r="D201" s="92" t="s">
        <v>5090</v>
      </c>
      <c r="E201" s="739" t="s">
        <v>5091</v>
      </c>
      <c r="F201" s="739" t="s">
        <v>5092</v>
      </c>
      <c r="G201" s="30">
        <v>1</v>
      </c>
      <c r="H201" s="18">
        <v>106000</v>
      </c>
      <c r="I201" s="171">
        <f t="shared" si="16"/>
        <v>106000</v>
      </c>
      <c r="J201" s="365">
        <f>I201*20%</f>
        <v>21200</v>
      </c>
      <c r="K201" s="86">
        <f t="shared" si="18"/>
        <v>84800</v>
      </c>
      <c r="L201" s="17">
        <f>17000-17000</f>
        <v>0</v>
      </c>
      <c r="M201" s="17">
        <v>-424</v>
      </c>
      <c r="N201" s="171">
        <f t="shared" si="19"/>
        <v>84376</v>
      </c>
      <c r="O201" s="91" t="s">
        <v>170</v>
      </c>
      <c r="P201" s="183"/>
      <c r="Q201" s="91" t="s">
        <v>40</v>
      </c>
      <c r="R201" s="17"/>
      <c r="S201" s="17"/>
    </row>
    <row r="202" spans="1:23" s="365" customFormat="1">
      <c r="A202" s="9">
        <v>44392</v>
      </c>
      <c r="B202" s="91" t="s">
        <v>23</v>
      </c>
      <c r="C202" s="123" t="s">
        <v>5093</v>
      </c>
      <c r="D202" s="92" t="s">
        <v>5094</v>
      </c>
      <c r="E202" s="739" t="s">
        <v>5095</v>
      </c>
      <c r="F202" s="739" t="s">
        <v>5096</v>
      </c>
      <c r="G202" s="30">
        <v>1</v>
      </c>
      <c r="H202" s="18">
        <v>77000</v>
      </c>
      <c r="I202" s="171">
        <f t="shared" si="16"/>
        <v>77000</v>
      </c>
      <c r="K202" s="86">
        <f t="shared" si="18"/>
        <v>77000</v>
      </c>
      <c r="L202" s="17">
        <v>20000</v>
      </c>
      <c r="M202" s="17"/>
      <c r="N202" s="171">
        <f t="shared" si="19"/>
        <v>97000</v>
      </c>
      <c r="O202" s="91" t="s">
        <v>23</v>
      </c>
      <c r="P202" s="183"/>
      <c r="Q202" s="91" t="s">
        <v>28</v>
      </c>
      <c r="R202" s="17"/>
      <c r="S202" s="17"/>
    </row>
    <row r="203" spans="1:23" s="365" customFormat="1" hidden="1">
      <c r="A203" s="9">
        <v>44392</v>
      </c>
      <c r="B203" s="91" t="s">
        <v>313</v>
      </c>
      <c r="C203" s="123" t="s">
        <v>5097</v>
      </c>
      <c r="D203" s="92" t="s">
        <v>5098</v>
      </c>
      <c r="E203" s="739" t="s">
        <v>5099</v>
      </c>
      <c r="F203" s="739" t="s">
        <v>5100</v>
      </c>
      <c r="G203" s="30">
        <v>1</v>
      </c>
      <c r="H203" s="18">
        <v>83000</v>
      </c>
      <c r="I203" s="171">
        <f t="shared" si="16"/>
        <v>83000</v>
      </c>
      <c r="K203" s="86">
        <f t="shared" si="18"/>
        <v>83000</v>
      </c>
      <c r="L203" s="17">
        <v>13096</v>
      </c>
      <c r="M203" s="17"/>
      <c r="N203" s="171">
        <f t="shared" si="19"/>
        <v>96096</v>
      </c>
      <c r="O203" s="91" t="s">
        <v>313</v>
      </c>
      <c r="P203" s="72"/>
      <c r="Q203" s="91" t="s">
        <v>40</v>
      </c>
      <c r="R203" s="17"/>
      <c r="S203" s="17"/>
    </row>
    <row r="204" spans="1:23" s="365" customFormat="1" hidden="1">
      <c r="A204" s="9">
        <v>44392</v>
      </c>
      <c r="B204" s="91" t="s">
        <v>313</v>
      </c>
      <c r="C204" s="91" t="s">
        <v>5101</v>
      </c>
      <c r="D204" s="92" t="s">
        <v>5102</v>
      </c>
      <c r="E204" s="739" t="s">
        <v>5103</v>
      </c>
      <c r="F204" s="739" t="s">
        <v>5104</v>
      </c>
      <c r="G204" s="30">
        <v>1</v>
      </c>
      <c r="H204" s="18">
        <v>121500</v>
      </c>
      <c r="I204" s="171">
        <f t="shared" si="16"/>
        <v>121500</v>
      </c>
      <c r="K204" s="86">
        <f t="shared" si="18"/>
        <v>121500</v>
      </c>
      <c r="L204" s="17">
        <v>17076</v>
      </c>
      <c r="M204" s="17"/>
      <c r="N204" s="171">
        <f t="shared" si="19"/>
        <v>138576</v>
      </c>
      <c r="O204" s="91" t="s">
        <v>313</v>
      </c>
      <c r="P204" s="72"/>
      <c r="Q204" s="91" t="s">
        <v>40</v>
      </c>
      <c r="R204" s="17"/>
      <c r="S204" s="17"/>
    </row>
    <row r="205" spans="1:23" s="365" customFormat="1">
      <c r="A205" s="9">
        <v>44392</v>
      </c>
      <c r="B205" s="91" t="s">
        <v>23</v>
      </c>
      <c r="C205" s="123" t="s">
        <v>5105</v>
      </c>
      <c r="D205" s="92" t="s">
        <v>5106</v>
      </c>
      <c r="E205" s="760" t="s">
        <v>5107</v>
      </c>
      <c r="F205" s="760" t="s">
        <v>5108</v>
      </c>
      <c r="G205" s="30">
        <v>1</v>
      </c>
      <c r="H205" s="18">
        <v>35000</v>
      </c>
      <c r="I205" s="171">
        <f t="shared" si="16"/>
        <v>35000</v>
      </c>
      <c r="K205" s="86">
        <f t="shared" si="18"/>
        <v>35000</v>
      </c>
      <c r="L205" s="17">
        <v>17000</v>
      </c>
      <c r="M205" s="17"/>
      <c r="N205" s="171">
        <f t="shared" si="19"/>
        <v>52000</v>
      </c>
      <c r="O205" s="91" t="s">
        <v>23</v>
      </c>
      <c r="P205" s="183"/>
      <c r="Q205" s="91" t="s">
        <v>40</v>
      </c>
      <c r="R205" s="17"/>
      <c r="S205" s="17"/>
    </row>
    <row r="206" spans="1:23" s="365" customFormat="1">
      <c r="A206" s="9">
        <v>44392</v>
      </c>
      <c r="B206" s="91" t="s">
        <v>23</v>
      </c>
      <c r="C206" s="123" t="s">
        <v>5105</v>
      </c>
      <c r="D206" s="92" t="s">
        <v>5106</v>
      </c>
      <c r="E206" s="760" t="s">
        <v>5109</v>
      </c>
      <c r="F206" s="760" t="s">
        <v>5108</v>
      </c>
      <c r="G206" s="30">
        <v>1</v>
      </c>
      <c r="H206" s="18">
        <v>57000</v>
      </c>
      <c r="I206" s="171">
        <f t="shared" si="16"/>
        <v>57000</v>
      </c>
      <c r="K206" s="86">
        <f t="shared" si="18"/>
        <v>57000</v>
      </c>
      <c r="L206" s="17"/>
      <c r="M206" s="17"/>
      <c r="N206" s="171">
        <f t="shared" si="19"/>
        <v>57000</v>
      </c>
      <c r="O206" s="91" t="s">
        <v>23</v>
      </c>
      <c r="P206" s="183"/>
      <c r="Q206" s="91" t="s">
        <v>40</v>
      </c>
      <c r="R206" s="17"/>
      <c r="S206" s="13"/>
    </row>
    <row r="207" spans="1:23" s="365" customFormat="1">
      <c r="A207" s="9">
        <v>44392</v>
      </c>
      <c r="B207" s="91" t="s">
        <v>23</v>
      </c>
      <c r="C207" s="123" t="s">
        <v>5105</v>
      </c>
      <c r="D207" s="92" t="s">
        <v>5106</v>
      </c>
      <c r="E207" s="760" t="s">
        <v>5110</v>
      </c>
      <c r="F207" s="760" t="s">
        <v>5111</v>
      </c>
      <c r="G207" s="30">
        <v>1</v>
      </c>
      <c r="H207" s="18">
        <v>23000</v>
      </c>
      <c r="I207" s="171">
        <f t="shared" si="16"/>
        <v>23000</v>
      </c>
      <c r="K207" s="86">
        <f t="shared" si="18"/>
        <v>23000</v>
      </c>
      <c r="L207" s="17"/>
      <c r="M207" s="17"/>
      <c r="N207" s="171">
        <f t="shared" si="19"/>
        <v>23000</v>
      </c>
      <c r="O207" s="91" t="s">
        <v>23</v>
      </c>
      <c r="P207" s="183"/>
      <c r="Q207" s="91" t="s">
        <v>40</v>
      </c>
      <c r="R207" s="17"/>
      <c r="S207" s="13"/>
    </row>
    <row r="208" spans="1:23" s="365" customFormat="1" hidden="1">
      <c r="A208" s="9">
        <v>44393</v>
      </c>
      <c r="B208" s="91" t="s">
        <v>43</v>
      </c>
      <c r="C208" s="91" t="s">
        <v>5112</v>
      </c>
      <c r="D208" s="92" t="s">
        <v>5113</v>
      </c>
      <c r="E208" s="738" t="s">
        <v>91</v>
      </c>
      <c r="F208" s="738" t="s">
        <v>113</v>
      </c>
      <c r="G208" s="30">
        <v>1</v>
      </c>
      <c r="H208" s="18">
        <v>87500</v>
      </c>
      <c r="I208" s="171">
        <f t="shared" si="16"/>
        <v>87500</v>
      </c>
      <c r="K208" s="86">
        <f t="shared" si="18"/>
        <v>87500</v>
      </c>
      <c r="L208" s="17"/>
      <c r="M208" s="17">
        <v>-9100</v>
      </c>
      <c r="N208" s="171">
        <f t="shared" si="19"/>
        <v>78400</v>
      </c>
      <c r="O208" s="91" t="s">
        <v>43</v>
      </c>
      <c r="P208" s="183"/>
      <c r="Q208" s="91" t="s">
        <v>54</v>
      </c>
      <c r="R208" s="17"/>
      <c r="S208" s="13"/>
    </row>
    <row r="209" spans="1:19" s="365" customFormat="1" hidden="1">
      <c r="A209" s="9">
        <v>44393</v>
      </c>
      <c r="B209" s="91" t="s">
        <v>43</v>
      </c>
      <c r="C209" s="91" t="s">
        <v>5112</v>
      </c>
      <c r="D209" s="92" t="s">
        <v>5113</v>
      </c>
      <c r="E209" s="738" t="s">
        <v>87</v>
      </c>
      <c r="F209" s="738" t="s">
        <v>110</v>
      </c>
      <c r="G209" s="30">
        <v>1</v>
      </c>
      <c r="H209" s="18">
        <v>75000</v>
      </c>
      <c r="I209" s="171">
        <f t="shared" si="16"/>
        <v>75000</v>
      </c>
      <c r="K209" s="86">
        <f t="shared" si="18"/>
        <v>75000</v>
      </c>
      <c r="L209" s="17"/>
      <c r="M209" s="17"/>
      <c r="N209" s="171">
        <f t="shared" si="19"/>
        <v>75000</v>
      </c>
      <c r="O209" s="91" t="s">
        <v>43</v>
      </c>
      <c r="P209" s="72"/>
      <c r="Q209" s="91" t="s">
        <v>54</v>
      </c>
      <c r="R209" s="17"/>
      <c r="S209" s="17"/>
    </row>
    <row r="210" spans="1:19" s="365" customFormat="1" hidden="1">
      <c r="A210" s="9">
        <v>44393</v>
      </c>
      <c r="B210" s="91" t="s">
        <v>43</v>
      </c>
      <c r="C210" s="91" t="s">
        <v>5114</v>
      </c>
      <c r="D210" s="92" t="s">
        <v>5115</v>
      </c>
      <c r="E210" s="739" t="s">
        <v>4302</v>
      </c>
      <c r="F210" s="739" t="s">
        <v>4303</v>
      </c>
      <c r="G210" s="30">
        <v>1</v>
      </c>
      <c r="H210" s="18">
        <v>94000</v>
      </c>
      <c r="I210" s="171">
        <f t="shared" si="16"/>
        <v>94000</v>
      </c>
      <c r="K210" s="86">
        <f t="shared" si="18"/>
        <v>94000</v>
      </c>
      <c r="L210" s="17"/>
      <c r="M210" s="17">
        <v>-5264</v>
      </c>
      <c r="N210" s="171">
        <f t="shared" si="19"/>
        <v>88736</v>
      </c>
      <c r="O210" s="91" t="s">
        <v>43</v>
      </c>
      <c r="P210" s="183"/>
      <c r="Q210" s="91" t="s">
        <v>54</v>
      </c>
      <c r="R210" s="17"/>
      <c r="S210" s="17"/>
    </row>
    <row r="211" spans="1:19" s="365" customFormat="1" hidden="1">
      <c r="A211" s="9">
        <v>44393</v>
      </c>
      <c r="B211" s="91" t="s">
        <v>43</v>
      </c>
      <c r="C211" s="123" t="s">
        <v>5116</v>
      </c>
      <c r="D211" s="11" t="s">
        <v>5117</v>
      </c>
      <c r="E211" s="739" t="s">
        <v>4176</v>
      </c>
      <c r="F211" s="739" t="s">
        <v>4177</v>
      </c>
      <c r="G211" s="30">
        <v>1</v>
      </c>
      <c r="H211" s="18">
        <v>191000</v>
      </c>
      <c r="I211" s="171">
        <f t="shared" si="16"/>
        <v>191000</v>
      </c>
      <c r="K211" s="86">
        <f t="shared" si="18"/>
        <v>191000</v>
      </c>
      <c r="L211" s="17"/>
      <c r="M211" s="17">
        <v>-10696</v>
      </c>
      <c r="N211" s="171">
        <f t="shared" si="19"/>
        <v>180304</v>
      </c>
      <c r="O211" s="91" t="s">
        <v>43</v>
      </c>
      <c r="P211" s="183"/>
      <c r="Q211" s="91" t="s">
        <v>54</v>
      </c>
      <c r="R211" s="17"/>
      <c r="S211" s="17"/>
    </row>
    <row r="212" spans="1:19" s="365" customFormat="1" hidden="1">
      <c r="A212" s="9">
        <v>44393</v>
      </c>
      <c r="B212" s="91" t="s">
        <v>206</v>
      </c>
      <c r="C212" s="123" t="s">
        <v>5118</v>
      </c>
      <c r="D212" s="92" t="s">
        <v>5119</v>
      </c>
      <c r="E212" s="739" t="s">
        <v>3781</v>
      </c>
      <c r="F212" s="739" t="s">
        <v>3782</v>
      </c>
      <c r="G212" s="30">
        <v>1</v>
      </c>
      <c r="H212" s="18">
        <v>211000</v>
      </c>
      <c r="I212" s="171">
        <f t="shared" si="16"/>
        <v>211000</v>
      </c>
      <c r="K212" s="86">
        <f t="shared" si="18"/>
        <v>211000</v>
      </c>
      <c r="L212" s="17">
        <v>7900</v>
      </c>
      <c r="M212" s="17"/>
      <c r="N212" s="171">
        <f t="shared" si="19"/>
        <v>218900</v>
      </c>
      <c r="O212" s="91" t="s">
        <v>206</v>
      </c>
      <c r="P212" s="72"/>
      <c r="Q212" s="91" t="s">
        <v>28</v>
      </c>
      <c r="R212" s="17"/>
      <c r="S212" s="17"/>
    </row>
    <row r="213" spans="1:19" s="365" customFormat="1">
      <c r="A213" s="9">
        <v>44393</v>
      </c>
      <c r="B213" s="91" t="s">
        <v>170</v>
      </c>
      <c r="C213" s="123" t="s">
        <v>5120</v>
      </c>
      <c r="D213" s="92" t="s">
        <v>9429</v>
      </c>
      <c r="E213" s="739" t="s">
        <v>5121</v>
      </c>
      <c r="F213" s="739" t="s">
        <v>5122</v>
      </c>
      <c r="G213" s="30">
        <v>1</v>
      </c>
      <c r="H213" s="18">
        <v>70000</v>
      </c>
      <c r="I213" s="171">
        <f t="shared" si="16"/>
        <v>70000</v>
      </c>
      <c r="J213" s="365">
        <f>I213*20%</f>
        <v>14000</v>
      </c>
      <c r="K213" s="86">
        <f t="shared" si="18"/>
        <v>56000</v>
      </c>
      <c r="L213" s="17">
        <f>49000-49000</f>
        <v>0</v>
      </c>
      <c r="M213" s="17">
        <v>280</v>
      </c>
      <c r="N213" s="171">
        <f t="shared" si="19"/>
        <v>56280</v>
      </c>
      <c r="O213" s="91" t="s">
        <v>170</v>
      </c>
      <c r="P213" s="72"/>
      <c r="Q213" s="91" t="s">
        <v>176</v>
      </c>
      <c r="R213" s="17"/>
      <c r="S213" s="13"/>
    </row>
    <row r="214" spans="1:19" s="365" customFormat="1">
      <c r="A214" s="9">
        <v>44393</v>
      </c>
      <c r="B214" s="91" t="s">
        <v>23</v>
      </c>
      <c r="C214" s="91" t="s">
        <v>5123</v>
      </c>
      <c r="D214" s="92" t="s">
        <v>5124</v>
      </c>
      <c r="E214" s="739" t="s">
        <v>5125</v>
      </c>
      <c r="F214" s="739" t="s">
        <v>4413</v>
      </c>
      <c r="G214" s="30">
        <v>1</v>
      </c>
      <c r="H214" s="18">
        <v>73000</v>
      </c>
      <c r="I214" s="171">
        <f t="shared" si="16"/>
        <v>73000</v>
      </c>
      <c r="K214" s="86">
        <f t="shared" si="18"/>
        <v>73000</v>
      </c>
      <c r="L214" s="17">
        <v>41000</v>
      </c>
      <c r="M214" s="17"/>
      <c r="N214" s="171">
        <f t="shared" si="19"/>
        <v>114000</v>
      </c>
      <c r="O214" s="91" t="s">
        <v>23</v>
      </c>
      <c r="P214" s="72"/>
      <c r="Q214" s="91" t="s">
        <v>54</v>
      </c>
      <c r="R214" s="17"/>
      <c r="S214" s="17"/>
    </row>
    <row r="215" spans="1:19" s="365" customFormat="1">
      <c r="A215" s="9">
        <v>44393</v>
      </c>
      <c r="B215" s="91" t="s">
        <v>23</v>
      </c>
      <c r="C215" s="123" t="s">
        <v>5126</v>
      </c>
      <c r="D215" s="92" t="s">
        <v>5127</v>
      </c>
      <c r="E215" s="739" t="s">
        <v>190</v>
      </c>
      <c r="F215" s="739" t="s">
        <v>191</v>
      </c>
      <c r="G215" s="30">
        <v>1</v>
      </c>
      <c r="H215" s="18">
        <v>92000</v>
      </c>
      <c r="I215" s="171">
        <f t="shared" si="16"/>
        <v>92000</v>
      </c>
      <c r="K215" s="86">
        <f t="shared" si="18"/>
        <v>92000</v>
      </c>
      <c r="L215" s="17">
        <v>15000</v>
      </c>
      <c r="M215" s="17"/>
      <c r="N215" s="171">
        <f t="shared" si="19"/>
        <v>107000</v>
      </c>
      <c r="O215" s="91" t="s">
        <v>23</v>
      </c>
      <c r="P215" s="72"/>
      <c r="Q215" s="91" t="s">
        <v>40</v>
      </c>
      <c r="R215" s="17"/>
      <c r="S215" s="17"/>
    </row>
    <row r="216" spans="1:19" s="365" customFormat="1">
      <c r="A216" s="9">
        <v>44393</v>
      </c>
      <c r="B216" s="91" t="s">
        <v>23</v>
      </c>
      <c r="C216" s="91" t="s">
        <v>5128</v>
      </c>
      <c r="D216" s="92" t="s">
        <v>5129</v>
      </c>
      <c r="E216" s="743" t="s">
        <v>3177</v>
      </c>
      <c r="F216" s="743" t="s">
        <v>3178</v>
      </c>
      <c r="G216" s="30">
        <v>1</v>
      </c>
      <c r="H216" s="18">
        <v>74000</v>
      </c>
      <c r="I216" s="171">
        <f t="shared" si="16"/>
        <v>74000</v>
      </c>
      <c r="K216" s="86">
        <f t="shared" si="18"/>
        <v>74000</v>
      </c>
      <c r="L216" s="17">
        <v>17000</v>
      </c>
      <c r="M216" s="17"/>
      <c r="N216" s="171">
        <f t="shared" si="19"/>
        <v>91000</v>
      </c>
      <c r="O216" s="91" t="s">
        <v>23</v>
      </c>
      <c r="P216" s="183"/>
      <c r="Q216" s="91" t="s">
        <v>40</v>
      </c>
      <c r="R216" s="17"/>
      <c r="S216" s="17"/>
    </row>
    <row r="217" spans="1:19" s="365" customFormat="1">
      <c r="A217" s="9">
        <v>44393</v>
      </c>
      <c r="B217" s="91" t="s">
        <v>23</v>
      </c>
      <c r="C217" s="91" t="s">
        <v>5128</v>
      </c>
      <c r="D217" s="92" t="s">
        <v>5129</v>
      </c>
      <c r="E217" s="743" t="s">
        <v>5130</v>
      </c>
      <c r="F217" s="743" t="s">
        <v>1858</v>
      </c>
      <c r="G217" s="30">
        <v>1</v>
      </c>
      <c r="H217" s="18">
        <v>113000</v>
      </c>
      <c r="I217" s="171">
        <f t="shared" si="16"/>
        <v>113000</v>
      </c>
      <c r="K217" s="86">
        <f t="shared" si="18"/>
        <v>113000</v>
      </c>
      <c r="L217" s="17"/>
      <c r="M217" s="17"/>
      <c r="N217" s="171">
        <f t="shared" si="19"/>
        <v>113000</v>
      </c>
      <c r="O217" s="91" t="s">
        <v>23</v>
      </c>
      <c r="P217" s="183"/>
      <c r="Q217" s="91" t="s">
        <v>40</v>
      </c>
      <c r="R217" s="17"/>
      <c r="S217" s="17"/>
    </row>
    <row r="218" spans="1:19" s="365" customFormat="1">
      <c r="A218" s="9">
        <v>44393</v>
      </c>
      <c r="B218" s="91" t="s">
        <v>23</v>
      </c>
      <c r="C218" s="91" t="s">
        <v>5128</v>
      </c>
      <c r="D218" s="92" t="s">
        <v>5129</v>
      </c>
      <c r="E218" s="743" t="s">
        <v>5131</v>
      </c>
      <c r="F218" s="743" t="s">
        <v>5132</v>
      </c>
      <c r="G218" s="30">
        <v>1</v>
      </c>
      <c r="H218" s="18">
        <v>76000</v>
      </c>
      <c r="I218" s="171">
        <f t="shared" si="16"/>
        <v>76000</v>
      </c>
      <c r="K218" s="86">
        <f t="shared" si="18"/>
        <v>76000</v>
      </c>
      <c r="L218" s="17"/>
      <c r="M218" s="17"/>
      <c r="N218" s="171">
        <f t="shared" si="19"/>
        <v>76000</v>
      </c>
      <c r="O218" s="91" t="s">
        <v>23</v>
      </c>
      <c r="P218" s="183"/>
      <c r="Q218" s="91" t="s">
        <v>40</v>
      </c>
      <c r="R218" s="17"/>
      <c r="S218" s="17"/>
    </row>
    <row r="219" spans="1:19" s="365" customFormat="1" hidden="1">
      <c r="A219" s="9">
        <v>44393</v>
      </c>
      <c r="B219" s="91" t="s">
        <v>313</v>
      </c>
      <c r="C219" s="123" t="s">
        <v>5133</v>
      </c>
      <c r="D219" s="92" t="s">
        <v>5134</v>
      </c>
      <c r="E219" s="123" t="s">
        <v>5135</v>
      </c>
      <c r="F219" s="123" t="s">
        <v>5136</v>
      </c>
      <c r="G219" s="30">
        <v>1</v>
      </c>
      <c r="H219" s="18">
        <v>68000</v>
      </c>
      <c r="I219" s="171">
        <f t="shared" si="16"/>
        <v>68000</v>
      </c>
      <c r="K219" s="86">
        <f t="shared" si="18"/>
        <v>68000</v>
      </c>
      <c r="L219" s="17">
        <v>6045</v>
      </c>
      <c r="M219" s="17"/>
      <c r="N219" s="171">
        <f t="shared" si="19"/>
        <v>74045</v>
      </c>
      <c r="O219" s="91" t="s">
        <v>23</v>
      </c>
      <c r="P219" s="183"/>
      <c r="Q219" s="91" t="s">
        <v>28</v>
      </c>
      <c r="R219" s="17"/>
      <c r="S219" s="17"/>
    </row>
    <row r="220" spans="1:19" s="365" customFormat="1">
      <c r="A220" s="9">
        <v>44393</v>
      </c>
      <c r="B220" s="91" t="s">
        <v>23</v>
      </c>
      <c r="C220" s="91" t="s">
        <v>5137</v>
      </c>
      <c r="D220" s="92" t="s">
        <v>5138</v>
      </c>
      <c r="E220" s="739" t="s">
        <v>5139</v>
      </c>
      <c r="F220" s="739" t="s">
        <v>5140</v>
      </c>
      <c r="G220" s="30">
        <v>1</v>
      </c>
      <c r="H220" s="18">
        <v>117000</v>
      </c>
      <c r="I220" s="171">
        <f t="shared" si="16"/>
        <v>117000</v>
      </c>
      <c r="K220" s="86">
        <f t="shared" si="18"/>
        <v>117000</v>
      </c>
      <c r="L220" s="17">
        <v>16000</v>
      </c>
      <c r="M220" s="17"/>
      <c r="N220" s="171">
        <f t="shared" si="19"/>
        <v>133000</v>
      </c>
      <c r="O220" s="91" t="s">
        <v>23</v>
      </c>
      <c r="P220" s="183"/>
      <c r="Q220" s="91" t="s">
        <v>40</v>
      </c>
      <c r="R220" s="17"/>
      <c r="S220" s="17"/>
    </row>
    <row r="221" spans="1:19" s="365" customFormat="1" hidden="1">
      <c r="A221" s="9">
        <v>44396</v>
      </c>
      <c r="B221" s="91" t="s">
        <v>43</v>
      </c>
      <c r="C221" s="91" t="s">
        <v>5141</v>
      </c>
      <c r="D221" s="92" t="s">
        <v>5142</v>
      </c>
      <c r="E221" s="739" t="s">
        <v>4889</v>
      </c>
      <c r="F221" s="739" t="s">
        <v>4890</v>
      </c>
      <c r="G221" s="30">
        <v>1</v>
      </c>
      <c r="H221" s="18">
        <v>81500</v>
      </c>
      <c r="I221" s="171">
        <f t="shared" si="16"/>
        <v>81500</v>
      </c>
      <c r="K221" s="86">
        <f t="shared" si="18"/>
        <v>81500</v>
      </c>
      <c r="L221" s="17"/>
      <c r="M221" s="17">
        <v>-4564</v>
      </c>
      <c r="N221" s="171">
        <f t="shared" si="19"/>
        <v>76936</v>
      </c>
      <c r="O221" s="91" t="s">
        <v>43</v>
      </c>
      <c r="P221" s="183"/>
      <c r="Q221" s="91" t="s">
        <v>176</v>
      </c>
      <c r="R221" s="17"/>
      <c r="S221" s="17"/>
    </row>
    <row r="222" spans="1:19" s="365" customFormat="1" hidden="1">
      <c r="A222" s="9">
        <v>44396</v>
      </c>
      <c r="B222" s="91" t="s">
        <v>43</v>
      </c>
      <c r="C222" s="91" t="s">
        <v>5143</v>
      </c>
      <c r="D222" s="92" t="s">
        <v>5144</v>
      </c>
      <c r="E222" s="739" t="s">
        <v>2112</v>
      </c>
      <c r="F222" s="739" t="s">
        <v>1113</v>
      </c>
      <c r="G222" s="30">
        <v>1</v>
      </c>
      <c r="H222" s="18">
        <v>61000</v>
      </c>
      <c r="I222" s="171">
        <f t="shared" si="16"/>
        <v>61000</v>
      </c>
      <c r="K222" s="86">
        <f t="shared" si="18"/>
        <v>61000</v>
      </c>
      <c r="L222" s="17"/>
      <c r="M222" s="17">
        <v>-3416</v>
      </c>
      <c r="N222" s="171">
        <f t="shared" si="19"/>
        <v>57584</v>
      </c>
      <c r="O222" s="91" t="s">
        <v>43</v>
      </c>
      <c r="P222" s="183"/>
      <c r="Q222" s="91" t="s">
        <v>176</v>
      </c>
      <c r="R222" s="17"/>
      <c r="S222" s="17"/>
    </row>
    <row r="223" spans="1:19" s="365" customFormat="1" hidden="1">
      <c r="A223" s="9">
        <v>44396</v>
      </c>
      <c r="B223" s="91" t="s">
        <v>313</v>
      </c>
      <c r="C223" s="123" t="s">
        <v>5145</v>
      </c>
      <c r="D223" s="92" t="s">
        <v>5146</v>
      </c>
      <c r="E223" s="739" t="s">
        <v>993</v>
      </c>
      <c r="F223" s="739" t="s">
        <v>994</v>
      </c>
      <c r="G223" s="30">
        <v>1</v>
      </c>
      <c r="H223" s="18">
        <v>63000</v>
      </c>
      <c r="I223" s="171">
        <f t="shared" si="16"/>
        <v>63000</v>
      </c>
      <c r="K223" s="86">
        <f t="shared" si="18"/>
        <v>63000</v>
      </c>
      <c r="L223" s="17">
        <v>17008</v>
      </c>
      <c r="M223" s="17"/>
      <c r="N223" s="171">
        <f t="shared" si="19"/>
        <v>80008</v>
      </c>
      <c r="O223" s="91" t="s">
        <v>313</v>
      </c>
      <c r="P223" s="183"/>
      <c r="Q223" s="91" t="s">
        <v>40</v>
      </c>
      <c r="R223" s="17"/>
      <c r="S223" s="17"/>
    </row>
    <row r="224" spans="1:19" s="365" customFormat="1" hidden="1">
      <c r="A224" s="9">
        <v>44396</v>
      </c>
      <c r="B224" s="10" t="s">
        <v>43</v>
      </c>
      <c r="C224" s="10" t="s">
        <v>5147</v>
      </c>
      <c r="D224" s="92" t="s">
        <v>5148</v>
      </c>
      <c r="E224" s="763" t="s">
        <v>5149</v>
      </c>
      <c r="F224" s="764" t="s">
        <v>658</v>
      </c>
      <c r="G224" s="30">
        <v>1</v>
      </c>
      <c r="H224" s="18">
        <v>62000</v>
      </c>
      <c r="I224" s="171">
        <f t="shared" si="16"/>
        <v>62000</v>
      </c>
      <c r="K224" s="86">
        <f t="shared" si="18"/>
        <v>62000</v>
      </c>
      <c r="L224" s="17"/>
      <c r="M224" s="17">
        <v>-14672</v>
      </c>
      <c r="N224" s="171">
        <f t="shared" si="19"/>
        <v>47328</v>
      </c>
      <c r="O224" s="10" t="s">
        <v>43</v>
      </c>
      <c r="P224" s="183"/>
      <c r="Q224" s="10" t="s">
        <v>54</v>
      </c>
      <c r="R224" s="17"/>
      <c r="S224" s="17"/>
    </row>
    <row r="225" spans="1:19" s="365" customFormat="1" hidden="1">
      <c r="A225" s="9">
        <v>44396</v>
      </c>
      <c r="B225" s="10" t="s">
        <v>43</v>
      </c>
      <c r="C225" s="10" t="s">
        <v>5147</v>
      </c>
      <c r="D225" s="92" t="s">
        <v>5150</v>
      </c>
      <c r="E225" s="744" t="s">
        <v>5151</v>
      </c>
      <c r="F225" s="744" t="s">
        <v>5152</v>
      </c>
      <c r="G225" s="30">
        <v>1</v>
      </c>
      <c r="H225" s="18">
        <v>46000</v>
      </c>
      <c r="I225" s="171">
        <f t="shared" si="16"/>
        <v>46000</v>
      </c>
      <c r="K225" s="86">
        <f t="shared" si="18"/>
        <v>46000</v>
      </c>
      <c r="L225" s="17"/>
      <c r="M225" s="17"/>
      <c r="N225" s="171">
        <f t="shared" si="19"/>
        <v>46000</v>
      </c>
      <c r="O225" s="10" t="s">
        <v>43</v>
      </c>
      <c r="P225" s="183"/>
      <c r="Q225" s="10" t="s">
        <v>54</v>
      </c>
      <c r="R225" s="17"/>
      <c r="S225" s="17"/>
    </row>
    <row r="226" spans="1:19" s="365" customFormat="1" hidden="1">
      <c r="A226" s="9">
        <v>44396</v>
      </c>
      <c r="B226" s="10" t="s">
        <v>43</v>
      </c>
      <c r="C226" s="10" t="s">
        <v>5147</v>
      </c>
      <c r="D226" s="92" t="s">
        <v>5153</v>
      </c>
      <c r="E226" s="744" t="s">
        <v>3830</v>
      </c>
      <c r="F226" s="744" t="s">
        <v>3831</v>
      </c>
      <c r="G226" s="30">
        <v>1</v>
      </c>
      <c r="H226" s="18">
        <v>68000</v>
      </c>
      <c r="I226" s="171">
        <f t="shared" si="16"/>
        <v>68000</v>
      </c>
      <c r="K226" s="86">
        <f t="shared" si="18"/>
        <v>68000</v>
      </c>
      <c r="L226" s="17"/>
      <c r="M226" s="17"/>
      <c r="N226" s="171">
        <f t="shared" si="19"/>
        <v>68000</v>
      </c>
      <c r="O226" s="10" t="s">
        <v>43</v>
      </c>
      <c r="P226" s="183"/>
      <c r="Q226" s="10" t="s">
        <v>54</v>
      </c>
      <c r="R226" s="17"/>
      <c r="S226" s="17"/>
    </row>
    <row r="227" spans="1:19" s="365" customFormat="1" hidden="1">
      <c r="A227" s="9">
        <v>44396</v>
      </c>
      <c r="B227" s="10" t="s">
        <v>43</v>
      </c>
      <c r="C227" s="10" t="s">
        <v>5147</v>
      </c>
      <c r="D227" s="92" t="s">
        <v>5154</v>
      </c>
      <c r="E227" s="744" t="s">
        <v>1753</v>
      </c>
      <c r="F227" s="744" t="s">
        <v>1754</v>
      </c>
      <c r="G227" s="30">
        <v>1</v>
      </c>
      <c r="H227" s="18">
        <v>86000</v>
      </c>
      <c r="I227" s="171">
        <f t="shared" si="16"/>
        <v>86000</v>
      </c>
      <c r="K227" s="86">
        <f t="shared" si="18"/>
        <v>86000</v>
      </c>
      <c r="L227" s="17"/>
      <c r="M227" s="17"/>
      <c r="N227" s="171">
        <f t="shared" si="19"/>
        <v>86000</v>
      </c>
      <c r="O227" s="10" t="s">
        <v>43</v>
      </c>
      <c r="P227" s="183"/>
      <c r="Q227" s="10" t="s">
        <v>54</v>
      </c>
      <c r="R227" s="17"/>
      <c r="S227" s="17"/>
    </row>
    <row r="228" spans="1:19" s="365" customFormat="1" hidden="1">
      <c r="A228" s="9">
        <v>44396</v>
      </c>
      <c r="B228" s="10" t="s">
        <v>43</v>
      </c>
      <c r="C228" s="11" t="s">
        <v>5155</v>
      </c>
      <c r="D228" s="92" t="s">
        <v>5156</v>
      </c>
      <c r="E228" s="739" t="s">
        <v>2278</v>
      </c>
      <c r="F228" s="739" t="s">
        <v>5157</v>
      </c>
      <c r="G228" s="30">
        <v>1</v>
      </c>
      <c r="H228" s="18">
        <v>122000</v>
      </c>
      <c r="I228" s="171">
        <f t="shared" si="16"/>
        <v>122000</v>
      </c>
      <c r="K228" s="86">
        <f t="shared" si="18"/>
        <v>122000</v>
      </c>
      <c r="L228" s="17"/>
      <c r="M228" s="17">
        <v>-6832</v>
      </c>
      <c r="N228" s="171">
        <f t="shared" si="19"/>
        <v>115168</v>
      </c>
      <c r="O228" s="10" t="s">
        <v>43</v>
      </c>
      <c r="P228" s="72"/>
      <c r="Q228" s="10" t="s">
        <v>5158</v>
      </c>
      <c r="R228" s="17"/>
      <c r="S228" s="17"/>
    </row>
    <row r="229" spans="1:19" s="365" customFormat="1" hidden="1">
      <c r="A229" s="9">
        <v>44396</v>
      </c>
      <c r="B229" s="10" t="s">
        <v>43</v>
      </c>
      <c r="C229" s="10" t="s">
        <v>5159</v>
      </c>
      <c r="D229" s="92" t="s">
        <v>5160</v>
      </c>
      <c r="E229" s="739" t="s">
        <v>4176</v>
      </c>
      <c r="F229" s="739" t="s">
        <v>4177</v>
      </c>
      <c r="G229" s="30">
        <v>1</v>
      </c>
      <c r="H229" s="18">
        <v>191000</v>
      </c>
      <c r="I229" s="171">
        <f t="shared" si="16"/>
        <v>191000</v>
      </c>
      <c r="K229" s="86">
        <f t="shared" si="18"/>
        <v>191000</v>
      </c>
      <c r="L229" s="17"/>
      <c r="M229" s="17">
        <v>-10696</v>
      </c>
      <c r="N229" s="171">
        <f t="shared" si="19"/>
        <v>180304</v>
      </c>
      <c r="O229" s="10" t="s">
        <v>43</v>
      </c>
      <c r="P229" s="183"/>
      <c r="Q229" s="10" t="s">
        <v>54</v>
      </c>
      <c r="R229" s="17"/>
      <c r="S229" s="17"/>
    </row>
    <row r="230" spans="1:19" s="365" customFormat="1">
      <c r="A230" s="9">
        <v>44396</v>
      </c>
      <c r="B230" s="10" t="s">
        <v>43</v>
      </c>
      <c r="C230" s="11" t="s">
        <v>5161</v>
      </c>
      <c r="D230" s="92" t="s">
        <v>9427</v>
      </c>
      <c r="E230" s="739" t="s">
        <v>5162</v>
      </c>
      <c r="F230" s="739" t="s">
        <v>5163</v>
      </c>
      <c r="G230" s="30">
        <v>1</v>
      </c>
      <c r="H230" s="18">
        <v>77500</v>
      </c>
      <c r="I230" s="171">
        <f t="shared" si="16"/>
        <v>77500</v>
      </c>
      <c r="K230" s="86">
        <f t="shared" si="18"/>
        <v>77500</v>
      </c>
      <c r="L230" s="17"/>
      <c r="M230" s="17">
        <v>-4340</v>
      </c>
      <c r="N230" s="171">
        <f t="shared" si="19"/>
        <v>73160</v>
      </c>
      <c r="O230" s="10" t="s">
        <v>43</v>
      </c>
      <c r="P230" s="72"/>
      <c r="Q230" s="10" t="s">
        <v>649</v>
      </c>
      <c r="R230" s="17"/>
      <c r="S230" s="17"/>
    </row>
    <row r="231" spans="1:19" s="365" customFormat="1">
      <c r="A231" s="9">
        <v>44396</v>
      </c>
      <c r="B231" s="10" t="s">
        <v>43</v>
      </c>
      <c r="C231" s="10" t="s">
        <v>5164</v>
      </c>
      <c r="D231" s="92" t="s">
        <v>5165</v>
      </c>
      <c r="E231" s="739" t="s">
        <v>4302</v>
      </c>
      <c r="F231" s="739" t="s">
        <v>4303</v>
      </c>
      <c r="G231" s="30">
        <v>1</v>
      </c>
      <c r="H231" s="18">
        <v>94000</v>
      </c>
      <c r="I231" s="171">
        <f t="shared" si="16"/>
        <v>94000</v>
      </c>
      <c r="K231" s="86">
        <f t="shared" si="18"/>
        <v>94000</v>
      </c>
      <c r="L231" s="17"/>
      <c r="M231" s="17">
        <v>-5264</v>
      </c>
      <c r="N231" s="171">
        <f t="shared" si="19"/>
        <v>88736</v>
      </c>
      <c r="O231" s="10" t="s">
        <v>43</v>
      </c>
      <c r="P231" s="72"/>
      <c r="Q231" s="10" t="s">
        <v>54</v>
      </c>
      <c r="R231" s="17"/>
      <c r="S231" s="17"/>
    </row>
    <row r="232" spans="1:19" s="365" customFormat="1">
      <c r="A232" s="9">
        <v>44396</v>
      </c>
      <c r="B232" s="10" t="s">
        <v>43</v>
      </c>
      <c r="C232" s="10" t="s">
        <v>5166</v>
      </c>
      <c r="D232" s="92" t="s">
        <v>5167</v>
      </c>
      <c r="E232" s="739" t="s">
        <v>4302</v>
      </c>
      <c r="F232" s="739" t="s">
        <v>4303</v>
      </c>
      <c r="G232" s="30">
        <v>1</v>
      </c>
      <c r="H232" s="18">
        <v>94000</v>
      </c>
      <c r="I232" s="171">
        <f t="shared" si="16"/>
        <v>94000</v>
      </c>
      <c r="K232" s="86">
        <f t="shared" si="18"/>
        <v>94000</v>
      </c>
      <c r="L232" s="17"/>
      <c r="M232" s="17">
        <v>-5264</v>
      </c>
      <c r="N232" s="171">
        <f>K232+L232+M232</f>
        <v>88736</v>
      </c>
      <c r="O232" s="10" t="s">
        <v>43</v>
      </c>
      <c r="P232" s="183"/>
      <c r="Q232" s="10" t="s">
        <v>54</v>
      </c>
      <c r="R232" s="17"/>
      <c r="S232" s="17"/>
    </row>
    <row r="233" spans="1:19" s="365" customFormat="1">
      <c r="A233" s="9">
        <v>44396</v>
      </c>
      <c r="B233" s="10" t="s">
        <v>43</v>
      </c>
      <c r="C233" s="10" t="s">
        <v>5168</v>
      </c>
      <c r="D233" s="92" t="s">
        <v>5169</v>
      </c>
      <c r="E233" s="739" t="s">
        <v>4302</v>
      </c>
      <c r="F233" s="739" t="s">
        <v>4303</v>
      </c>
      <c r="G233" s="30">
        <v>1</v>
      </c>
      <c r="H233" s="18">
        <v>94000</v>
      </c>
      <c r="I233" s="171">
        <f t="shared" si="16"/>
        <v>94000</v>
      </c>
      <c r="K233" s="86">
        <f t="shared" si="18"/>
        <v>94000</v>
      </c>
      <c r="L233" s="17"/>
      <c r="M233" s="17">
        <v>-5264</v>
      </c>
      <c r="N233" s="171">
        <f>K233+L233+M233</f>
        <v>88736</v>
      </c>
      <c r="O233" s="10" t="s">
        <v>43</v>
      </c>
      <c r="P233" s="72"/>
      <c r="Q233" s="10" t="s">
        <v>54</v>
      </c>
      <c r="R233" s="17"/>
      <c r="S233" s="17"/>
    </row>
    <row r="234" spans="1:19" s="365" customFormat="1">
      <c r="A234" s="9">
        <v>44396</v>
      </c>
      <c r="B234" s="10" t="s">
        <v>43</v>
      </c>
      <c r="C234" s="11" t="s">
        <v>5170</v>
      </c>
      <c r="D234" s="92" t="s">
        <v>5171</v>
      </c>
      <c r="E234" s="739" t="s">
        <v>4302</v>
      </c>
      <c r="F234" s="739" t="s">
        <v>4303</v>
      </c>
      <c r="G234" s="30">
        <v>1</v>
      </c>
      <c r="H234" s="18">
        <v>94000</v>
      </c>
      <c r="I234" s="171">
        <f t="shared" si="16"/>
        <v>94000</v>
      </c>
      <c r="J234" s="17"/>
      <c r="K234" s="86">
        <f t="shared" si="18"/>
        <v>94000</v>
      </c>
      <c r="L234" s="17"/>
      <c r="M234" s="17">
        <v>-5264</v>
      </c>
      <c r="N234" s="171">
        <f t="shared" si="19"/>
        <v>88736</v>
      </c>
      <c r="O234" s="10" t="s">
        <v>43</v>
      </c>
      <c r="P234" s="72"/>
      <c r="Q234" s="10" t="s">
        <v>54</v>
      </c>
      <c r="R234" s="17"/>
      <c r="S234" s="17"/>
    </row>
    <row r="235" spans="1:19" s="365" customFormat="1">
      <c r="A235" s="9">
        <v>44396</v>
      </c>
      <c r="B235" s="10" t="s">
        <v>177</v>
      </c>
      <c r="C235" s="11" t="s">
        <v>5172</v>
      </c>
      <c r="D235" s="92" t="s">
        <v>9428</v>
      </c>
      <c r="E235" s="739" t="s">
        <v>5173</v>
      </c>
      <c r="F235" s="739" t="s">
        <v>5174</v>
      </c>
      <c r="G235" s="30">
        <v>1</v>
      </c>
      <c r="H235" s="18">
        <v>69000</v>
      </c>
      <c r="I235" s="171">
        <f t="shared" si="16"/>
        <v>69000</v>
      </c>
      <c r="J235" s="17"/>
      <c r="K235" s="86">
        <f t="shared" si="18"/>
        <v>69000</v>
      </c>
      <c r="L235" s="17">
        <v>31000</v>
      </c>
      <c r="M235" s="17"/>
      <c r="N235" s="171">
        <f t="shared" si="19"/>
        <v>100000</v>
      </c>
      <c r="O235" s="10" t="s">
        <v>177</v>
      </c>
      <c r="P235" s="92"/>
      <c r="Q235" s="10" t="s">
        <v>54</v>
      </c>
      <c r="R235" s="17"/>
      <c r="S235" s="17"/>
    </row>
    <row r="236" spans="1:19" s="365" customFormat="1">
      <c r="A236" s="9">
        <v>44396</v>
      </c>
      <c r="B236" s="10" t="s">
        <v>670</v>
      </c>
      <c r="C236" s="10" t="s">
        <v>5175</v>
      </c>
      <c r="D236" s="92" t="s">
        <v>5176</v>
      </c>
      <c r="E236" s="739" t="s">
        <v>2169</v>
      </c>
      <c r="F236" s="739" t="s">
        <v>128</v>
      </c>
      <c r="G236" s="30">
        <v>1</v>
      </c>
      <c r="H236" s="18">
        <v>77500</v>
      </c>
      <c r="I236" s="171">
        <f t="shared" si="16"/>
        <v>77500</v>
      </c>
      <c r="J236" s="17"/>
      <c r="K236" s="86">
        <f t="shared" si="18"/>
        <v>77500</v>
      </c>
      <c r="L236" s="17">
        <v>17000</v>
      </c>
      <c r="M236" s="17"/>
      <c r="N236" s="171">
        <f t="shared" si="19"/>
        <v>94500</v>
      </c>
      <c r="O236" s="10" t="s">
        <v>670</v>
      </c>
      <c r="P236" s="183"/>
      <c r="Q236" s="10" t="s">
        <v>40</v>
      </c>
      <c r="R236" s="17"/>
      <c r="S236" s="17"/>
    </row>
    <row r="237" spans="1:19" s="365" customFormat="1" hidden="1">
      <c r="A237" s="9">
        <v>44398</v>
      </c>
      <c r="B237" s="91" t="s">
        <v>43</v>
      </c>
      <c r="C237" s="91" t="s">
        <v>5177</v>
      </c>
      <c r="D237" s="92" t="s">
        <v>5178</v>
      </c>
      <c r="E237" s="739" t="s">
        <v>4302</v>
      </c>
      <c r="F237" s="739" t="s">
        <v>4303</v>
      </c>
      <c r="G237" s="30">
        <v>1</v>
      </c>
      <c r="H237" s="18">
        <v>94000</v>
      </c>
      <c r="I237" s="171">
        <f t="shared" si="16"/>
        <v>94000</v>
      </c>
      <c r="K237" s="86">
        <f t="shared" si="18"/>
        <v>94000</v>
      </c>
      <c r="L237" s="17"/>
      <c r="M237" s="17">
        <v>-5264</v>
      </c>
      <c r="N237" s="171">
        <f t="shared" si="19"/>
        <v>88736</v>
      </c>
      <c r="O237" s="91" t="s">
        <v>43</v>
      </c>
      <c r="P237" s="183"/>
      <c r="Q237" s="91" t="s">
        <v>740</v>
      </c>
      <c r="R237" s="17"/>
      <c r="S237" s="17"/>
    </row>
    <row r="238" spans="1:19" s="365" customFormat="1" hidden="1">
      <c r="A238" s="9">
        <v>44398</v>
      </c>
      <c r="B238" s="91" t="s">
        <v>43</v>
      </c>
      <c r="C238" s="123" t="s">
        <v>5179</v>
      </c>
      <c r="D238" s="92" t="s">
        <v>5180</v>
      </c>
      <c r="E238" s="739" t="s">
        <v>1056</v>
      </c>
      <c r="F238" s="739" t="s">
        <v>5181</v>
      </c>
      <c r="G238" s="30">
        <v>2</v>
      </c>
      <c r="H238" s="18">
        <v>109500</v>
      </c>
      <c r="I238" s="171">
        <f t="shared" si="16"/>
        <v>219000</v>
      </c>
      <c r="K238" s="86">
        <f t="shared" si="18"/>
        <v>219000</v>
      </c>
      <c r="L238" s="17"/>
      <c r="M238" s="17">
        <v>-12264</v>
      </c>
      <c r="N238" s="171">
        <f t="shared" si="19"/>
        <v>206736</v>
      </c>
      <c r="O238" s="91" t="s">
        <v>43</v>
      </c>
      <c r="P238" s="183"/>
      <c r="Q238" s="91" t="s">
        <v>176</v>
      </c>
      <c r="R238" s="17"/>
      <c r="S238" s="17"/>
    </row>
    <row r="239" spans="1:19" s="365" customFormat="1" hidden="1">
      <c r="A239" s="9">
        <v>44398</v>
      </c>
      <c r="B239" s="91" t="s">
        <v>43</v>
      </c>
      <c r="C239" s="123" t="s">
        <v>5182</v>
      </c>
      <c r="D239" s="92" t="s">
        <v>5183</v>
      </c>
      <c r="E239" s="739" t="s">
        <v>4636</v>
      </c>
      <c r="F239" s="739" t="s">
        <v>4637</v>
      </c>
      <c r="G239" s="30">
        <v>1</v>
      </c>
      <c r="H239" s="18">
        <v>96000</v>
      </c>
      <c r="I239" s="171">
        <f t="shared" si="16"/>
        <v>96000</v>
      </c>
      <c r="K239" s="86">
        <f t="shared" si="18"/>
        <v>96000</v>
      </c>
      <c r="L239" s="17"/>
      <c r="M239" s="17">
        <v>-5376</v>
      </c>
      <c r="N239" s="171">
        <f t="shared" si="19"/>
        <v>90624</v>
      </c>
      <c r="O239" s="91" t="s">
        <v>43</v>
      </c>
      <c r="P239" s="183"/>
      <c r="Q239" s="91" t="s">
        <v>176</v>
      </c>
      <c r="R239" s="17"/>
      <c r="S239" s="17"/>
    </row>
    <row r="240" spans="1:19" s="365" customFormat="1" hidden="1">
      <c r="A240" s="9">
        <v>44398</v>
      </c>
      <c r="B240" s="91" t="s">
        <v>43</v>
      </c>
      <c r="C240" s="91" t="s">
        <v>5184</v>
      </c>
      <c r="D240" s="92" t="s">
        <v>5185</v>
      </c>
      <c r="E240" s="739" t="s">
        <v>3348</v>
      </c>
      <c r="F240" s="739" t="s">
        <v>3349</v>
      </c>
      <c r="G240" s="30">
        <v>1</v>
      </c>
      <c r="H240" s="18">
        <v>78000</v>
      </c>
      <c r="I240" s="171">
        <f t="shared" si="16"/>
        <v>78000</v>
      </c>
      <c r="K240" s="86">
        <f t="shared" si="18"/>
        <v>78000</v>
      </c>
      <c r="L240" s="17"/>
      <c r="M240" s="17">
        <v>-4368</v>
      </c>
      <c r="N240" s="171">
        <f t="shared" si="19"/>
        <v>73632</v>
      </c>
      <c r="O240" s="91" t="s">
        <v>43</v>
      </c>
      <c r="P240" s="183"/>
      <c r="Q240" s="91" t="s">
        <v>176</v>
      </c>
      <c r="R240" s="17"/>
      <c r="S240" s="17"/>
    </row>
    <row r="241" spans="1:19" s="365" customFormat="1" hidden="1">
      <c r="A241" s="9">
        <v>44398</v>
      </c>
      <c r="B241" s="91" t="s">
        <v>206</v>
      </c>
      <c r="C241" s="91" t="s">
        <v>5186</v>
      </c>
      <c r="D241" s="92" t="s">
        <v>5187</v>
      </c>
      <c r="E241" s="738" t="s">
        <v>5188</v>
      </c>
      <c r="F241" s="738" t="s">
        <v>5189</v>
      </c>
      <c r="G241" s="30">
        <v>1</v>
      </c>
      <c r="H241" s="18">
        <v>105000</v>
      </c>
      <c r="I241" s="171">
        <f t="shared" si="16"/>
        <v>105000</v>
      </c>
      <c r="K241" s="86">
        <f t="shared" si="18"/>
        <v>105000</v>
      </c>
      <c r="L241" s="17">
        <v>16800</v>
      </c>
      <c r="M241" s="17"/>
      <c r="N241" s="171">
        <f t="shared" si="19"/>
        <v>121800</v>
      </c>
      <c r="O241" s="91" t="s">
        <v>206</v>
      </c>
      <c r="P241" s="183"/>
      <c r="Q241" s="91" t="s">
        <v>54</v>
      </c>
      <c r="R241" s="17"/>
      <c r="S241" s="17"/>
    </row>
    <row r="242" spans="1:19" s="365" customFormat="1" hidden="1">
      <c r="A242" s="9">
        <v>44398</v>
      </c>
      <c r="B242" s="91" t="s">
        <v>206</v>
      </c>
      <c r="C242" s="91" t="s">
        <v>5186</v>
      </c>
      <c r="D242" s="92" t="s">
        <v>5187</v>
      </c>
      <c r="E242" s="738" t="s">
        <v>3123</v>
      </c>
      <c r="F242" s="738" t="s">
        <v>3124</v>
      </c>
      <c r="G242" s="30">
        <v>1</v>
      </c>
      <c r="H242" s="18">
        <v>75500</v>
      </c>
      <c r="I242" s="171">
        <f t="shared" si="16"/>
        <v>75500</v>
      </c>
      <c r="K242" s="86">
        <f t="shared" si="18"/>
        <v>75500</v>
      </c>
      <c r="L242" s="17"/>
      <c r="M242" s="17"/>
      <c r="N242" s="171">
        <f t="shared" si="19"/>
        <v>75500</v>
      </c>
      <c r="O242" s="91" t="s">
        <v>206</v>
      </c>
      <c r="P242" s="92"/>
      <c r="Q242" s="91" t="s">
        <v>54</v>
      </c>
      <c r="R242" s="17"/>
      <c r="S242" s="17"/>
    </row>
    <row r="243" spans="1:19" s="365" customFormat="1" hidden="1">
      <c r="A243" s="9">
        <v>44398</v>
      </c>
      <c r="B243" s="91" t="s">
        <v>177</v>
      </c>
      <c r="C243" s="123" t="s">
        <v>5190</v>
      </c>
      <c r="D243" s="92" t="s">
        <v>5191</v>
      </c>
      <c r="E243" s="739" t="s">
        <v>5192</v>
      </c>
      <c r="F243" s="739" t="s">
        <v>5193</v>
      </c>
      <c r="G243" s="30">
        <v>1</v>
      </c>
      <c r="H243" s="18">
        <v>76500</v>
      </c>
      <c r="I243" s="171">
        <f t="shared" si="16"/>
        <v>76500</v>
      </c>
      <c r="K243" s="86">
        <f t="shared" si="18"/>
        <v>76500</v>
      </c>
      <c r="L243" s="17">
        <v>9000</v>
      </c>
      <c r="M243" s="17"/>
      <c r="N243" s="171">
        <f t="shared" si="19"/>
        <v>85500</v>
      </c>
      <c r="O243" s="91" t="s">
        <v>177</v>
      </c>
      <c r="P243" s="183"/>
      <c r="Q243" s="91" t="s">
        <v>54</v>
      </c>
      <c r="R243" s="17"/>
      <c r="S243" s="17"/>
    </row>
    <row r="244" spans="1:19" s="365" customFormat="1">
      <c r="A244" s="9">
        <v>44398</v>
      </c>
      <c r="B244" s="91" t="s">
        <v>23</v>
      </c>
      <c r="C244" s="123" t="s">
        <v>5194</v>
      </c>
      <c r="D244" s="92" t="s">
        <v>5195</v>
      </c>
      <c r="E244" s="739" t="s">
        <v>5196</v>
      </c>
      <c r="F244" s="739" t="s">
        <v>433</v>
      </c>
      <c r="G244" s="30">
        <v>1</v>
      </c>
      <c r="H244" s="18">
        <v>66000</v>
      </c>
      <c r="I244" s="171">
        <f t="shared" si="16"/>
        <v>66000</v>
      </c>
      <c r="K244" s="86">
        <f t="shared" si="18"/>
        <v>66000</v>
      </c>
      <c r="L244" s="17">
        <v>20000</v>
      </c>
      <c r="M244" s="17"/>
      <c r="N244" s="171">
        <f t="shared" si="19"/>
        <v>86000</v>
      </c>
      <c r="O244" s="91" t="s">
        <v>23</v>
      </c>
      <c r="P244" s="183"/>
      <c r="Q244" s="91" t="s">
        <v>54</v>
      </c>
      <c r="R244" s="17"/>
      <c r="S244" s="17"/>
    </row>
    <row r="245" spans="1:19" s="365" customFormat="1">
      <c r="A245" s="9">
        <v>44398</v>
      </c>
      <c r="B245" s="91" t="s">
        <v>23</v>
      </c>
      <c r="C245" s="123" t="s">
        <v>5197</v>
      </c>
      <c r="D245" s="92" t="s">
        <v>5198</v>
      </c>
      <c r="E245" s="739" t="s">
        <v>4920</v>
      </c>
      <c r="F245" s="739" t="s">
        <v>4921</v>
      </c>
      <c r="G245" s="30">
        <v>1</v>
      </c>
      <c r="H245" s="18">
        <v>112000</v>
      </c>
      <c r="I245" s="171">
        <f t="shared" si="16"/>
        <v>112000</v>
      </c>
      <c r="K245" s="86">
        <f t="shared" si="18"/>
        <v>112000</v>
      </c>
      <c r="L245" s="17">
        <v>69000</v>
      </c>
      <c r="M245" s="17"/>
      <c r="N245" s="171">
        <f t="shared" si="19"/>
        <v>181000</v>
      </c>
      <c r="O245" s="91" t="s">
        <v>23</v>
      </c>
      <c r="P245" s="191"/>
      <c r="Q245" s="91" t="s">
        <v>40</v>
      </c>
      <c r="R245" s="17"/>
      <c r="S245" s="17"/>
    </row>
    <row r="246" spans="1:19" s="365" customFormat="1" hidden="1">
      <c r="A246" s="9">
        <v>44398</v>
      </c>
      <c r="B246" s="91" t="s">
        <v>313</v>
      </c>
      <c r="C246" s="123" t="s">
        <v>5199</v>
      </c>
      <c r="D246" s="92" t="s">
        <v>5200</v>
      </c>
      <c r="E246" s="739" t="s">
        <v>5201</v>
      </c>
      <c r="F246" s="739" t="s">
        <v>5202</v>
      </c>
      <c r="G246" s="30">
        <v>1</v>
      </c>
      <c r="H246" s="18">
        <v>50000</v>
      </c>
      <c r="I246" s="171">
        <f t="shared" si="16"/>
        <v>50000</v>
      </c>
      <c r="K246" s="86">
        <f t="shared" si="18"/>
        <v>50000</v>
      </c>
      <c r="L246" s="17">
        <v>9056</v>
      </c>
      <c r="M246" s="17"/>
      <c r="N246" s="171">
        <f t="shared" si="19"/>
        <v>59056</v>
      </c>
      <c r="O246" s="91" t="s">
        <v>313</v>
      </c>
      <c r="P246" s="191"/>
      <c r="Q246" s="91" t="s">
        <v>40</v>
      </c>
      <c r="R246" s="17"/>
      <c r="S246" s="17"/>
    </row>
    <row r="247" spans="1:19" s="365" customFormat="1" hidden="1">
      <c r="A247" s="9">
        <v>44399</v>
      </c>
      <c r="B247" s="91" t="s">
        <v>170</v>
      </c>
      <c r="C247" s="123" t="s">
        <v>5203</v>
      </c>
      <c r="D247" s="92" t="s">
        <v>5204</v>
      </c>
      <c r="E247" s="739" t="s">
        <v>335</v>
      </c>
      <c r="F247" s="739" t="s">
        <v>336</v>
      </c>
      <c r="G247" s="30">
        <v>1</v>
      </c>
      <c r="H247" s="18">
        <v>105500</v>
      </c>
      <c r="I247" s="171">
        <f t="shared" si="16"/>
        <v>105500</v>
      </c>
      <c r="K247" s="86">
        <f t="shared" si="18"/>
        <v>105500</v>
      </c>
      <c r="L247" s="17">
        <f>16000-16000</f>
        <v>0</v>
      </c>
      <c r="M247" s="17"/>
      <c r="N247" s="171">
        <f t="shared" si="19"/>
        <v>105500</v>
      </c>
      <c r="O247" s="91" t="s">
        <v>170</v>
      </c>
      <c r="P247" s="191"/>
      <c r="Q247" s="91" t="s">
        <v>40</v>
      </c>
      <c r="R247" s="17"/>
      <c r="S247" s="17"/>
    </row>
    <row r="248" spans="1:19" s="365" customFormat="1" hidden="1">
      <c r="A248" s="9">
        <v>44399</v>
      </c>
      <c r="B248" s="91" t="s">
        <v>313</v>
      </c>
      <c r="C248" s="91" t="s">
        <v>5205</v>
      </c>
      <c r="D248" s="92" t="s">
        <v>5206</v>
      </c>
      <c r="E248" s="754" t="s">
        <v>5207</v>
      </c>
      <c r="F248" s="754" t="s">
        <v>5208</v>
      </c>
      <c r="G248" s="30">
        <v>1</v>
      </c>
      <c r="H248" s="18">
        <v>106000</v>
      </c>
      <c r="I248" s="171">
        <f t="shared" si="16"/>
        <v>106000</v>
      </c>
      <c r="K248" s="86">
        <f t="shared" si="18"/>
        <v>106000</v>
      </c>
      <c r="L248" s="17">
        <v>16043</v>
      </c>
      <c r="M248" s="17"/>
      <c r="N248" s="171">
        <f t="shared" ref="N248:N256" si="20">K248+L248+M248</f>
        <v>122043</v>
      </c>
      <c r="O248" s="91" t="s">
        <v>313</v>
      </c>
      <c r="P248" s="191"/>
      <c r="Q248" s="91" t="s">
        <v>40</v>
      </c>
      <c r="R248" s="17"/>
      <c r="S248" s="17"/>
    </row>
    <row r="249" spans="1:19" s="365" customFormat="1" hidden="1">
      <c r="A249" s="9">
        <v>44399</v>
      </c>
      <c r="B249" s="90" t="s">
        <v>313</v>
      </c>
      <c r="C249" s="91" t="s">
        <v>5205</v>
      </c>
      <c r="D249" s="92" t="s">
        <v>5209</v>
      </c>
      <c r="E249" s="754" t="s">
        <v>5210</v>
      </c>
      <c r="F249" s="754" t="s">
        <v>4514</v>
      </c>
      <c r="G249" s="30">
        <v>1</v>
      </c>
      <c r="H249" s="18">
        <v>104000</v>
      </c>
      <c r="I249" s="171">
        <f t="shared" si="16"/>
        <v>104000</v>
      </c>
      <c r="K249" s="86">
        <f t="shared" si="18"/>
        <v>104000</v>
      </c>
      <c r="L249" s="17"/>
      <c r="M249" s="17"/>
      <c r="N249" s="171">
        <f t="shared" si="20"/>
        <v>104000</v>
      </c>
      <c r="O249" s="90" t="s">
        <v>313</v>
      </c>
      <c r="P249" s="191"/>
      <c r="Q249" s="91" t="s">
        <v>40</v>
      </c>
      <c r="R249" s="17"/>
      <c r="S249" s="17"/>
    </row>
    <row r="250" spans="1:19" s="365" customFormat="1">
      <c r="A250" s="9">
        <v>44399</v>
      </c>
      <c r="B250" s="90" t="s">
        <v>23</v>
      </c>
      <c r="C250" s="91" t="s">
        <v>5211</v>
      </c>
      <c r="D250" s="92" t="s">
        <v>5212</v>
      </c>
      <c r="E250" s="739" t="s">
        <v>214</v>
      </c>
      <c r="F250" s="739" t="s">
        <v>261</v>
      </c>
      <c r="G250" s="30">
        <v>1</v>
      </c>
      <c r="H250" s="18">
        <v>82000</v>
      </c>
      <c r="I250" s="171">
        <f t="shared" ref="I250:I256" si="21">G250*H250</f>
        <v>82000</v>
      </c>
      <c r="K250" s="86">
        <f t="shared" si="18"/>
        <v>82000</v>
      </c>
      <c r="L250" s="17">
        <v>23078</v>
      </c>
      <c r="M250" s="17"/>
      <c r="N250" s="171">
        <f t="shared" si="20"/>
        <v>105078</v>
      </c>
      <c r="O250" s="90" t="s">
        <v>40</v>
      </c>
      <c r="P250" s="191"/>
      <c r="Q250" s="91" t="s">
        <v>40</v>
      </c>
      <c r="R250" s="17"/>
      <c r="S250" s="17"/>
    </row>
    <row r="251" spans="1:19" s="365" customFormat="1" hidden="1">
      <c r="A251" s="9">
        <v>44399</v>
      </c>
      <c r="B251" s="90" t="s">
        <v>170</v>
      </c>
      <c r="C251" s="123" t="s">
        <v>5213</v>
      </c>
      <c r="D251" s="765" t="s">
        <v>5214</v>
      </c>
      <c r="E251" s="739" t="s">
        <v>1107</v>
      </c>
      <c r="F251" s="739" t="s">
        <v>1108</v>
      </c>
      <c r="G251" s="684">
        <v>1</v>
      </c>
      <c r="H251" s="18">
        <v>118000</v>
      </c>
      <c r="I251" s="171">
        <f t="shared" si="21"/>
        <v>118000</v>
      </c>
      <c r="K251" s="86">
        <f t="shared" si="18"/>
        <v>118000</v>
      </c>
      <c r="L251" s="17">
        <f>16000-16000</f>
        <v>0</v>
      </c>
      <c r="M251" s="17"/>
      <c r="N251" s="171">
        <f t="shared" si="20"/>
        <v>118000</v>
      </c>
      <c r="O251" s="90" t="s">
        <v>54</v>
      </c>
      <c r="P251" s="191"/>
      <c r="Q251" s="91" t="s">
        <v>54</v>
      </c>
      <c r="R251" s="17"/>
      <c r="S251" s="17"/>
    </row>
    <row r="252" spans="1:19" s="365" customFormat="1">
      <c r="A252" s="9">
        <v>44399</v>
      </c>
      <c r="B252" s="91" t="s">
        <v>23</v>
      </c>
      <c r="C252" s="123" t="s">
        <v>2949</v>
      </c>
      <c r="D252" s="92" t="s">
        <v>5215</v>
      </c>
      <c r="E252" s="739" t="s">
        <v>5216</v>
      </c>
      <c r="F252" s="739" t="s">
        <v>2548</v>
      </c>
      <c r="G252" s="751">
        <v>2</v>
      </c>
      <c r="H252" s="18">
        <v>127000</v>
      </c>
      <c r="I252" s="171">
        <f t="shared" si="21"/>
        <v>254000</v>
      </c>
      <c r="J252" s="365">
        <f>I252*25%</f>
        <v>63500</v>
      </c>
      <c r="K252" s="86">
        <f t="shared" si="18"/>
        <v>190500</v>
      </c>
      <c r="L252" s="17">
        <v>16000</v>
      </c>
      <c r="M252" s="17"/>
      <c r="N252" s="171">
        <f t="shared" si="20"/>
        <v>206500</v>
      </c>
      <c r="O252" s="91" t="s">
        <v>23</v>
      </c>
      <c r="P252" s="191"/>
      <c r="Q252" s="91" t="s">
        <v>40</v>
      </c>
      <c r="R252" s="17"/>
      <c r="S252" s="17"/>
    </row>
    <row r="253" spans="1:19" s="365" customFormat="1">
      <c r="A253" s="9">
        <v>44399</v>
      </c>
      <c r="B253" s="91" t="s">
        <v>23</v>
      </c>
      <c r="C253" s="91" t="s">
        <v>5217</v>
      </c>
      <c r="D253" s="740" t="s">
        <v>5218</v>
      </c>
      <c r="E253" s="739" t="s">
        <v>5219</v>
      </c>
      <c r="F253" s="739" t="s">
        <v>5220</v>
      </c>
      <c r="G253" s="751">
        <v>1</v>
      </c>
      <c r="H253" s="18">
        <v>62500</v>
      </c>
      <c r="I253" s="171">
        <f t="shared" si="21"/>
        <v>62500</v>
      </c>
      <c r="J253" s="17"/>
      <c r="K253" s="86">
        <f t="shared" si="18"/>
        <v>62500</v>
      </c>
      <c r="L253" s="17">
        <f>16000-16000</f>
        <v>0</v>
      </c>
      <c r="M253" s="17"/>
      <c r="N253" s="171">
        <f t="shared" si="20"/>
        <v>62500</v>
      </c>
      <c r="O253" s="91" t="s">
        <v>23</v>
      </c>
      <c r="P253" s="191"/>
      <c r="Q253" s="91" t="s">
        <v>28</v>
      </c>
      <c r="R253" s="17"/>
      <c r="S253" s="17"/>
    </row>
    <row r="254" spans="1:19" s="365" customFormat="1">
      <c r="A254" s="9">
        <v>44399</v>
      </c>
      <c r="B254" s="91" t="s">
        <v>23</v>
      </c>
      <c r="C254" s="91" t="s">
        <v>5221</v>
      </c>
      <c r="D254" s="740" t="s">
        <v>5222</v>
      </c>
      <c r="E254" s="76" t="s">
        <v>1116</v>
      </c>
      <c r="F254" s="76" t="s">
        <v>1117</v>
      </c>
      <c r="G254" s="751">
        <v>1</v>
      </c>
      <c r="H254" s="18">
        <v>92000</v>
      </c>
      <c r="I254" s="171">
        <f t="shared" si="21"/>
        <v>92000</v>
      </c>
      <c r="J254" s="17"/>
      <c r="K254" s="86">
        <f t="shared" si="18"/>
        <v>92000</v>
      </c>
      <c r="L254" s="17">
        <v>7000</v>
      </c>
      <c r="M254" s="17"/>
      <c r="N254" s="171">
        <f t="shared" si="20"/>
        <v>99000</v>
      </c>
      <c r="O254" s="91" t="s">
        <v>23</v>
      </c>
      <c r="P254" s="191"/>
      <c r="Q254" s="91" t="s">
        <v>28</v>
      </c>
      <c r="R254" s="17"/>
      <c r="S254" s="13"/>
    </row>
    <row r="255" spans="1:19" s="365" customFormat="1">
      <c r="A255" s="9">
        <v>44399</v>
      </c>
      <c r="B255" s="91" t="s">
        <v>23</v>
      </c>
      <c r="C255" s="91" t="s">
        <v>5223</v>
      </c>
      <c r="D255" s="740" t="s">
        <v>5224</v>
      </c>
      <c r="E255" s="739" t="s">
        <v>5225</v>
      </c>
      <c r="F255" s="739" t="s">
        <v>5226</v>
      </c>
      <c r="G255" s="30">
        <v>1</v>
      </c>
      <c r="H255" s="18">
        <v>70000</v>
      </c>
      <c r="I255" s="171">
        <f t="shared" si="21"/>
        <v>70000</v>
      </c>
      <c r="J255" s="17"/>
      <c r="K255" s="86">
        <f t="shared" si="18"/>
        <v>70000</v>
      </c>
      <c r="L255" s="17">
        <v>17000</v>
      </c>
      <c r="M255" s="17"/>
      <c r="N255" s="171">
        <f t="shared" si="20"/>
        <v>87000</v>
      </c>
      <c r="O255" s="91" t="s">
        <v>23</v>
      </c>
      <c r="P255" s="191"/>
      <c r="Q255" s="91" t="s">
        <v>40</v>
      </c>
      <c r="R255" s="17"/>
      <c r="S255" s="13"/>
    </row>
    <row r="256" spans="1:19" s="365" customFormat="1">
      <c r="A256" s="9">
        <v>44399</v>
      </c>
      <c r="B256" s="91" t="s">
        <v>23</v>
      </c>
      <c r="C256" s="123" t="s">
        <v>5227</v>
      </c>
      <c r="D256" s="740" t="s">
        <v>5228</v>
      </c>
      <c r="E256" s="739" t="s">
        <v>5229</v>
      </c>
      <c r="F256" s="739" t="s">
        <v>5230</v>
      </c>
      <c r="G256" s="30">
        <v>2</v>
      </c>
      <c r="H256" s="18">
        <v>81000</v>
      </c>
      <c r="I256" s="171">
        <f t="shared" si="21"/>
        <v>162000</v>
      </c>
      <c r="J256" s="17"/>
      <c r="K256" s="86">
        <f t="shared" si="18"/>
        <v>162000</v>
      </c>
      <c r="L256" s="17">
        <v>7000</v>
      </c>
      <c r="M256" s="17"/>
      <c r="N256" s="171">
        <f t="shared" si="20"/>
        <v>169000</v>
      </c>
      <c r="O256" s="91" t="s">
        <v>23</v>
      </c>
      <c r="P256" s="191"/>
      <c r="Q256" s="91" t="s">
        <v>54</v>
      </c>
      <c r="R256" s="17"/>
      <c r="S256" s="13"/>
    </row>
    <row r="257" spans="7:11" hidden="1">
      <c r="G257">
        <f>SUM(G2:G256)</f>
        <v>334</v>
      </c>
      <c r="K257" s="86">
        <f>SUM(K2:K256)</f>
        <v>27335150</v>
      </c>
    </row>
  </sheetData>
  <autoFilter ref="A1:W257" xr:uid="{00000000-0009-0000-0000-000006000000}">
    <filterColumn colId="1">
      <filters>
        <filter val="wa"/>
      </filters>
    </filterColumn>
  </autoFilter>
  <dataValidations count="1">
    <dataValidation type="list" allowBlank="1" showErrorMessage="1" sqref="Q1" xr:uid="{00000000-0002-0000-0600-000000000000}">
      <formula1>#REF!</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W331"/>
  <sheetViews>
    <sheetView topLeftCell="A59" zoomScale="98" zoomScaleNormal="98" workbookViewId="0">
      <selection activeCell="D89" sqref="D89"/>
    </sheetView>
  </sheetViews>
  <sheetFormatPr defaultRowHeight="14.4"/>
  <cols>
    <col min="1" max="1" width="12.88671875" bestFit="1" customWidth="1"/>
    <col min="3" max="3" width="34.33203125" bestFit="1" customWidth="1"/>
    <col min="4" max="4" width="145.21875" customWidth="1"/>
    <col min="5" max="5" width="23.33203125" customWidth="1"/>
  </cols>
  <sheetData>
    <row r="1" spans="1:23" s="766" customFormat="1">
      <c r="A1" s="411" t="s">
        <v>0</v>
      </c>
      <c r="B1" s="412" t="s">
        <v>4666</v>
      </c>
      <c r="C1" s="412" t="s">
        <v>4667</v>
      </c>
      <c r="D1" s="412" t="s">
        <v>3</v>
      </c>
      <c r="E1" s="412" t="s">
        <v>4</v>
      </c>
      <c r="F1" s="412" t="s">
        <v>5</v>
      </c>
      <c r="G1" s="414" t="s">
        <v>4668</v>
      </c>
      <c r="H1" s="416" t="s">
        <v>6</v>
      </c>
      <c r="I1" s="735" t="s">
        <v>8</v>
      </c>
      <c r="J1" s="416" t="s">
        <v>9</v>
      </c>
      <c r="K1" s="416" t="s">
        <v>10</v>
      </c>
      <c r="L1" s="416" t="s">
        <v>11</v>
      </c>
      <c r="M1" s="416" t="s">
        <v>12</v>
      </c>
      <c r="N1" s="416" t="s">
        <v>13</v>
      </c>
      <c r="O1" s="418" t="s">
        <v>14</v>
      </c>
      <c r="P1" s="419" t="s">
        <v>15</v>
      </c>
      <c r="Q1" s="412" t="s">
        <v>16</v>
      </c>
      <c r="R1" s="412" t="s">
        <v>17</v>
      </c>
      <c r="S1" s="414" t="s">
        <v>18</v>
      </c>
      <c r="T1" s="416" t="s">
        <v>19</v>
      </c>
      <c r="U1" s="416" t="s">
        <v>20</v>
      </c>
      <c r="V1" s="416" t="s">
        <v>21</v>
      </c>
      <c r="W1" s="418" t="s">
        <v>22</v>
      </c>
    </row>
    <row r="2" spans="1:23" s="20" customFormat="1" hidden="1">
      <c r="A2" s="9">
        <v>44400</v>
      </c>
      <c r="B2" s="91" t="s">
        <v>43</v>
      </c>
      <c r="C2" s="91" t="s">
        <v>5231</v>
      </c>
      <c r="D2" s="92" t="s">
        <v>5232</v>
      </c>
      <c r="E2" s="739" t="s">
        <v>4302</v>
      </c>
      <c r="F2" s="739" t="s">
        <v>4303</v>
      </c>
      <c r="G2" s="30">
        <v>1</v>
      </c>
      <c r="H2" s="17">
        <v>94000</v>
      </c>
      <c r="I2" s="17">
        <f>H2*G2</f>
        <v>94000</v>
      </c>
      <c r="J2" s="17"/>
      <c r="K2" s="17">
        <f>I2-J2</f>
        <v>94000</v>
      </c>
      <c r="L2" s="17"/>
      <c r="M2" s="17">
        <v>-5264</v>
      </c>
      <c r="N2" s="17">
        <f>K2+L2+M2</f>
        <v>88736</v>
      </c>
      <c r="O2" s="91" t="s">
        <v>43</v>
      </c>
      <c r="P2" s="183"/>
      <c r="Q2" s="91" t="s">
        <v>54</v>
      </c>
      <c r="R2" s="17"/>
      <c r="S2" s="17"/>
      <c r="T2" s="17"/>
      <c r="U2" s="17"/>
      <c r="V2" s="17"/>
      <c r="W2" s="17"/>
    </row>
    <row r="3" spans="1:23" s="20" customFormat="1" hidden="1">
      <c r="A3" s="9">
        <v>44400</v>
      </c>
      <c r="B3" s="91" t="s">
        <v>170</v>
      </c>
      <c r="C3" s="123" t="s">
        <v>5233</v>
      </c>
      <c r="D3" s="17" t="s">
        <v>5234</v>
      </c>
      <c r="E3" s="739" t="s">
        <v>180</v>
      </c>
      <c r="F3" s="739" t="s">
        <v>181</v>
      </c>
      <c r="G3" s="30">
        <v>1</v>
      </c>
      <c r="H3" s="17">
        <v>70000</v>
      </c>
      <c r="I3" s="17">
        <f t="shared" ref="I3:I66" si="0">H3*G3</f>
        <v>70000</v>
      </c>
      <c r="J3" s="17">
        <f>I3*20%</f>
        <v>14000</v>
      </c>
      <c r="K3" s="17">
        <f t="shared" ref="K3:K66" si="1">I3-J3</f>
        <v>56000</v>
      </c>
      <c r="L3" s="17">
        <f>12000-12000</f>
        <v>0</v>
      </c>
      <c r="M3" s="17"/>
      <c r="N3" s="17">
        <f t="shared" ref="N3:N66" si="2">K3+L3+M3</f>
        <v>56000</v>
      </c>
      <c r="O3" s="91" t="s">
        <v>170</v>
      </c>
      <c r="P3" s="72"/>
      <c r="Q3" s="91" t="s">
        <v>176</v>
      </c>
      <c r="R3" s="17"/>
      <c r="S3" s="17"/>
      <c r="T3" s="17"/>
      <c r="U3" s="17"/>
      <c r="V3" s="17"/>
      <c r="W3" s="17"/>
    </row>
    <row r="4" spans="1:23" s="20" customFormat="1">
      <c r="A4" s="9">
        <v>44400</v>
      </c>
      <c r="B4" s="91" t="s">
        <v>23</v>
      </c>
      <c r="C4" s="123" t="s">
        <v>5235</v>
      </c>
      <c r="D4" s="92" t="s">
        <v>5236</v>
      </c>
      <c r="E4" s="739" t="s">
        <v>1826</v>
      </c>
      <c r="F4" s="739" t="s">
        <v>1827</v>
      </c>
      <c r="G4" s="30">
        <v>1</v>
      </c>
      <c r="H4" s="17">
        <v>71000</v>
      </c>
      <c r="I4" s="17">
        <f t="shared" si="0"/>
        <v>71000</v>
      </c>
      <c r="J4" s="17"/>
      <c r="K4" s="17">
        <f t="shared" si="1"/>
        <v>71000</v>
      </c>
      <c r="L4" s="17">
        <v>17000</v>
      </c>
      <c r="M4" s="17"/>
      <c r="N4" s="17">
        <f t="shared" si="2"/>
        <v>88000</v>
      </c>
      <c r="O4" s="91" t="s">
        <v>23</v>
      </c>
      <c r="P4" s="72"/>
      <c r="Q4" s="91" t="s">
        <v>54</v>
      </c>
      <c r="R4" s="17"/>
      <c r="S4" s="17"/>
      <c r="T4" s="17"/>
      <c r="U4" s="17"/>
      <c r="V4" s="17"/>
      <c r="W4" s="17"/>
    </row>
    <row r="5" spans="1:23" s="20" customFormat="1" hidden="1">
      <c r="A5" s="9">
        <v>44403</v>
      </c>
      <c r="B5" s="91" t="s">
        <v>43</v>
      </c>
      <c r="C5" s="91" t="s">
        <v>5237</v>
      </c>
      <c r="D5" s="92" t="s">
        <v>5238</v>
      </c>
      <c r="E5" s="739" t="s">
        <v>5239</v>
      </c>
      <c r="F5" s="739" t="s">
        <v>5240</v>
      </c>
      <c r="G5" s="30">
        <v>1</v>
      </c>
      <c r="H5" s="17">
        <v>158000</v>
      </c>
      <c r="I5" s="17">
        <f t="shared" si="0"/>
        <v>158000</v>
      </c>
      <c r="J5" s="17"/>
      <c r="K5" s="17">
        <f t="shared" si="1"/>
        <v>158000</v>
      </c>
      <c r="L5" s="17"/>
      <c r="M5" s="17">
        <v>-8848</v>
      </c>
      <c r="N5" s="17">
        <f t="shared" si="2"/>
        <v>149152</v>
      </c>
      <c r="O5" s="91" t="s">
        <v>43</v>
      </c>
      <c r="P5" s="72"/>
      <c r="Q5" s="91" t="s">
        <v>54</v>
      </c>
      <c r="R5" s="17"/>
      <c r="S5" s="13"/>
      <c r="T5" s="17"/>
      <c r="U5" s="17"/>
      <c r="V5" s="17"/>
      <c r="W5" s="17"/>
    </row>
    <row r="6" spans="1:23" s="20" customFormat="1">
      <c r="A6" s="9">
        <v>44403</v>
      </c>
      <c r="B6" s="91" t="s">
        <v>23</v>
      </c>
      <c r="C6" s="91" t="s">
        <v>5241</v>
      </c>
      <c r="D6" s="92" t="s">
        <v>31</v>
      </c>
      <c r="E6" s="739" t="s">
        <v>668</v>
      </c>
      <c r="F6" s="739" t="s">
        <v>669</v>
      </c>
      <c r="G6" s="30">
        <v>1</v>
      </c>
      <c r="H6" s="17">
        <v>101000</v>
      </c>
      <c r="I6" s="17">
        <f t="shared" si="0"/>
        <v>101000</v>
      </c>
      <c r="J6" s="17"/>
      <c r="K6" s="17">
        <f t="shared" si="1"/>
        <v>101000</v>
      </c>
      <c r="L6" s="17"/>
      <c r="M6" s="17"/>
      <c r="N6" s="17">
        <f t="shared" si="2"/>
        <v>101000</v>
      </c>
      <c r="O6" s="91" t="s">
        <v>23</v>
      </c>
      <c r="P6" s="72"/>
      <c r="Q6" s="91" t="s">
        <v>35</v>
      </c>
      <c r="R6" s="17"/>
      <c r="S6" s="17"/>
      <c r="T6" s="17"/>
      <c r="U6" s="17"/>
      <c r="V6" s="17"/>
      <c r="W6" s="17"/>
    </row>
    <row r="7" spans="1:23" s="20" customFormat="1" hidden="1">
      <c r="A7" s="9">
        <v>44403</v>
      </c>
      <c r="B7" s="91" t="s">
        <v>206</v>
      </c>
      <c r="C7" s="123" t="s">
        <v>5242</v>
      </c>
      <c r="D7" s="92" t="s">
        <v>5243</v>
      </c>
      <c r="E7" s="739" t="s">
        <v>553</v>
      </c>
      <c r="F7" s="739" t="s">
        <v>554</v>
      </c>
      <c r="G7" s="30">
        <v>1</v>
      </c>
      <c r="H7" s="17">
        <v>72000</v>
      </c>
      <c r="I7" s="17">
        <f t="shared" si="0"/>
        <v>72000</v>
      </c>
      <c r="J7" s="17"/>
      <c r="K7" s="17">
        <f t="shared" si="1"/>
        <v>72000</v>
      </c>
      <c r="L7" s="17">
        <v>7400</v>
      </c>
      <c r="M7" s="17"/>
      <c r="N7" s="17">
        <f t="shared" si="2"/>
        <v>79400</v>
      </c>
      <c r="O7" s="91" t="s">
        <v>206</v>
      </c>
      <c r="P7" s="72"/>
      <c r="Q7" s="91" t="s">
        <v>28</v>
      </c>
      <c r="R7" s="17"/>
      <c r="S7" s="17"/>
      <c r="T7" s="17"/>
      <c r="U7" s="17"/>
      <c r="V7" s="17"/>
      <c r="W7" s="17"/>
    </row>
    <row r="8" spans="1:23" s="20" customFormat="1" hidden="1">
      <c r="A8" s="9">
        <v>44403</v>
      </c>
      <c r="B8" s="91" t="s">
        <v>170</v>
      </c>
      <c r="C8" s="123" t="s">
        <v>5244</v>
      </c>
      <c r="D8" s="92" t="s">
        <v>5245</v>
      </c>
      <c r="E8" s="739" t="s">
        <v>607</v>
      </c>
      <c r="F8" s="739" t="s">
        <v>608</v>
      </c>
      <c r="G8" s="30">
        <v>1</v>
      </c>
      <c r="H8" s="17">
        <v>90000</v>
      </c>
      <c r="I8" s="17">
        <f t="shared" si="0"/>
        <v>90000</v>
      </c>
      <c r="J8" s="17"/>
      <c r="K8" s="17">
        <f t="shared" si="1"/>
        <v>90000</v>
      </c>
      <c r="L8" s="17">
        <f>12000-12000</f>
        <v>0</v>
      </c>
      <c r="M8" s="17"/>
      <c r="N8" s="17">
        <f t="shared" si="2"/>
        <v>90000</v>
      </c>
      <c r="O8" s="91" t="s">
        <v>170</v>
      </c>
      <c r="P8" s="72"/>
      <c r="Q8" s="91" t="s">
        <v>176</v>
      </c>
      <c r="R8" s="17"/>
      <c r="S8" s="17"/>
      <c r="T8" s="17"/>
      <c r="U8" s="17"/>
      <c r="V8" s="17"/>
      <c r="W8" s="17"/>
    </row>
    <row r="9" spans="1:23" s="20" customFormat="1" hidden="1">
      <c r="A9" s="9">
        <v>44403</v>
      </c>
      <c r="B9" s="91" t="s">
        <v>177</v>
      </c>
      <c r="C9" s="123" t="s">
        <v>5246</v>
      </c>
      <c r="D9" s="92" t="s">
        <v>5247</v>
      </c>
      <c r="E9" s="739" t="s">
        <v>4720</v>
      </c>
      <c r="F9" s="739" t="s">
        <v>4721</v>
      </c>
      <c r="G9" s="706">
        <v>1</v>
      </c>
      <c r="H9" s="17">
        <v>99000</v>
      </c>
      <c r="I9" s="17">
        <f t="shared" si="0"/>
        <v>99000</v>
      </c>
      <c r="J9" s="17"/>
      <c r="K9" s="17">
        <f t="shared" si="1"/>
        <v>99000</v>
      </c>
      <c r="L9" s="17">
        <v>9000</v>
      </c>
      <c r="M9" s="17"/>
      <c r="N9" s="17">
        <f t="shared" si="2"/>
        <v>108000</v>
      </c>
      <c r="O9" s="91" t="s">
        <v>177</v>
      </c>
      <c r="P9" s="72"/>
      <c r="Q9" s="91" t="s">
        <v>54</v>
      </c>
      <c r="R9" s="17"/>
      <c r="S9" s="17"/>
      <c r="T9" s="17"/>
      <c r="U9" s="17"/>
      <c r="V9" s="17"/>
      <c r="W9" s="17"/>
    </row>
    <row r="10" spans="1:23" s="20" customFormat="1" hidden="1">
      <c r="A10" s="9">
        <v>44403</v>
      </c>
      <c r="B10" s="91" t="s">
        <v>43</v>
      </c>
      <c r="C10" s="91" t="s">
        <v>5248</v>
      </c>
      <c r="D10" s="92" t="s">
        <v>5249</v>
      </c>
      <c r="E10" s="739" t="s">
        <v>3764</v>
      </c>
      <c r="F10" s="739" t="s">
        <v>3765</v>
      </c>
      <c r="G10" s="30">
        <v>1</v>
      </c>
      <c r="H10" s="17">
        <v>87000</v>
      </c>
      <c r="I10" s="17">
        <f t="shared" si="0"/>
        <v>87000</v>
      </c>
      <c r="J10" s="17"/>
      <c r="K10" s="17">
        <f t="shared" si="1"/>
        <v>87000</v>
      </c>
      <c r="L10" s="17">
        <v>15000</v>
      </c>
      <c r="M10" s="17">
        <v>-4872</v>
      </c>
      <c r="N10" s="17">
        <f t="shared" si="2"/>
        <v>97128</v>
      </c>
      <c r="O10" s="91" t="s">
        <v>43</v>
      </c>
      <c r="P10" s="72"/>
      <c r="Q10" s="91" t="s">
        <v>54</v>
      </c>
      <c r="R10" s="17"/>
      <c r="S10" s="17"/>
      <c r="T10" s="17"/>
      <c r="U10" s="17"/>
      <c r="V10" s="17"/>
      <c r="W10" s="17"/>
    </row>
    <row r="11" spans="1:23" s="20" customFormat="1">
      <c r="A11" s="9">
        <v>44403</v>
      </c>
      <c r="B11" s="91" t="s">
        <v>23</v>
      </c>
      <c r="C11" s="123" t="s">
        <v>5250</v>
      </c>
      <c r="D11" s="92" t="s">
        <v>5251</v>
      </c>
      <c r="E11" s="739" t="s">
        <v>325</v>
      </c>
      <c r="F11" s="739" t="s">
        <v>326</v>
      </c>
      <c r="G11" s="30">
        <v>1</v>
      </c>
      <c r="H11" s="17">
        <v>129000</v>
      </c>
      <c r="I11" s="17">
        <f t="shared" si="0"/>
        <v>129000</v>
      </c>
      <c r="J11" s="17">
        <f>I11*20%</f>
        <v>25800</v>
      </c>
      <c r="K11" s="17">
        <f t="shared" si="1"/>
        <v>103200</v>
      </c>
      <c r="L11" s="17">
        <v>16000</v>
      </c>
      <c r="M11" s="17"/>
      <c r="N11" s="17">
        <f t="shared" si="2"/>
        <v>119200</v>
      </c>
      <c r="O11" s="91" t="s">
        <v>23</v>
      </c>
      <c r="P11" s="183"/>
      <c r="Q11" s="91" t="s">
        <v>40</v>
      </c>
      <c r="R11" s="17"/>
      <c r="S11" s="17"/>
      <c r="T11" s="17"/>
      <c r="U11" s="17"/>
      <c r="V11" s="17"/>
      <c r="W11" s="17"/>
    </row>
    <row r="12" spans="1:23" s="20" customFormat="1" hidden="1">
      <c r="A12" s="9">
        <v>44403</v>
      </c>
      <c r="B12" s="91" t="s">
        <v>43</v>
      </c>
      <c r="C12" s="91" t="s">
        <v>5252</v>
      </c>
      <c r="D12" s="92" t="s">
        <v>5253</v>
      </c>
      <c r="E12" s="739" t="s">
        <v>4577</v>
      </c>
      <c r="F12" s="739" t="s">
        <v>4578</v>
      </c>
      <c r="G12" s="30">
        <v>2</v>
      </c>
      <c r="H12" s="17">
        <v>50000</v>
      </c>
      <c r="I12" s="17">
        <f t="shared" si="0"/>
        <v>100000</v>
      </c>
      <c r="J12" s="17"/>
      <c r="K12" s="17">
        <f t="shared" si="1"/>
        <v>100000</v>
      </c>
      <c r="L12" s="17">
        <v>30000</v>
      </c>
      <c r="M12" s="17">
        <v>-5600</v>
      </c>
      <c r="N12" s="17">
        <f t="shared" si="2"/>
        <v>124400</v>
      </c>
      <c r="O12" s="91" t="s">
        <v>43</v>
      </c>
      <c r="P12" s="72"/>
      <c r="Q12" s="91" t="s">
        <v>176</v>
      </c>
      <c r="R12" s="17"/>
      <c r="S12" s="17"/>
      <c r="T12" s="17"/>
      <c r="U12" s="17"/>
      <c r="V12" s="17"/>
      <c r="W12" s="17"/>
    </row>
    <row r="13" spans="1:23" s="20" customFormat="1" hidden="1">
      <c r="A13" s="9">
        <v>44404</v>
      </c>
      <c r="B13" s="91" t="s">
        <v>43</v>
      </c>
      <c r="C13" s="91" t="s">
        <v>5254</v>
      </c>
      <c r="D13" s="92" t="s">
        <v>5255</v>
      </c>
      <c r="E13" s="739" t="s">
        <v>4302</v>
      </c>
      <c r="F13" s="739" t="s">
        <v>4303</v>
      </c>
      <c r="G13" s="30">
        <v>1</v>
      </c>
      <c r="H13" s="17">
        <v>94000</v>
      </c>
      <c r="I13" s="17">
        <f t="shared" si="0"/>
        <v>94000</v>
      </c>
      <c r="J13" s="17"/>
      <c r="K13" s="17">
        <f t="shared" si="1"/>
        <v>94000</v>
      </c>
      <c r="L13" s="17"/>
      <c r="M13" s="17">
        <v>-5264</v>
      </c>
      <c r="N13" s="17">
        <f t="shared" si="2"/>
        <v>88736</v>
      </c>
      <c r="O13" s="91" t="s">
        <v>43</v>
      </c>
      <c r="P13" s="183"/>
      <c r="Q13" s="91" t="s">
        <v>54</v>
      </c>
      <c r="R13" s="17"/>
      <c r="S13" s="13"/>
      <c r="T13" s="17"/>
      <c r="U13" s="17"/>
      <c r="V13" s="17"/>
      <c r="W13" s="17"/>
    </row>
    <row r="14" spans="1:23" s="20" customFormat="1" hidden="1">
      <c r="A14" s="9">
        <v>44404</v>
      </c>
      <c r="B14" s="91" t="s">
        <v>43</v>
      </c>
      <c r="C14" s="91" t="s">
        <v>3268</v>
      </c>
      <c r="D14" s="92" t="s">
        <v>5256</v>
      </c>
      <c r="E14" s="739" t="s">
        <v>4302</v>
      </c>
      <c r="F14" s="739" t="s">
        <v>4303</v>
      </c>
      <c r="G14" s="30">
        <v>1</v>
      </c>
      <c r="H14" s="17">
        <v>94000</v>
      </c>
      <c r="I14" s="17">
        <f t="shared" si="0"/>
        <v>94000</v>
      </c>
      <c r="J14" s="17"/>
      <c r="K14" s="17">
        <f t="shared" si="1"/>
        <v>94000</v>
      </c>
      <c r="L14" s="17"/>
      <c r="M14" s="17">
        <v>-5264</v>
      </c>
      <c r="N14" s="17">
        <f t="shared" si="2"/>
        <v>88736</v>
      </c>
      <c r="O14" s="91" t="s">
        <v>43</v>
      </c>
      <c r="P14" s="183"/>
      <c r="Q14" s="91" t="s">
        <v>54</v>
      </c>
      <c r="R14" s="17"/>
      <c r="S14" s="13"/>
      <c r="T14" s="17"/>
      <c r="U14" s="17"/>
      <c r="V14" s="17"/>
      <c r="W14" s="17"/>
    </row>
    <row r="15" spans="1:23" s="20" customFormat="1" hidden="1">
      <c r="A15" s="9">
        <v>44404</v>
      </c>
      <c r="B15" s="91" t="s">
        <v>43</v>
      </c>
      <c r="C15" s="123" t="s">
        <v>5257</v>
      </c>
      <c r="D15" s="92" t="s">
        <v>5258</v>
      </c>
      <c r="E15" s="739" t="s">
        <v>4302</v>
      </c>
      <c r="F15" s="739" t="s">
        <v>4303</v>
      </c>
      <c r="G15" s="30">
        <v>1</v>
      </c>
      <c r="H15" s="17">
        <v>94000</v>
      </c>
      <c r="I15" s="17">
        <f t="shared" si="0"/>
        <v>94000</v>
      </c>
      <c r="J15" s="17"/>
      <c r="K15" s="17">
        <f t="shared" si="1"/>
        <v>94000</v>
      </c>
      <c r="L15" s="17"/>
      <c r="M15" s="17">
        <v>-5264</v>
      </c>
      <c r="N15" s="17">
        <f t="shared" si="2"/>
        <v>88736</v>
      </c>
      <c r="O15" s="91" t="s">
        <v>43</v>
      </c>
      <c r="P15" s="183"/>
      <c r="Q15" s="91" t="s">
        <v>54</v>
      </c>
      <c r="R15" s="17"/>
      <c r="S15" s="13"/>
      <c r="T15" s="17"/>
      <c r="U15" s="17"/>
      <c r="V15" s="17"/>
      <c r="W15" s="17"/>
    </row>
    <row r="16" spans="1:23" s="20" customFormat="1" hidden="1">
      <c r="A16" s="9">
        <v>44404</v>
      </c>
      <c r="B16" s="91" t="s">
        <v>170</v>
      </c>
      <c r="C16" s="91" t="s">
        <v>5259</v>
      </c>
      <c r="D16" s="92" t="s">
        <v>5260</v>
      </c>
      <c r="E16" s="739" t="s">
        <v>5261</v>
      </c>
      <c r="F16" s="739" t="s">
        <v>5262</v>
      </c>
      <c r="G16" s="30">
        <v>1</v>
      </c>
      <c r="H16" s="17">
        <v>81000</v>
      </c>
      <c r="I16" s="17">
        <f t="shared" si="0"/>
        <v>81000</v>
      </c>
      <c r="J16" s="17">
        <f>I16*20%</f>
        <v>16200</v>
      </c>
      <c r="K16" s="17">
        <f t="shared" si="1"/>
        <v>64800</v>
      </c>
      <c r="L16" s="17">
        <f>16000-16000</f>
        <v>0</v>
      </c>
      <c r="M16" s="17">
        <v>-324</v>
      </c>
      <c r="N16" s="17">
        <f t="shared" si="2"/>
        <v>64476</v>
      </c>
      <c r="O16" s="91" t="s">
        <v>170</v>
      </c>
      <c r="P16" s="72"/>
      <c r="Q16" s="91" t="s">
        <v>54</v>
      </c>
      <c r="R16" s="17"/>
      <c r="S16" s="17"/>
      <c r="T16" s="17"/>
      <c r="U16" s="17"/>
      <c r="V16" s="17"/>
      <c r="W16" s="17"/>
    </row>
    <row r="17" spans="1:23" s="20" customFormat="1" hidden="1">
      <c r="A17" s="9">
        <v>44404</v>
      </c>
      <c r="B17" s="91" t="s">
        <v>170</v>
      </c>
      <c r="C17" s="91" t="s">
        <v>5263</v>
      </c>
      <c r="D17" s="92" t="s">
        <v>5264</v>
      </c>
      <c r="E17" s="739" t="s">
        <v>1275</v>
      </c>
      <c r="F17" s="739" t="s">
        <v>68</v>
      </c>
      <c r="G17" s="30">
        <v>1</v>
      </c>
      <c r="H17" s="17">
        <v>65000</v>
      </c>
      <c r="I17" s="17">
        <f t="shared" si="0"/>
        <v>65000</v>
      </c>
      <c r="J17" s="17">
        <f>I17*20%</f>
        <v>13000</v>
      </c>
      <c r="K17" s="17">
        <f t="shared" si="1"/>
        <v>52000</v>
      </c>
      <c r="L17" s="17">
        <f>45000-45000</f>
        <v>0</v>
      </c>
      <c r="M17" s="17">
        <v>-260</v>
      </c>
      <c r="N17" s="17">
        <f t="shared" si="2"/>
        <v>51740</v>
      </c>
      <c r="O17" s="91" t="s">
        <v>170</v>
      </c>
      <c r="P17" s="183"/>
      <c r="Q17" s="91" t="s">
        <v>176</v>
      </c>
      <c r="R17" s="17"/>
      <c r="S17" s="17"/>
      <c r="T17" s="17"/>
      <c r="U17" s="17"/>
      <c r="V17" s="17"/>
      <c r="W17" s="17"/>
    </row>
    <row r="18" spans="1:23" s="20" customFormat="1" hidden="1">
      <c r="A18" s="9">
        <v>44404</v>
      </c>
      <c r="B18" s="91" t="s">
        <v>170</v>
      </c>
      <c r="C18" s="123" t="s">
        <v>5265</v>
      </c>
      <c r="D18" s="92" t="s">
        <v>5266</v>
      </c>
      <c r="E18" s="739" t="s">
        <v>1430</v>
      </c>
      <c r="F18" s="739" t="s">
        <v>1431</v>
      </c>
      <c r="G18" s="30">
        <v>1</v>
      </c>
      <c r="H18" s="17">
        <v>73000</v>
      </c>
      <c r="I18" s="17">
        <f t="shared" si="0"/>
        <v>73000</v>
      </c>
      <c r="J18" s="17">
        <f>I18*20%</f>
        <v>14600</v>
      </c>
      <c r="K18" s="17">
        <f t="shared" si="1"/>
        <v>58400</v>
      </c>
      <c r="L18" s="17">
        <f>18000-18000</f>
        <v>0</v>
      </c>
      <c r="M18" s="17">
        <v>-292</v>
      </c>
      <c r="N18" s="17">
        <f t="shared" si="2"/>
        <v>58108</v>
      </c>
      <c r="O18" s="91" t="s">
        <v>170</v>
      </c>
      <c r="P18" s="183"/>
      <c r="Q18" s="91" t="s">
        <v>176</v>
      </c>
      <c r="R18" s="17"/>
      <c r="S18" s="17"/>
      <c r="T18" s="17"/>
      <c r="U18" s="17"/>
      <c r="V18" s="17"/>
      <c r="W18" s="17"/>
    </row>
    <row r="19" spans="1:23" s="20" customFormat="1" hidden="1">
      <c r="A19" s="9">
        <v>44404</v>
      </c>
      <c r="B19" s="91" t="s">
        <v>170</v>
      </c>
      <c r="C19" s="123" t="s">
        <v>5267</v>
      </c>
      <c r="D19" s="92" t="s">
        <v>5268</v>
      </c>
      <c r="E19" s="739" t="s">
        <v>5269</v>
      </c>
      <c r="F19" s="739" t="s">
        <v>5270</v>
      </c>
      <c r="G19" s="30">
        <v>1</v>
      </c>
      <c r="H19" s="17">
        <v>142000</v>
      </c>
      <c r="I19" s="17">
        <f t="shared" si="0"/>
        <v>142000</v>
      </c>
      <c r="J19" s="17"/>
      <c r="K19" s="17">
        <f t="shared" si="1"/>
        <v>142000</v>
      </c>
      <c r="L19" s="17">
        <f>50000-50000</f>
        <v>0</v>
      </c>
      <c r="M19" s="17">
        <v>-710</v>
      </c>
      <c r="N19" s="17">
        <f t="shared" si="2"/>
        <v>141290</v>
      </c>
      <c r="O19" s="91" t="s">
        <v>170</v>
      </c>
      <c r="P19" s="183"/>
      <c r="Q19" s="91" t="s">
        <v>54</v>
      </c>
      <c r="R19" s="17"/>
      <c r="S19" s="17"/>
      <c r="T19" s="17"/>
      <c r="U19" s="17"/>
      <c r="V19" s="17"/>
      <c r="W19" s="17"/>
    </row>
    <row r="20" spans="1:23" s="20" customFormat="1" hidden="1">
      <c r="A20" s="9">
        <v>44404</v>
      </c>
      <c r="B20" s="91" t="s">
        <v>170</v>
      </c>
      <c r="C20" s="91" t="s">
        <v>5271</v>
      </c>
      <c r="D20" s="92" t="s">
        <v>5272</v>
      </c>
      <c r="E20" s="754" t="s">
        <v>5273</v>
      </c>
      <c r="F20" s="754" t="s">
        <v>5274</v>
      </c>
      <c r="G20" s="30">
        <v>1</v>
      </c>
      <c r="H20" s="17">
        <v>244000</v>
      </c>
      <c r="I20" s="17">
        <f t="shared" si="0"/>
        <v>244000</v>
      </c>
      <c r="J20" s="20">
        <v>40000</v>
      </c>
      <c r="K20" s="17">
        <f t="shared" si="1"/>
        <v>204000</v>
      </c>
      <c r="L20" s="17">
        <f>73000-73000</f>
        <v>0</v>
      </c>
      <c r="M20" s="17"/>
      <c r="N20" s="17">
        <f t="shared" si="2"/>
        <v>204000</v>
      </c>
      <c r="O20" s="91" t="s">
        <v>170</v>
      </c>
      <c r="P20" s="183"/>
      <c r="Q20" s="91" t="s">
        <v>176</v>
      </c>
      <c r="R20" s="17"/>
      <c r="S20" s="17"/>
      <c r="T20" s="17"/>
      <c r="U20" s="17"/>
      <c r="V20" s="17"/>
      <c r="W20" s="17"/>
    </row>
    <row r="21" spans="1:23" s="20" customFormat="1" hidden="1">
      <c r="A21" s="9">
        <v>44404</v>
      </c>
      <c r="B21" s="91" t="s">
        <v>170</v>
      </c>
      <c r="C21" s="91" t="s">
        <v>5271</v>
      </c>
      <c r="D21" s="92" t="s">
        <v>5275</v>
      </c>
      <c r="E21" s="754" t="s">
        <v>1098</v>
      </c>
      <c r="F21" s="754" t="s">
        <v>1099</v>
      </c>
      <c r="G21" s="30">
        <v>1</v>
      </c>
      <c r="H21" s="17">
        <v>158000</v>
      </c>
      <c r="I21" s="17">
        <f t="shared" si="0"/>
        <v>158000</v>
      </c>
      <c r="K21" s="17">
        <f t="shared" si="1"/>
        <v>158000</v>
      </c>
      <c r="L21" s="17"/>
      <c r="M21" s="17"/>
      <c r="N21" s="17">
        <f t="shared" si="2"/>
        <v>158000</v>
      </c>
      <c r="O21" s="91" t="s">
        <v>170</v>
      </c>
      <c r="P21" s="183"/>
      <c r="Q21" s="91" t="s">
        <v>176</v>
      </c>
      <c r="R21" s="17"/>
      <c r="S21" s="17"/>
      <c r="T21" s="17"/>
      <c r="U21" s="17"/>
      <c r="V21" s="17"/>
      <c r="W21" s="17"/>
    </row>
    <row r="22" spans="1:23" s="20" customFormat="1">
      <c r="A22" s="9">
        <v>44404</v>
      </c>
      <c r="B22" s="91" t="s">
        <v>23</v>
      </c>
      <c r="C22" s="123" t="s">
        <v>5276</v>
      </c>
      <c r="D22" s="92" t="s">
        <v>5277</v>
      </c>
      <c r="E22" s="739" t="s">
        <v>4786</v>
      </c>
      <c r="F22" s="739" t="s">
        <v>5278</v>
      </c>
      <c r="G22" s="30">
        <v>2</v>
      </c>
      <c r="H22" s="17">
        <v>39500</v>
      </c>
      <c r="I22" s="17">
        <f t="shared" si="0"/>
        <v>79000</v>
      </c>
      <c r="K22" s="17">
        <f t="shared" si="1"/>
        <v>79000</v>
      </c>
      <c r="L22" s="17">
        <v>7000</v>
      </c>
      <c r="M22" s="17"/>
      <c r="N22" s="17">
        <f t="shared" si="2"/>
        <v>86000</v>
      </c>
      <c r="O22" s="91" t="s">
        <v>23</v>
      </c>
      <c r="P22" s="183"/>
      <c r="Q22" s="91" t="s">
        <v>54</v>
      </c>
      <c r="R22" s="17"/>
      <c r="S22" s="17"/>
      <c r="T22" s="17"/>
      <c r="U22" s="17"/>
      <c r="V22" s="17"/>
      <c r="W22" s="17"/>
    </row>
    <row r="23" spans="1:23" s="20" customFormat="1">
      <c r="A23" s="9">
        <v>44404</v>
      </c>
      <c r="B23" s="91" t="s">
        <v>23</v>
      </c>
      <c r="C23" s="123" t="s">
        <v>5279</v>
      </c>
      <c r="D23" s="92" t="s">
        <v>5280</v>
      </c>
      <c r="E23" s="739" t="s">
        <v>5281</v>
      </c>
      <c r="F23" s="739" t="s">
        <v>5282</v>
      </c>
      <c r="G23" s="30">
        <v>1</v>
      </c>
      <c r="H23" s="17">
        <v>106000</v>
      </c>
      <c r="I23" s="17">
        <f t="shared" si="0"/>
        <v>106000</v>
      </c>
      <c r="K23" s="17">
        <f t="shared" si="1"/>
        <v>106000</v>
      </c>
      <c r="L23" s="17">
        <v>22000</v>
      </c>
      <c r="M23" s="17"/>
      <c r="N23" s="17">
        <f t="shared" si="2"/>
        <v>128000</v>
      </c>
      <c r="O23" s="91" t="s">
        <v>23</v>
      </c>
      <c r="P23" s="183"/>
      <c r="Q23" s="91" t="s">
        <v>40</v>
      </c>
      <c r="R23" s="17"/>
      <c r="S23" s="17"/>
      <c r="T23" s="17"/>
      <c r="U23" s="17"/>
      <c r="V23" s="17"/>
      <c r="W23" s="17"/>
    </row>
    <row r="24" spans="1:23" s="20" customFormat="1" hidden="1">
      <c r="A24" s="9">
        <v>44404</v>
      </c>
      <c r="B24" s="91" t="s">
        <v>313</v>
      </c>
      <c r="C24" s="123" t="s">
        <v>5283</v>
      </c>
      <c r="D24" s="29" t="s">
        <v>5284</v>
      </c>
      <c r="E24" s="767" t="s">
        <v>5285</v>
      </c>
      <c r="F24" s="767" t="s">
        <v>5286</v>
      </c>
      <c r="G24" s="30">
        <v>1</v>
      </c>
      <c r="H24" s="17">
        <v>88000</v>
      </c>
      <c r="I24" s="17">
        <f t="shared" si="0"/>
        <v>88000</v>
      </c>
      <c r="K24" s="17">
        <f t="shared" si="1"/>
        <v>88000</v>
      </c>
      <c r="L24" s="17">
        <v>8045</v>
      </c>
      <c r="M24" s="17"/>
      <c r="N24" s="17">
        <f t="shared" si="2"/>
        <v>96045</v>
      </c>
      <c r="O24" s="91" t="s">
        <v>313</v>
      </c>
      <c r="P24" s="183"/>
      <c r="Q24" s="91" t="s">
        <v>28</v>
      </c>
      <c r="R24" s="17"/>
      <c r="S24" s="17"/>
      <c r="T24" s="17"/>
      <c r="U24" s="17"/>
      <c r="V24" s="17"/>
      <c r="W24" s="17"/>
    </row>
    <row r="25" spans="1:23" s="20" customFormat="1" hidden="1">
      <c r="A25" s="9">
        <v>44404</v>
      </c>
      <c r="B25" s="91" t="s">
        <v>313</v>
      </c>
      <c r="C25" s="123" t="s">
        <v>5283</v>
      </c>
      <c r="D25" s="29" t="s">
        <v>5287</v>
      </c>
      <c r="E25" s="767" t="s">
        <v>5288</v>
      </c>
      <c r="F25" s="767" t="s">
        <v>2856</v>
      </c>
      <c r="G25" s="30">
        <v>1</v>
      </c>
      <c r="H25" s="17">
        <v>246000</v>
      </c>
      <c r="I25" s="17">
        <f t="shared" si="0"/>
        <v>246000</v>
      </c>
      <c r="K25" s="17">
        <f t="shared" si="1"/>
        <v>246000</v>
      </c>
      <c r="L25" s="17"/>
      <c r="M25" s="17"/>
      <c r="N25" s="17">
        <f t="shared" si="2"/>
        <v>246000</v>
      </c>
      <c r="O25" s="91" t="s">
        <v>313</v>
      </c>
      <c r="P25" s="183"/>
      <c r="Q25" s="91" t="s">
        <v>28</v>
      </c>
      <c r="R25" s="17"/>
      <c r="S25" s="17"/>
      <c r="T25" s="17"/>
      <c r="U25" s="17"/>
      <c r="V25" s="17"/>
      <c r="W25" s="17"/>
    </row>
    <row r="26" spans="1:23" s="20" customFormat="1" hidden="1">
      <c r="A26" s="9">
        <v>44404</v>
      </c>
      <c r="B26" s="91" t="s">
        <v>313</v>
      </c>
      <c r="C26" s="123" t="s">
        <v>5283</v>
      </c>
      <c r="D26" s="29" t="s">
        <v>5289</v>
      </c>
      <c r="E26" s="767" t="s">
        <v>201</v>
      </c>
      <c r="F26" s="767" t="s">
        <v>202</v>
      </c>
      <c r="G26" s="30">
        <v>1</v>
      </c>
      <c r="H26" s="17">
        <v>131000</v>
      </c>
      <c r="I26" s="17">
        <f t="shared" si="0"/>
        <v>131000</v>
      </c>
      <c r="K26" s="17">
        <f t="shared" si="1"/>
        <v>131000</v>
      </c>
      <c r="L26" s="17"/>
      <c r="M26" s="17"/>
      <c r="N26" s="17">
        <f t="shared" si="2"/>
        <v>131000</v>
      </c>
      <c r="O26" s="91" t="s">
        <v>313</v>
      </c>
      <c r="P26" s="183"/>
      <c r="Q26" s="91" t="s">
        <v>28</v>
      </c>
      <c r="R26" s="17"/>
      <c r="S26" s="17"/>
      <c r="T26" s="17"/>
      <c r="U26" s="17"/>
      <c r="V26" s="17"/>
      <c r="W26" s="17"/>
    </row>
    <row r="27" spans="1:23" s="20" customFormat="1">
      <c r="A27" s="9">
        <v>44404</v>
      </c>
      <c r="B27" s="91" t="s">
        <v>23</v>
      </c>
      <c r="C27" s="123" t="s">
        <v>5290</v>
      </c>
      <c r="D27" s="29" t="s">
        <v>5291</v>
      </c>
      <c r="E27" s="739" t="s">
        <v>5292</v>
      </c>
      <c r="F27" s="739" t="s">
        <v>5293</v>
      </c>
      <c r="G27" s="30">
        <v>1</v>
      </c>
      <c r="H27" s="17">
        <v>86000</v>
      </c>
      <c r="I27" s="17">
        <f t="shared" si="0"/>
        <v>86000</v>
      </c>
      <c r="K27" s="17">
        <f t="shared" si="1"/>
        <v>86000</v>
      </c>
      <c r="L27" s="17">
        <v>10000</v>
      </c>
      <c r="M27" s="17"/>
      <c r="N27" s="17">
        <f t="shared" si="2"/>
        <v>96000</v>
      </c>
      <c r="O27" s="91" t="s">
        <v>23</v>
      </c>
      <c r="P27" s="183"/>
      <c r="Q27" s="91" t="s">
        <v>40</v>
      </c>
      <c r="R27" s="17"/>
      <c r="S27" s="17"/>
      <c r="T27" s="17"/>
      <c r="U27" s="17"/>
      <c r="V27" s="17"/>
      <c r="W27" s="17"/>
    </row>
    <row r="28" spans="1:23" s="20" customFormat="1">
      <c r="A28" s="9">
        <v>44404</v>
      </c>
      <c r="B28" s="91" t="s">
        <v>23</v>
      </c>
      <c r="C28" s="123" t="s">
        <v>5294</v>
      </c>
      <c r="D28" s="92" t="s">
        <v>5295</v>
      </c>
      <c r="E28" s="748" t="s">
        <v>4109</v>
      </c>
      <c r="F28" s="748" t="s">
        <v>4110</v>
      </c>
      <c r="G28" s="30">
        <v>2</v>
      </c>
      <c r="H28" s="17">
        <v>78000</v>
      </c>
      <c r="I28" s="17">
        <f t="shared" si="0"/>
        <v>156000</v>
      </c>
      <c r="J28" s="20">
        <f>I28*20%</f>
        <v>31200</v>
      </c>
      <c r="K28" s="17">
        <f t="shared" si="1"/>
        <v>124800</v>
      </c>
      <c r="L28" s="17">
        <v>74000</v>
      </c>
      <c r="M28" s="17"/>
      <c r="N28" s="17">
        <f t="shared" si="2"/>
        <v>198800</v>
      </c>
      <c r="O28" s="91" t="s">
        <v>23</v>
      </c>
      <c r="P28" s="282"/>
      <c r="Q28" s="91" t="s">
        <v>54</v>
      </c>
      <c r="R28" s="17"/>
      <c r="S28" s="17"/>
      <c r="T28" s="17"/>
      <c r="U28" s="17"/>
      <c r="V28" s="17"/>
      <c r="W28" s="17"/>
    </row>
    <row r="29" spans="1:23" s="20" customFormat="1">
      <c r="A29" s="9">
        <v>44404</v>
      </c>
      <c r="B29" s="91" t="s">
        <v>23</v>
      </c>
      <c r="C29" s="123" t="s">
        <v>5294</v>
      </c>
      <c r="D29" s="92" t="s">
        <v>5295</v>
      </c>
      <c r="E29" s="748" t="s">
        <v>2312</v>
      </c>
      <c r="F29" s="748" t="s">
        <v>2313</v>
      </c>
      <c r="G29" s="30">
        <v>2</v>
      </c>
      <c r="H29" s="17">
        <v>86000</v>
      </c>
      <c r="I29" s="17">
        <f t="shared" si="0"/>
        <v>172000</v>
      </c>
      <c r="J29" s="20">
        <f t="shared" ref="J29:J30" si="3">I29*20%</f>
        <v>34400</v>
      </c>
      <c r="K29" s="17">
        <f t="shared" si="1"/>
        <v>137600</v>
      </c>
      <c r="L29" s="17"/>
      <c r="M29" s="17"/>
      <c r="N29" s="17">
        <f t="shared" si="2"/>
        <v>137600</v>
      </c>
      <c r="O29" s="91" t="s">
        <v>23</v>
      </c>
      <c r="P29" s="72"/>
      <c r="Q29" s="91" t="s">
        <v>54</v>
      </c>
      <c r="R29" s="17"/>
      <c r="S29" s="17"/>
      <c r="T29" s="17"/>
      <c r="U29" s="17"/>
      <c r="V29" s="17"/>
      <c r="W29" s="17"/>
    </row>
    <row r="30" spans="1:23" s="20" customFormat="1">
      <c r="A30" s="9">
        <v>44404</v>
      </c>
      <c r="B30" s="91" t="s">
        <v>23</v>
      </c>
      <c r="C30" s="123" t="s">
        <v>5294</v>
      </c>
      <c r="D30" s="92" t="s">
        <v>5295</v>
      </c>
      <c r="E30" s="748" t="s">
        <v>5296</v>
      </c>
      <c r="F30" s="748" t="s">
        <v>5297</v>
      </c>
      <c r="G30" s="684">
        <v>1</v>
      </c>
      <c r="H30" s="17">
        <v>72500</v>
      </c>
      <c r="I30" s="17">
        <f t="shared" si="0"/>
        <v>72500</v>
      </c>
      <c r="J30" s="20">
        <f t="shared" si="3"/>
        <v>14500</v>
      </c>
      <c r="K30" s="17">
        <f t="shared" si="1"/>
        <v>58000</v>
      </c>
      <c r="L30" s="17"/>
      <c r="M30" s="17"/>
      <c r="N30" s="17">
        <f t="shared" si="2"/>
        <v>58000</v>
      </c>
      <c r="O30" s="91" t="s">
        <v>23</v>
      </c>
      <c r="P30" s="72"/>
      <c r="Q30" s="91" t="s">
        <v>54</v>
      </c>
      <c r="R30" s="17"/>
      <c r="S30" s="17"/>
      <c r="T30" s="17"/>
      <c r="U30" s="17"/>
      <c r="V30" s="17"/>
      <c r="W30" s="17"/>
    </row>
    <row r="31" spans="1:23" s="20" customFormat="1">
      <c r="A31" s="9">
        <v>44404</v>
      </c>
      <c r="B31" s="91" t="s">
        <v>23</v>
      </c>
      <c r="C31" s="123" t="s">
        <v>5298</v>
      </c>
      <c r="D31" s="92" t="s">
        <v>5299</v>
      </c>
      <c r="E31" s="739" t="s">
        <v>5300</v>
      </c>
      <c r="F31" s="739" t="s">
        <v>5301</v>
      </c>
      <c r="G31" s="30">
        <v>1</v>
      </c>
      <c r="H31" s="17">
        <v>81500</v>
      </c>
      <c r="I31" s="17">
        <f t="shared" si="0"/>
        <v>81500</v>
      </c>
      <c r="K31" s="17">
        <f t="shared" si="1"/>
        <v>81500</v>
      </c>
      <c r="L31" s="17">
        <v>21000</v>
      </c>
      <c r="M31" s="17"/>
      <c r="N31" s="17">
        <f t="shared" si="2"/>
        <v>102500</v>
      </c>
      <c r="O31" s="91" t="s">
        <v>23</v>
      </c>
      <c r="P31" s="183"/>
      <c r="Q31" s="91" t="s">
        <v>54</v>
      </c>
      <c r="R31" s="17"/>
      <c r="S31" s="17"/>
      <c r="T31" s="17"/>
      <c r="U31" s="17"/>
      <c r="V31" s="17"/>
      <c r="W31" s="17"/>
    </row>
    <row r="32" spans="1:23" s="20" customFormat="1" hidden="1">
      <c r="A32" s="9">
        <v>44405</v>
      </c>
      <c r="B32" s="91" t="s">
        <v>43</v>
      </c>
      <c r="C32" s="91" t="s">
        <v>5231</v>
      </c>
      <c r="D32" s="92" t="s">
        <v>5232</v>
      </c>
      <c r="E32" s="739" t="s">
        <v>4302</v>
      </c>
      <c r="F32" s="739" t="s">
        <v>4303</v>
      </c>
      <c r="G32" s="645">
        <v>1</v>
      </c>
      <c r="H32" s="17">
        <v>94000</v>
      </c>
      <c r="I32" s="17">
        <f t="shared" si="0"/>
        <v>94000</v>
      </c>
      <c r="K32" s="17">
        <f t="shared" si="1"/>
        <v>94000</v>
      </c>
      <c r="L32" s="17"/>
      <c r="M32" s="17">
        <v>-5264</v>
      </c>
      <c r="N32" s="17">
        <f t="shared" si="2"/>
        <v>88736</v>
      </c>
      <c r="O32" s="91" t="s">
        <v>43</v>
      </c>
      <c r="P32" s="72"/>
      <c r="Q32" s="91" t="s">
        <v>176</v>
      </c>
      <c r="R32" s="17"/>
      <c r="S32" s="17"/>
      <c r="T32" s="17"/>
      <c r="U32" s="17"/>
      <c r="V32" s="17"/>
      <c r="W32" s="17"/>
    </row>
    <row r="33" spans="1:23" s="20" customFormat="1" hidden="1">
      <c r="A33" s="9">
        <v>44405</v>
      </c>
      <c r="B33" s="91" t="s">
        <v>170</v>
      </c>
      <c r="C33" s="91" t="s">
        <v>5302</v>
      </c>
      <c r="D33" s="92" t="s">
        <v>5303</v>
      </c>
      <c r="E33" s="739" t="s">
        <v>1753</v>
      </c>
      <c r="F33" s="739" t="s">
        <v>1754</v>
      </c>
      <c r="G33" s="30">
        <v>1</v>
      </c>
      <c r="H33" s="17">
        <v>86000</v>
      </c>
      <c r="I33" s="17">
        <f t="shared" si="0"/>
        <v>86000</v>
      </c>
      <c r="J33" s="17"/>
      <c r="K33" s="17">
        <f t="shared" si="1"/>
        <v>86000</v>
      </c>
      <c r="L33" s="17">
        <f>20000-20000</f>
        <v>0</v>
      </c>
      <c r="M33" s="17"/>
      <c r="N33" s="17">
        <f t="shared" si="2"/>
        <v>86000</v>
      </c>
      <c r="O33" s="91" t="s">
        <v>170</v>
      </c>
      <c r="P33" s="282"/>
      <c r="Q33" s="91" t="s">
        <v>54</v>
      </c>
      <c r="R33" s="17"/>
      <c r="S33" s="17"/>
      <c r="T33" s="17"/>
      <c r="U33" s="17"/>
      <c r="V33" s="17"/>
      <c r="W33" s="17"/>
    </row>
    <row r="34" spans="1:23" s="20" customFormat="1" hidden="1">
      <c r="A34" s="9">
        <v>44405</v>
      </c>
      <c r="B34" s="91" t="s">
        <v>177</v>
      </c>
      <c r="C34" s="196">
        <v>85267237174</v>
      </c>
      <c r="D34" s="92" t="s">
        <v>4781</v>
      </c>
      <c r="E34" s="744" t="s">
        <v>5304</v>
      </c>
      <c r="F34" s="744" t="s">
        <v>5305</v>
      </c>
      <c r="G34" s="30">
        <v>1</v>
      </c>
      <c r="H34" s="17">
        <v>103000</v>
      </c>
      <c r="I34" s="17">
        <f t="shared" si="0"/>
        <v>103000</v>
      </c>
      <c r="J34" s="17"/>
      <c r="K34" s="17">
        <f t="shared" si="1"/>
        <v>103000</v>
      </c>
      <c r="L34" s="17">
        <v>16000</v>
      </c>
      <c r="M34" s="17"/>
      <c r="N34" s="17">
        <f t="shared" si="2"/>
        <v>119000</v>
      </c>
      <c r="O34" s="91" t="s">
        <v>177</v>
      </c>
      <c r="P34" s="183"/>
      <c r="Q34" s="91" t="s">
        <v>54</v>
      </c>
      <c r="R34" s="17"/>
      <c r="S34" s="17"/>
      <c r="T34" s="17"/>
      <c r="U34" s="17"/>
      <c r="V34" s="17"/>
      <c r="W34" s="17"/>
    </row>
    <row r="35" spans="1:23" s="20" customFormat="1" hidden="1">
      <c r="A35" s="9">
        <v>44405</v>
      </c>
      <c r="B35" s="91" t="s">
        <v>177</v>
      </c>
      <c r="C35" s="196">
        <v>85267237174</v>
      </c>
      <c r="D35" s="92" t="s">
        <v>4781</v>
      </c>
      <c r="E35" s="744" t="s">
        <v>3495</v>
      </c>
      <c r="F35" s="744" t="s">
        <v>3496</v>
      </c>
      <c r="G35" s="30">
        <v>1</v>
      </c>
      <c r="H35" s="17">
        <v>90000</v>
      </c>
      <c r="I35" s="17">
        <f t="shared" si="0"/>
        <v>90000</v>
      </c>
      <c r="J35" s="17"/>
      <c r="K35" s="17">
        <f t="shared" si="1"/>
        <v>90000</v>
      </c>
      <c r="L35" s="17"/>
      <c r="M35" s="17"/>
      <c r="N35" s="17">
        <f t="shared" si="2"/>
        <v>90000</v>
      </c>
      <c r="O35" s="91" t="s">
        <v>177</v>
      </c>
      <c r="P35" s="183"/>
      <c r="Q35" s="91" t="s">
        <v>54</v>
      </c>
      <c r="R35" s="17"/>
      <c r="S35" s="17"/>
      <c r="T35" s="17"/>
      <c r="U35" s="17"/>
      <c r="V35" s="17"/>
      <c r="W35" s="17"/>
    </row>
    <row r="36" spans="1:23" s="20" customFormat="1">
      <c r="A36" s="9">
        <v>44405</v>
      </c>
      <c r="B36" s="91" t="s">
        <v>23</v>
      </c>
      <c r="C36" s="123" t="s">
        <v>5306</v>
      </c>
      <c r="D36" s="29" t="s">
        <v>5307</v>
      </c>
      <c r="E36" s="739" t="s">
        <v>5308</v>
      </c>
      <c r="F36" s="739" t="s">
        <v>5309</v>
      </c>
      <c r="G36" s="30">
        <v>1</v>
      </c>
      <c r="H36" s="17">
        <v>69000</v>
      </c>
      <c r="I36" s="17">
        <f t="shared" si="0"/>
        <v>69000</v>
      </c>
      <c r="J36" s="17"/>
      <c r="K36" s="17">
        <f t="shared" si="1"/>
        <v>69000</v>
      </c>
      <c r="L36" s="17">
        <v>17000</v>
      </c>
      <c r="M36" s="17"/>
      <c r="N36" s="17">
        <f t="shared" si="2"/>
        <v>86000</v>
      </c>
      <c r="O36" s="91" t="s">
        <v>23</v>
      </c>
      <c r="P36" s="72"/>
      <c r="Q36" s="91" t="s">
        <v>54</v>
      </c>
      <c r="R36" s="17"/>
      <c r="S36" s="17"/>
      <c r="T36" s="17"/>
      <c r="U36" s="17"/>
      <c r="V36" s="17"/>
      <c r="W36" s="17"/>
    </row>
    <row r="37" spans="1:23" s="20" customFormat="1">
      <c r="A37" s="9">
        <v>44405</v>
      </c>
      <c r="B37" s="91" t="s">
        <v>23</v>
      </c>
      <c r="C37" s="123" t="s">
        <v>5310</v>
      </c>
      <c r="D37" s="29" t="s">
        <v>5311</v>
      </c>
      <c r="E37" s="739" t="s">
        <v>5312</v>
      </c>
      <c r="F37" s="739" t="s">
        <v>5313</v>
      </c>
      <c r="G37" s="30">
        <v>10</v>
      </c>
      <c r="H37" s="17">
        <v>68500</v>
      </c>
      <c r="I37" s="17">
        <f t="shared" si="0"/>
        <v>685000</v>
      </c>
      <c r="J37" s="17">
        <f>I37*20%</f>
        <v>137000</v>
      </c>
      <c r="K37" s="17">
        <f t="shared" si="1"/>
        <v>548000</v>
      </c>
      <c r="L37" s="17">
        <v>80000</v>
      </c>
      <c r="M37" s="17"/>
      <c r="N37" s="17">
        <f t="shared" si="2"/>
        <v>628000</v>
      </c>
      <c r="O37" s="91" t="s">
        <v>23</v>
      </c>
      <c r="P37" s="282"/>
      <c r="Q37" s="91" t="s">
        <v>40</v>
      </c>
      <c r="R37" s="17"/>
      <c r="S37" s="17"/>
      <c r="T37" s="17"/>
      <c r="U37" s="17"/>
      <c r="V37" s="17"/>
      <c r="W37" s="17"/>
    </row>
    <row r="38" spans="1:23" s="20" customFormat="1">
      <c r="A38" s="9">
        <v>44405</v>
      </c>
      <c r="B38" s="91" t="s">
        <v>23</v>
      </c>
      <c r="C38" s="123" t="s">
        <v>5314</v>
      </c>
      <c r="D38" s="29" t="s">
        <v>5315</v>
      </c>
      <c r="E38" s="739" t="s">
        <v>5316</v>
      </c>
      <c r="F38" s="739" t="s">
        <v>5317</v>
      </c>
      <c r="G38" s="30">
        <v>1</v>
      </c>
      <c r="H38" s="17">
        <v>61500</v>
      </c>
      <c r="I38" s="17">
        <f t="shared" si="0"/>
        <v>61500</v>
      </c>
      <c r="J38" s="17"/>
      <c r="K38" s="17">
        <f t="shared" si="1"/>
        <v>61500</v>
      </c>
      <c r="L38" s="17">
        <v>24000</v>
      </c>
      <c r="M38" s="17"/>
      <c r="N38" s="17">
        <f t="shared" si="2"/>
        <v>85500</v>
      </c>
      <c r="O38" s="91" t="s">
        <v>23</v>
      </c>
      <c r="P38" s="72"/>
      <c r="Q38" s="10" t="s">
        <v>40</v>
      </c>
      <c r="R38" s="17"/>
      <c r="S38" s="17"/>
      <c r="T38" s="17"/>
      <c r="U38" s="17"/>
      <c r="V38" s="17"/>
      <c r="W38" s="17"/>
    </row>
    <row r="39" spans="1:23" s="20" customFormat="1" ht="57.6">
      <c r="A39" s="9">
        <v>44405</v>
      </c>
      <c r="B39" s="91" t="s">
        <v>23</v>
      </c>
      <c r="C39" s="91" t="s">
        <v>5318</v>
      </c>
      <c r="D39" s="770" t="s">
        <v>9431</v>
      </c>
      <c r="E39" s="739" t="s">
        <v>5319</v>
      </c>
      <c r="F39" s="739" t="s">
        <v>5320</v>
      </c>
      <c r="G39" s="30">
        <v>1</v>
      </c>
      <c r="H39" s="17">
        <v>117000</v>
      </c>
      <c r="I39" s="17">
        <f t="shared" si="0"/>
        <v>117000</v>
      </c>
      <c r="J39" s="17"/>
      <c r="K39" s="17">
        <f t="shared" si="1"/>
        <v>117000</v>
      </c>
      <c r="L39" s="17">
        <v>5000</v>
      </c>
      <c r="M39" s="17"/>
      <c r="N39" s="17">
        <f t="shared" si="2"/>
        <v>122000</v>
      </c>
      <c r="O39" s="91" t="s">
        <v>23</v>
      </c>
      <c r="P39" s="72"/>
      <c r="Q39" s="91" t="s">
        <v>28</v>
      </c>
      <c r="R39" s="17"/>
      <c r="S39" s="17"/>
      <c r="T39" s="17"/>
      <c r="U39" s="17"/>
      <c r="V39" s="17"/>
      <c r="W39" s="17"/>
    </row>
    <row r="40" spans="1:23" s="20" customFormat="1">
      <c r="A40" s="9">
        <v>44405</v>
      </c>
      <c r="B40" s="91" t="s">
        <v>23</v>
      </c>
      <c r="C40" s="123" t="s">
        <v>5321</v>
      </c>
      <c r="D40" s="29" t="s">
        <v>5322</v>
      </c>
      <c r="E40" s="739" t="s">
        <v>5323</v>
      </c>
      <c r="F40" s="739" t="s">
        <v>5324</v>
      </c>
      <c r="G40" s="30">
        <v>1</v>
      </c>
      <c r="H40" s="17">
        <v>157000</v>
      </c>
      <c r="I40" s="17">
        <f t="shared" si="0"/>
        <v>157000</v>
      </c>
      <c r="K40" s="17">
        <f t="shared" si="1"/>
        <v>157000</v>
      </c>
      <c r="L40" s="17">
        <v>24000</v>
      </c>
      <c r="M40" s="17"/>
      <c r="N40" s="17">
        <f t="shared" si="2"/>
        <v>181000</v>
      </c>
      <c r="O40" s="91" t="s">
        <v>23</v>
      </c>
      <c r="P40" s="72"/>
      <c r="Q40" s="91" t="s">
        <v>40</v>
      </c>
      <c r="R40" s="17"/>
      <c r="S40" s="17"/>
      <c r="T40" s="17"/>
      <c r="U40" s="17"/>
      <c r="V40" s="17"/>
      <c r="W40" s="17"/>
    </row>
    <row r="41" spans="1:23" s="20" customFormat="1" hidden="1">
      <c r="A41" s="9">
        <v>44406</v>
      </c>
      <c r="B41" s="91" t="s">
        <v>43</v>
      </c>
      <c r="C41" s="123" t="s">
        <v>5325</v>
      </c>
      <c r="D41" s="29" t="s">
        <v>5326</v>
      </c>
      <c r="E41" s="739" t="s">
        <v>1351</v>
      </c>
      <c r="F41" s="739" t="s">
        <v>1352</v>
      </c>
      <c r="G41" s="30">
        <v>1</v>
      </c>
      <c r="H41" s="17">
        <v>41000</v>
      </c>
      <c r="I41" s="17">
        <f t="shared" si="0"/>
        <v>41000</v>
      </c>
      <c r="K41" s="17">
        <f t="shared" si="1"/>
        <v>41000</v>
      </c>
      <c r="L41" s="17"/>
      <c r="M41" s="17">
        <v>-2296</v>
      </c>
      <c r="N41" s="17">
        <f t="shared" si="2"/>
        <v>38704</v>
      </c>
      <c r="O41" s="91" t="s">
        <v>23</v>
      </c>
      <c r="P41" s="72"/>
      <c r="Q41" s="91" t="s">
        <v>54</v>
      </c>
      <c r="R41" s="17"/>
      <c r="S41" s="17"/>
      <c r="T41" s="17"/>
      <c r="U41" s="17"/>
      <c r="V41" s="17"/>
      <c r="W41" s="17"/>
    </row>
    <row r="42" spans="1:23" s="20" customFormat="1" hidden="1">
      <c r="A42" s="9">
        <v>44406</v>
      </c>
      <c r="B42" s="91" t="s">
        <v>43</v>
      </c>
      <c r="C42" s="123" t="s">
        <v>5327</v>
      </c>
      <c r="D42" s="29" t="s">
        <v>5328</v>
      </c>
      <c r="E42" s="739" t="s">
        <v>5329</v>
      </c>
      <c r="F42" s="739" t="s">
        <v>5330</v>
      </c>
      <c r="G42" s="30">
        <v>1</v>
      </c>
      <c r="H42" s="17">
        <v>119000</v>
      </c>
      <c r="I42" s="17">
        <f t="shared" si="0"/>
        <v>119000</v>
      </c>
      <c r="K42" s="17">
        <f t="shared" si="1"/>
        <v>119000</v>
      </c>
      <c r="L42" s="17"/>
      <c r="M42" s="17">
        <v>-6664</v>
      </c>
      <c r="N42" s="17">
        <f t="shared" si="2"/>
        <v>112336</v>
      </c>
      <c r="O42" s="91" t="s">
        <v>43</v>
      </c>
      <c r="P42" s="72"/>
      <c r="Q42" s="91" t="s">
        <v>54</v>
      </c>
      <c r="R42" s="17"/>
      <c r="S42" s="17"/>
      <c r="T42" s="17"/>
      <c r="U42" s="17"/>
      <c r="V42" s="17"/>
      <c r="W42" s="17"/>
    </row>
    <row r="43" spans="1:23" s="20" customFormat="1" hidden="1">
      <c r="A43" s="9">
        <v>44406</v>
      </c>
      <c r="B43" s="91" t="s">
        <v>206</v>
      </c>
      <c r="C43" s="123" t="s">
        <v>5331</v>
      </c>
      <c r="D43" s="29" t="s">
        <v>5332</v>
      </c>
      <c r="E43" s="739" t="s">
        <v>5333</v>
      </c>
      <c r="F43" s="739" t="s">
        <v>5334</v>
      </c>
      <c r="G43" s="30">
        <v>1</v>
      </c>
      <c r="H43" s="17">
        <v>72000</v>
      </c>
      <c r="I43" s="17">
        <f t="shared" si="0"/>
        <v>72000</v>
      </c>
      <c r="K43" s="17">
        <f t="shared" si="1"/>
        <v>72000</v>
      </c>
      <c r="L43" s="17">
        <v>83700</v>
      </c>
      <c r="M43" s="17"/>
      <c r="N43" s="17">
        <f t="shared" si="2"/>
        <v>155700</v>
      </c>
      <c r="O43" s="91" t="s">
        <v>206</v>
      </c>
      <c r="P43" s="72"/>
      <c r="Q43" s="91" t="s">
        <v>5335</v>
      </c>
      <c r="R43" s="17"/>
      <c r="S43" s="17"/>
      <c r="T43" s="17"/>
      <c r="U43" s="17"/>
      <c r="V43" s="17"/>
      <c r="W43" s="17"/>
    </row>
    <row r="44" spans="1:23" s="20" customFormat="1" hidden="1">
      <c r="A44" s="9">
        <v>44406</v>
      </c>
      <c r="B44" s="91" t="s">
        <v>313</v>
      </c>
      <c r="C44" s="123" t="s">
        <v>5336</v>
      </c>
      <c r="D44" s="29" t="s">
        <v>5337</v>
      </c>
      <c r="E44" s="739" t="s">
        <v>5338</v>
      </c>
      <c r="F44" s="739" t="s">
        <v>5339</v>
      </c>
      <c r="G44" s="30">
        <v>1</v>
      </c>
      <c r="H44" s="17">
        <v>112000</v>
      </c>
      <c r="I44" s="17">
        <f t="shared" si="0"/>
        <v>112000</v>
      </c>
      <c r="K44" s="17">
        <f t="shared" si="1"/>
        <v>112000</v>
      </c>
      <c r="L44" s="17">
        <v>17032</v>
      </c>
      <c r="M44" s="17"/>
      <c r="N44" s="17">
        <f t="shared" si="2"/>
        <v>129032</v>
      </c>
      <c r="O44" s="91" t="s">
        <v>313</v>
      </c>
      <c r="P44" s="72"/>
      <c r="Q44" s="91" t="s">
        <v>40</v>
      </c>
      <c r="R44" s="17"/>
      <c r="S44" s="17"/>
      <c r="T44" s="17"/>
      <c r="U44" s="17"/>
      <c r="V44" s="17"/>
      <c r="W44" s="17"/>
    </row>
    <row r="45" spans="1:23" s="20" customFormat="1">
      <c r="A45" s="9">
        <v>44406</v>
      </c>
      <c r="B45" s="91" t="s">
        <v>23</v>
      </c>
      <c r="C45" s="91" t="s">
        <v>5340</v>
      </c>
      <c r="D45" s="29" t="s">
        <v>31</v>
      </c>
      <c r="E45" s="739" t="s">
        <v>5341</v>
      </c>
      <c r="F45" s="739" t="s">
        <v>5342</v>
      </c>
      <c r="G45" s="30">
        <v>1</v>
      </c>
      <c r="H45" s="17">
        <v>265000</v>
      </c>
      <c r="I45" s="17">
        <f t="shared" si="0"/>
        <v>265000</v>
      </c>
      <c r="K45" s="17">
        <f t="shared" si="1"/>
        <v>265000</v>
      </c>
      <c r="L45" s="17">
        <v>17032</v>
      </c>
      <c r="M45" s="17"/>
      <c r="N45" s="17">
        <f t="shared" si="2"/>
        <v>282032</v>
      </c>
      <c r="O45" s="91" t="s">
        <v>23</v>
      </c>
      <c r="P45" s="72"/>
      <c r="Q45" s="91" t="s">
        <v>35</v>
      </c>
      <c r="R45" s="17"/>
      <c r="S45" s="17"/>
      <c r="T45" s="17"/>
      <c r="U45" s="17"/>
      <c r="V45" s="17"/>
      <c r="W45" s="17"/>
    </row>
    <row r="46" spans="1:23" s="20" customFormat="1">
      <c r="A46" s="9">
        <v>44406</v>
      </c>
      <c r="B46" s="10" t="s">
        <v>23</v>
      </c>
      <c r="C46" s="10" t="s">
        <v>431</v>
      </c>
      <c r="D46" s="29" t="s">
        <v>31</v>
      </c>
      <c r="E46" s="754" t="s">
        <v>5139</v>
      </c>
      <c r="F46" s="754" t="s">
        <v>5140</v>
      </c>
      <c r="G46" s="30">
        <v>1</v>
      </c>
      <c r="H46" s="17">
        <v>117000</v>
      </c>
      <c r="I46" s="17">
        <f t="shared" si="0"/>
        <v>117000</v>
      </c>
      <c r="J46" s="20">
        <f>I46*25%+40000</f>
        <v>69250</v>
      </c>
      <c r="K46" s="17">
        <f t="shared" si="1"/>
        <v>47750</v>
      </c>
      <c r="L46" s="17"/>
      <c r="M46" s="17"/>
      <c r="N46" s="17">
        <f t="shared" si="2"/>
        <v>47750</v>
      </c>
      <c r="O46" s="10" t="s">
        <v>23</v>
      </c>
      <c r="P46" s="72"/>
      <c r="Q46" s="10" t="s">
        <v>35</v>
      </c>
      <c r="R46" s="17"/>
      <c r="S46" s="17"/>
      <c r="T46" s="17"/>
      <c r="U46" s="17"/>
      <c r="V46" s="17"/>
      <c r="W46" s="17"/>
    </row>
    <row r="47" spans="1:23" s="20" customFormat="1" ht="15" customHeight="1">
      <c r="A47" s="9">
        <v>44406</v>
      </c>
      <c r="B47" s="10" t="s">
        <v>23</v>
      </c>
      <c r="C47" s="10" t="s">
        <v>431</v>
      </c>
      <c r="D47" s="29" t="s">
        <v>31</v>
      </c>
      <c r="E47" s="754" t="s">
        <v>5343</v>
      </c>
      <c r="F47" s="754" t="s">
        <v>5344</v>
      </c>
      <c r="G47" s="30">
        <v>1</v>
      </c>
      <c r="H47" s="17">
        <v>190000</v>
      </c>
      <c r="I47" s="17">
        <f t="shared" si="0"/>
        <v>190000</v>
      </c>
      <c r="J47" s="20">
        <f>I47*25%</f>
        <v>47500</v>
      </c>
      <c r="K47" s="17">
        <f t="shared" si="1"/>
        <v>142500</v>
      </c>
      <c r="L47" s="17"/>
      <c r="M47" s="17"/>
      <c r="N47" s="17">
        <f t="shared" si="2"/>
        <v>142500</v>
      </c>
      <c r="O47" s="10" t="s">
        <v>23</v>
      </c>
      <c r="P47" s="183"/>
      <c r="Q47" s="10" t="s">
        <v>35</v>
      </c>
      <c r="R47" s="17"/>
      <c r="S47" s="13"/>
      <c r="T47" s="17"/>
      <c r="U47" s="17"/>
      <c r="V47" s="17"/>
      <c r="W47" s="17"/>
    </row>
    <row r="48" spans="1:23" s="20" customFormat="1">
      <c r="A48" s="9">
        <v>44407</v>
      </c>
      <c r="B48" s="91" t="s">
        <v>23</v>
      </c>
      <c r="C48" s="123" t="s">
        <v>5345</v>
      </c>
      <c r="D48" s="29" t="s">
        <v>5346</v>
      </c>
      <c r="E48" s="739" t="s">
        <v>197</v>
      </c>
      <c r="F48" s="739" t="s">
        <v>198</v>
      </c>
      <c r="G48" s="30">
        <v>1</v>
      </c>
      <c r="H48" s="17">
        <v>79000</v>
      </c>
      <c r="I48" s="17">
        <f t="shared" si="0"/>
        <v>79000</v>
      </c>
      <c r="K48" s="17">
        <f t="shared" si="1"/>
        <v>79000</v>
      </c>
      <c r="L48" s="17">
        <v>17000</v>
      </c>
      <c r="M48" s="17"/>
      <c r="N48" s="17">
        <f t="shared" si="2"/>
        <v>96000</v>
      </c>
      <c r="O48" s="91" t="s">
        <v>23</v>
      </c>
      <c r="P48" s="72"/>
      <c r="Q48" s="91" t="s">
        <v>40</v>
      </c>
      <c r="R48" s="17"/>
      <c r="S48" s="17"/>
      <c r="T48" s="17"/>
      <c r="U48" s="17"/>
      <c r="V48" s="17"/>
      <c r="W48" s="17"/>
    </row>
    <row r="49" spans="1:23" s="20" customFormat="1">
      <c r="A49" s="9">
        <v>44407</v>
      </c>
      <c r="B49" s="91" t="s">
        <v>23</v>
      </c>
      <c r="C49" s="91" t="s">
        <v>5347</v>
      </c>
      <c r="D49" s="29" t="s">
        <v>5348</v>
      </c>
      <c r="E49" s="739" t="s">
        <v>5349</v>
      </c>
      <c r="F49" s="739" t="s">
        <v>5350</v>
      </c>
      <c r="G49" s="30">
        <v>1</v>
      </c>
      <c r="H49" s="17">
        <v>124000</v>
      </c>
      <c r="I49" s="17">
        <f t="shared" si="0"/>
        <v>124000</v>
      </c>
      <c r="K49" s="17">
        <f t="shared" si="1"/>
        <v>124000</v>
      </c>
      <c r="L49" s="17">
        <v>30000</v>
      </c>
      <c r="M49" s="17"/>
      <c r="N49" s="17">
        <f t="shared" si="2"/>
        <v>154000</v>
      </c>
      <c r="O49" s="91" t="s">
        <v>23</v>
      </c>
      <c r="P49" s="92"/>
      <c r="Q49" s="91" t="s">
        <v>54</v>
      </c>
      <c r="R49" s="17"/>
      <c r="S49" s="17"/>
      <c r="T49" s="17"/>
      <c r="U49" s="17"/>
      <c r="V49" s="17"/>
      <c r="W49" s="17"/>
    </row>
    <row r="50" spans="1:23" s="20" customFormat="1" hidden="1">
      <c r="A50" s="9">
        <v>44407</v>
      </c>
      <c r="B50" s="91" t="s">
        <v>43</v>
      </c>
      <c r="C50" s="91" t="s">
        <v>1895</v>
      </c>
      <c r="D50" s="29" t="s">
        <v>5351</v>
      </c>
      <c r="E50" s="739" t="s">
        <v>3119</v>
      </c>
      <c r="F50" s="739" t="s">
        <v>3120</v>
      </c>
      <c r="G50" s="30">
        <v>1</v>
      </c>
      <c r="H50" s="17">
        <v>65500</v>
      </c>
      <c r="I50" s="17">
        <f t="shared" si="0"/>
        <v>65500</v>
      </c>
      <c r="K50" s="17">
        <f t="shared" si="1"/>
        <v>65500</v>
      </c>
      <c r="L50" s="17"/>
      <c r="M50" s="17">
        <v>-3668</v>
      </c>
      <c r="N50" s="17">
        <f t="shared" si="2"/>
        <v>61832</v>
      </c>
      <c r="O50" s="91" t="s">
        <v>43</v>
      </c>
      <c r="P50" s="183"/>
      <c r="Q50" s="91" t="s">
        <v>176</v>
      </c>
      <c r="R50" s="17"/>
      <c r="S50" s="17"/>
      <c r="T50" s="17"/>
      <c r="U50" s="17"/>
      <c r="V50" s="17"/>
      <c r="W50" s="17"/>
    </row>
    <row r="51" spans="1:23" s="20" customFormat="1" hidden="1">
      <c r="A51" s="9">
        <v>44407</v>
      </c>
      <c r="B51" s="91" t="s">
        <v>43</v>
      </c>
      <c r="C51" s="91" t="s">
        <v>5352</v>
      </c>
      <c r="D51" s="29" t="s">
        <v>5353</v>
      </c>
      <c r="E51" s="739" t="s">
        <v>4225</v>
      </c>
      <c r="F51" s="739" t="s">
        <v>4226</v>
      </c>
      <c r="G51" s="30">
        <v>1</v>
      </c>
      <c r="H51" s="17">
        <v>126000</v>
      </c>
      <c r="I51" s="17">
        <f t="shared" si="0"/>
        <v>126000</v>
      </c>
      <c r="K51" s="17">
        <f t="shared" si="1"/>
        <v>126000</v>
      </c>
      <c r="L51" s="17"/>
      <c r="M51" s="17">
        <v>-7056</v>
      </c>
      <c r="N51" s="17">
        <f t="shared" si="2"/>
        <v>118944</v>
      </c>
      <c r="O51" s="91" t="s">
        <v>43</v>
      </c>
      <c r="P51" s="183"/>
      <c r="Q51" s="91" t="s">
        <v>54</v>
      </c>
      <c r="R51" s="17"/>
      <c r="S51" s="17"/>
      <c r="T51" s="17"/>
      <c r="U51" s="17"/>
      <c r="V51" s="17"/>
      <c r="W51" s="17"/>
    </row>
    <row r="52" spans="1:23" s="20" customFormat="1" hidden="1">
      <c r="A52" s="9">
        <v>44407</v>
      </c>
      <c r="B52" s="91" t="s">
        <v>206</v>
      </c>
      <c r="C52" s="123" t="s">
        <v>5354</v>
      </c>
      <c r="D52" s="29" t="s">
        <v>5355</v>
      </c>
      <c r="E52" s="739" t="s">
        <v>5356</v>
      </c>
      <c r="F52" s="739" t="s">
        <v>5357</v>
      </c>
      <c r="G52" s="30">
        <v>1</v>
      </c>
      <c r="H52" s="17">
        <v>91500</v>
      </c>
      <c r="I52" s="17">
        <f t="shared" si="0"/>
        <v>91500</v>
      </c>
      <c r="K52" s="17">
        <f t="shared" si="1"/>
        <v>91500</v>
      </c>
      <c r="L52" s="20">
        <v>16500</v>
      </c>
      <c r="N52" s="17">
        <f t="shared" si="2"/>
        <v>108000</v>
      </c>
      <c r="O52" s="91" t="s">
        <v>206</v>
      </c>
      <c r="P52" s="183"/>
      <c r="Q52" s="91" t="s">
        <v>328</v>
      </c>
      <c r="R52" s="17"/>
      <c r="S52" s="17"/>
      <c r="T52" s="17"/>
      <c r="U52" s="17"/>
      <c r="V52" s="17"/>
      <c r="W52" s="17"/>
    </row>
    <row r="53" spans="1:23" s="20" customFormat="1" hidden="1">
      <c r="A53" s="9">
        <v>44407</v>
      </c>
      <c r="B53" s="91" t="s">
        <v>170</v>
      </c>
      <c r="C53" s="91" t="s">
        <v>5358</v>
      </c>
      <c r="D53" s="29" t="s">
        <v>5359</v>
      </c>
      <c r="E53" s="739" t="s">
        <v>5360</v>
      </c>
      <c r="F53" s="739" t="s">
        <v>5361</v>
      </c>
      <c r="G53" s="30">
        <v>1</v>
      </c>
      <c r="H53" s="17">
        <v>168000</v>
      </c>
      <c r="I53" s="17">
        <f t="shared" si="0"/>
        <v>168000</v>
      </c>
      <c r="J53" s="20">
        <f>I53*20%</f>
        <v>33600</v>
      </c>
      <c r="K53" s="17">
        <f t="shared" si="1"/>
        <v>134400</v>
      </c>
      <c r="L53" s="20">
        <f>13000-13000</f>
        <v>0</v>
      </c>
      <c r="N53" s="17">
        <f t="shared" si="2"/>
        <v>134400</v>
      </c>
      <c r="O53" s="91" t="s">
        <v>170</v>
      </c>
      <c r="P53" s="183"/>
      <c r="Q53" s="91" t="s">
        <v>176</v>
      </c>
      <c r="R53" s="17"/>
      <c r="S53" s="17"/>
      <c r="T53" s="17"/>
      <c r="U53" s="17"/>
      <c r="V53" s="17"/>
      <c r="W53" s="17"/>
    </row>
    <row r="54" spans="1:23" s="20" customFormat="1">
      <c r="A54" s="9">
        <v>44407</v>
      </c>
      <c r="B54" s="91" t="s">
        <v>23</v>
      </c>
      <c r="C54" s="123" t="s">
        <v>5362</v>
      </c>
      <c r="D54" s="29" t="s">
        <v>5363</v>
      </c>
      <c r="E54" s="739" t="s">
        <v>5364</v>
      </c>
      <c r="F54" s="739" t="s">
        <v>3580</v>
      </c>
      <c r="G54" s="30">
        <v>1</v>
      </c>
      <c r="H54" s="17">
        <v>65500</v>
      </c>
      <c r="I54" s="17">
        <f t="shared" si="0"/>
        <v>65500</v>
      </c>
      <c r="K54" s="17">
        <f t="shared" si="1"/>
        <v>65500</v>
      </c>
      <c r="L54" s="20">
        <v>41000</v>
      </c>
      <c r="N54" s="17">
        <f t="shared" si="2"/>
        <v>106500</v>
      </c>
      <c r="O54" s="91" t="s">
        <v>23</v>
      </c>
      <c r="P54" s="183"/>
      <c r="Q54" s="10" t="s">
        <v>54</v>
      </c>
      <c r="R54" s="17"/>
      <c r="S54" s="17"/>
      <c r="T54" s="17"/>
      <c r="U54" s="17"/>
      <c r="V54" s="17"/>
      <c r="W54" s="17"/>
    </row>
    <row r="55" spans="1:23" s="20" customFormat="1" hidden="1">
      <c r="A55" s="9">
        <v>44410</v>
      </c>
      <c r="B55" s="91" t="s">
        <v>206</v>
      </c>
      <c r="C55" s="91" t="s">
        <v>5365</v>
      </c>
      <c r="D55" s="29" t="s">
        <v>5366</v>
      </c>
      <c r="E55" s="739" t="s">
        <v>5367</v>
      </c>
      <c r="F55" s="739" t="s">
        <v>5368</v>
      </c>
      <c r="G55" s="768">
        <v>1</v>
      </c>
      <c r="H55" s="17">
        <v>85000</v>
      </c>
      <c r="I55" s="17">
        <f t="shared" si="0"/>
        <v>85000</v>
      </c>
      <c r="K55" s="17">
        <f t="shared" si="1"/>
        <v>85000</v>
      </c>
      <c r="L55" s="20">
        <v>47600</v>
      </c>
      <c r="N55" s="17">
        <f t="shared" si="2"/>
        <v>132600</v>
      </c>
      <c r="O55" s="91" t="s">
        <v>206</v>
      </c>
      <c r="P55" s="72"/>
      <c r="Q55" s="91" t="s">
        <v>328</v>
      </c>
      <c r="R55" s="17"/>
      <c r="S55" s="17"/>
      <c r="T55" s="17"/>
      <c r="U55" s="17"/>
      <c r="V55" s="17"/>
      <c r="W55" s="17"/>
    </row>
    <row r="56" spans="1:23" s="20" customFormat="1" hidden="1">
      <c r="A56" s="9">
        <v>44410</v>
      </c>
      <c r="B56" s="91" t="s">
        <v>206</v>
      </c>
      <c r="C56" s="123" t="s">
        <v>5369</v>
      </c>
      <c r="D56" s="29" t="s">
        <v>5370</v>
      </c>
      <c r="E56" s="739" t="s">
        <v>5367</v>
      </c>
      <c r="F56" s="739" t="s">
        <v>5368</v>
      </c>
      <c r="G56" s="768">
        <v>1</v>
      </c>
      <c r="H56" s="17">
        <v>80000</v>
      </c>
      <c r="I56" s="17">
        <f t="shared" si="0"/>
        <v>80000</v>
      </c>
      <c r="K56" s="17">
        <f t="shared" si="1"/>
        <v>80000</v>
      </c>
      <c r="L56" s="20">
        <v>6400</v>
      </c>
      <c r="N56" s="17">
        <f t="shared" si="2"/>
        <v>86400</v>
      </c>
      <c r="O56" s="91" t="s">
        <v>206</v>
      </c>
      <c r="P56" s="72"/>
      <c r="Q56" s="91" t="s">
        <v>328</v>
      </c>
      <c r="R56" s="17"/>
      <c r="S56" s="13"/>
      <c r="T56" s="17"/>
      <c r="U56" s="17"/>
      <c r="V56" s="17"/>
      <c r="W56" s="17"/>
    </row>
    <row r="57" spans="1:23" s="20" customFormat="1" hidden="1">
      <c r="A57" s="9">
        <v>44410</v>
      </c>
      <c r="B57" s="91" t="s">
        <v>170</v>
      </c>
      <c r="C57" s="91" t="s">
        <v>5371</v>
      </c>
      <c r="D57" s="29" t="s">
        <v>5372</v>
      </c>
      <c r="E57" s="739" t="s">
        <v>4456</v>
      </c>
      <c r="F57" s="739" t="s">
        <v>4457</v>
      </c>
      <c r="G57" s="30">
        <v>1</v>
      </c>
      <c r="H57" s="17">
        <v>63000</v>
      </c>
      <c r="I57" s="17">
        <f t="shared" si="0"/>
        <v>63000</v>
      </c>
      <c r="K57" s="17">
        <f t="shared" si="1"/>
        <v>63000</v>
      </c>
      <c r="L57" s="20">
        <f>39000-39000</f>
        <v>0</v>
      </c>
      <c r="N57" s="17">
        <f t="shared" si="2"/>
        <v>63000</v>
      </c>
      <c r="O57" s="91" t="s">
        <v>170</v>
      </c>
      <c r="P57" s="72"/>
      <c r="Q57" s="91" t="s">
        <v>54</v>
      </c>
      <c r="R57" s="17"/>
      <c r="S57" s="13"/>
      <c r="T57" s="17"/>
      <c r="U57" s="17"/>
      <c r="V57" s="17"/>
      <c r="W57" s="17"/>
    </row>
    <row r="58" spans="1:23" s="20" customFormat="1" hidden="1">
      <c r="A58" s="9">
        <v>44410</v>
      </c>
      <c r="B58" s="91" t="s">
        <v>177</v>
      </c>
      <c r="C58" s="123" t="s">
        <v>5373</v>
      </c>
      <c r="D58" s="29" t="s">
        <v>5374</v>
      </c>
      <c r="E58" s="739" t="s">
        <v>221</v>
      </c>
      <c r="F58" s="739" t="s">
        <v>222</v>
      </c>
      <c r="G58" s="30">
        <v>1</v>
      </c>
      <c r="H58" s="17">
        <v>44000</v>
      </c>
      <c r="I58" s="17">
        <f t="shared" si="0"/>
        <v>44000</v>
      </c>
      <c r="K58" s="17">
        <f t="shared" si="1"/>
        <v>44000</v>
      </c>
      <c r="L58" s="20">
        <v>9000</v>
      </c>
      <c r="N58" s="17">
        <f t="shared" si="2"/>
        <v>53000</v>
      </c>
      <c r="O58" s="91" t="s">
        <v>177</v>
      </c>
      <c r="P58" s="72"/>
      <c r="Q58" s="91" t="s">
        <v>54</v>
      </c>
      <c r="R58" s="17"/>
      <c r="S58" s="17"/>
      <c r="T58" s="17"/>
      <c r="U58" s="17"/>
      <c r="V58" s="17"/>
      <c r="W58" s="17"/>
    </row>
    <row r="59" spans="1:23" s="20" customFormat="1" ht="57.6">
      <c r="A59" s="9">
        <v>44410</v>
      </c>
      <c r="B59" s="91" t="s">
        <v>23</v>
      </c>
      <c r="C59" s="91" t="s">
        <v>5375</v>
      </c>
      <c r="D59" s="770" t="s">
        <v>9432</v>
      </c>
      <c r="E59" s="739" t="s">
        <v>2320</v>
      </c>
      <c r="F59" s="739" t="s">
        <v>2321</v>
      </c>
      <c r="G59" s="30">
        <v>1</v>
      </c>
      <c r="H59" s="17">
        <v>103000</v>
      </c>
      <c r="I59" s="17">
        <f t="shared" si="0"/>
        <v>103000</v>
      </c>
      <c r="K59" s="17">
        <f t="shared" si="1"/>
        <v>103000</v>
      </c>
      <c r="L59" s="20">
        <v>1600</v>
      </c>
      <c r="N59" s="17">
        <f t="shared" si="2"/>
        <v>104600</v>
      </c>
      <c r="O59" s="91" t="s">
        <v>23</v>
      </c>
      <c r="P59" s="183"/>
      <c r="Q59" s="91" t="s">
        <v>40</v>
      </c>
      <c r="R59" s="17"/>
      <c r="S59" s="17"/>
      <c r="T59" s="17"/>
      <c r="U59" s="17"/>
      <c r="V59" s="17"/>
      <c r="W59" s="17"/>
    </row>
    <row r="60" spans="1:23" s="20" customFormat="1">
      <c r="A60" s="9">
        <v>44411</v>
      </c>
      <c r="B60" s="91" t="s">
        <v>23</v>
      </c>
      <c r="C60" s="91" t="s">
        <v>5376</v>
      </c>
      <c r="D60" s="92" t="s">
        <v>5377</v>
      </c>
      <c r="E60" s="746" t="s">
        <v>2493</v>
      </c>
      <c r="F60" s="746" t="s">
        <v>2494</v>
      </c>
      <c r="G60" s="30">
        <v>1</v>
      </c>
      <c r="H60" s="18">
        <v>136000</v>
      </c>
      <c r="I60" s="17">
        <f t="shared" si="0"/>
        <v>136000</v>
      </c>
      <c r="K60" s="17">
        <f t="shared" si="1"/>
        <v>136000</v>
      </c>
      <c r="L60" s="20">
        <v>22044</v>
      </c>
      <c r="N60" s="17">
        <f t="shared" si="2"/>
        <v>158044</v>
      </c>
      <c r="O60" s="91" t="s">
        <v>23</v>
      </c>
      <c r="P60" s="183"/>
      <c r="Q60" s="91" t="s">
        <v>40</v>
      </c>
      <c r="R60" s="17"/>
      <c r="S60" s="17"/>
      <c r="T60" s="17"/>
      <c r="U60" s="17"/>
      <c r="V60" s="17"/>
      <c r="W60" s="17"/>
    </row>
    <row r="61" spans="1:23" s="20" customFormat="1">
      <c r="A61" s="9">
        <v>44411</v>
      </c>
      <c r="B61" s="91" t="s">
        <v>23</v>
      </c>
      <c r="C61" s="91" t="s">
        <v>5376</v>
      </c>
      <c r="D61" s="92" t="s">
        <v>5377</v>
      </c>
      <c r="E61" s="746" t="s">
        <v>5378</v>
      </c>
      <c r="F61" s="746" t="s">
        <v>5379</v>
      </c>
      <c r="G61" s="30">
        <v>1</v>
      </c>
      <c r="H61" s="18">
        <v>96000</v>
      </c>
      <c r="I61" s="17">
        <f t="shared" si="0"/>
        <v>96000</v>
      </c>
      <c r="K61" s="17">
        <f t="shared" si="1"/>
        <v>96000</v>
      </c>
      <c r="N61" s="17">
        <f t="shared" si="2"/>
        <v>96000</v>
      </c>
      <c r="O61" s="91" t="s">
        <v>23</v>
      </c>
      <c r="P61" s="72"/>
      <c r="Q61" s="91" t="s">
        <v>40</v>
      </c>
      <c r="R61" s="17"/>
      <c r="S61" s="17"/>
      <c r="T61" s="17"/>
      <c r="U61" s="17"/>
      <c r="V61" s="17"/>
      <c r="W61" s="17"/>
    </row>
    <row r="62" spans="1:23" s="20" customFormat="1">
      <c r="A62" s="9">
        <v>44411</v>
      </c>
      <c r="B62" s="91" t="s">
        <v>23</v>
      </c>
      <c r="C62" s="91" t="s">
        <v>5376</v>
      </c>
      <c r="D62" s="92" t="s">
        <v>5377</v>
      </c>
      <c r="E62" s="746" t="s">
        <v>5380</v>
      </c>
      <c r="F62" s="746" t="s">
        <v>5381</v>
      </c>
      <c r="G62" s="30">
        <v>1</v>
      </c>
      <c r="H62" s="18">
        <v>286000</v>
      </c>
      <c r="I62" s="17">
        <f t="shared" si="0"/>
        <v>286000</v>
      </c>
      <c r="K62" s="17">
        <f t="shared" si="1"/>
        <v>286000</v>
      </c>
      <c r="N62" s="17">
        <f t="shared" si="2"/>
        <v>286000</v>
      </c>
      <c r="O62" s="91" t="s">
        <v>23</v>
      </c>
      <c r="P62" s="72"/>
      <c r="Q62" s="91" t="s">
        <v>40</v>
      </c>
      <c r="R62" s="17"/>
      <c r="S62" s="13"/>
      <c r="T62" s="17"/>
      <c r="U62" s="17"/>
      <c r="V62" s="17"/>
      <c r="W62" s="17"/>
    </row>
    <row r="63" spans="1:23" s="20" customFormat="1">
      <c r="A63" s="9">
        <v>44411</v>
      </c>
      <c r="B63" s="91" t="s">
        <v>23</v>
      </c>
      <c r="C63" s="91" t="s">
        <v>5376</v>
      </c>
      <c r="D63" s="92" t="s">
        <v>5377</v>
      </c>
      <c r="E63" s="746" t="s">
        <v>1992</v>
      </c>
      <c r="F63" s="746" t="s">
        <v>1993</v>
      </c>
      <c r="G63" s="30">
        <v>1</v>
      </c>
      <c r="H63" s="18">
        <v>75500</v>
      </c>
      <c r="I63" s="17">
        <f t="shared" si="0"/>
        <v>75500</v>
      </c>
      <c r="K63" s="17">
        <f t="shared" si="1"/>
        <v>75500</v>
      </c>
      <c r="L63" s="17"/>
      <c r="M63" s="17"/>
      <c r="N63" s="17">
        <f t="shared" si="2"/>
        <v>75500</v>
      </c>
      <c r="O63" s="91" t="s">
        <v>23</v>
      </c>
      <c r="P63" s="72"/>
      <c r="Q63" s="91" t="s">
        <v>40</v>
      </c>
      <c r="R63" s="17"/>
      <c r="S63" s="17"/>
      <c r="T63" s="17"/>
      <c r="U63" s="17"/>
      <c r="V63" s="17"/>
      <c r="W63" s="17"/>
    </row>
    <row r="64" spans="1:23" s="20" customFormat="1">
      <c r="A64" s="9">
        <v>44411</v>
      </c>
      <c r="B64" s="91" t="s">
        <v>23</v>
      </c>
      <c r="C64" s="91" t="s">
        <v>5382</v>
      </c>
      <c r="D64" s="92" t="s">
        <v>5383</v>
      </c>
      <c r="E64" s="739" t="s">
        <v>5384</v>
      </c>
      <c r="F64" s="739" t="s">
        <v>5385</v>
      </c>
      <c r="G64" s="30">
        <v>1</v>
      </c>
      <c r="H64" s="18">
        <v>69500</v>
      </c>
      <c r="I64" s="17">
        <f t="shared" si="0"/>
        <v>69500</v>
      </c>
      <c r="K64" s="17">
        <f t="shared" si="1"/>
        <v>69500</v>
      </c>
      <c r="L64" s="17">
        <v>17000</v>
      </c>
      <c r="M64" s="17"/>
      <c r="N64" s="17">
        <f t="shared" si="2"/>
        <v>86500</v>
      </c>
      <c r="O64" s="91" t="s">
        <v>23</v>
      </c>
      <c r="P64" s="72"/>
      <c r="Q64" s="91" t="s">
        <v>40</v>
      </c>
      <c r="R64" s="17"/>
      <c r="S64" s="17"/>
      <c r="T64" s="17"/>
      <c r="U64" s="17"/>
      <c r="V64" s="17"/>
      <c r="W64" s="17"/>
    </row>
    <row r="65" spans="1:23" s="20" customFormat="1">
      <c r="A65" s="9">
        <v>44411</v>
      </c>
      <c r="B65" s="91" t="s">
        <v>23</v>
      </c>
      <c r="C65" s="123" t="s">
        <v>5386</v>
      </c>
      <c r="D65" s="92" t="s">
        <v>5387</v>
      </c>
      <c r="E65" s="739" t="s">
        <v>5333</v>
      </c>
      <c r="F65" s="739" t="s">
        <v>5334</v>
      </c>
      <c r="G65" s="30">
        <v>1</v>
      </c>
      <c r="H65" s="18">
        <v>72000</v>
      </c>
      <c r="I65" s="17">
        <f t="shared" si="0"/>
        <v>72000</v>
      </c>
      <c r="K65" s="17">
        <f t="shared" si="1"/>
        <v>72000</v>
      </c>
      <c r="L65" s="17">
        <v>63000</v>
      </c>
      <c r="M65" s="17"/>
      <c r="N65" s="17">
        <f t="shared" si="2"/>
        <v>135000</v>
      </c>
      <c r="O65" s="91" t="s">
        <v>23</v>
      </c>
      <c r="P65" s="72"/>
      <c r="Q65" s="91" t="s">
        <v>54</v>
      </c>
      <c r="R65" s="17"/>
      <c r="S65" s="17"/>
      <c r="T65" s="17"/>
      <c r="U65" s="17"/>
      <c r="V65" s="17"/>
      <c r="W65" s="17"/>
    </row>
    <row r="66" spans="1:23" s="20" customFormat="1" hidden="1">
      <c r="A66" s="9">
        <v>44411</v>
      </c>
      <c r="B66" s="91" t="s">
        <v>313</v>
      </c>
      <c r="C66" s="91" t="s">
        <v>5388</v>
      </c>
      <c r="D66" s="92" t="s">
        <v>5389</v>
      </c>
      <c r="E66" s="754" t="s">
        <v>4989</v>
      </c>
      <c r="F66" s="754" t="s">
        <v>4990</v>
      </c>
      <c r="G66" s="30">
        <v>1</v>
      </c>
      <c r="H66" s="18">
        <v>73000</v>
      </c>
      <c r="I66" s="17">
        <f t="shared" si="0"/>
        <v>73000</v>
      </c>
      <c r="K66" s="17">
        <f t="shared" si="1"/>
        <v>73000</v>
      </c>
      <c r="L66" s="17">
        <v>9038</v>
      </c>
      <c r="M66" s="17"/>
      <c r="N66" s="17">
        <f t="shared" si="2"/>
        <v>82038</v>
      </c>
      <c r="O66" s="91" t="s">
        <v>313</v>
      </c>
      <c r="P66" s="72"/>
      <c r="Q66" s="91" t="s">
        <v>28</v>
      </c>
      <c r="R66" s="17"/>
      <c r="S66" s="17"/>
      <c r="T66" s="17"/>
      <c r="U66" s="17"/>
      <c r="V66" s="17"/>
      <c r="W66" s="17"/>
    </row>
    <row r="67" spans="1:23" s="20" customFormat="1" hidden="1">
      <c r="A67" s="9">
        <v>44411</v>
      </c>
      <c r="B67" s="91" t="s">
        <v>313</v>
      </c>
      <c r="C67" s="91" t="s">
        <v>5388</v>
      </c>
      <c r="D67" s="92" t="s">
        <v>5389</v>
      </c>
      <c r="E67" s="754" t="s">
        <v>4061</v>
      </c>
      <c r="F67" s="754" t="s">
        <v>4062</v>
      </c>
      <c r="G67" s="708">
        <v>1</v>
      </c>
      <c r="H67" s="18">
        <v>148000</v>
      </c>
      <c r="I67" s="17">
        <f t="shared" ref="I67:I130" si="4">H67*G67</f>
        <v>148000</v>
      </c>
      <c r="K67" s="17">
        <f t="shared" ref="K67:K130" si="5">I67-J67</f>
        <v>148000</v>
      </c>
      <c r="L67" s="17"/>
      <c r="M67" s="17"/>
      <c r="N67" s="17">
        <f t="shared" ref="N67:N130" si="6">K67+L67+M67</f>
        <v>148000</v>
      </c>
      <c r="O67" s="91" t="s">
        <v>313</v>
      </c>
      <c r="P67" s="72"/>
      <c r="Q67" s="91" t="s">
        <v>28</v>
      </c>
      <c r="R67" s="17"/>
      <c r="S67" s="17"/>
      <c r="T67" s="17"/>
      <c r="U67" s="17"/>
      <c r="V67" s="17"/>
      <c r="W67" s="17"/>
    </row>
    <row r="68" spans="1:23" s="20" customFormat="1" hidden="1">
      <c r="A68" s="9">
        <v>44411</v>
      </c>
      <c r="B68" s="91" t="s">
        <v>313</v>
      </c>
      <c r="C68" s="91" t="s">
        <v>5390</v>
      </c>
      <c r="D68" s="92" t="s">
        <v>5391</v>
      </c>
      <c r="E68" s="739" t="s">
        <v>5392</v>
      </c>
      <c r="F68" s="739" t="s">
        <v>5393</v>
      </c>
      <c r="G68" s="30">
        <v>1</v>
      </c>
      <c r="H68" s="18">
        <v>79000</v>
      </c>
      <c r="I68" s="17">
        <f t="shared" si="4"/>
        <v>79000</v>
      </c>
      <c r="K68" s="17">
        <f t="shared" si="5"/>
        <v>79000</v>
      </c>
      <c r="L68" s="17">
        <v>16092</v>
      </c>
      <c r="M68" s="17"/>
      <c r="N68" s="17">
        <f t="shared" si="6"/>
        <v>95092</v>
      </c>
      <c r="O68" s="91" t="s">
        <v>313</v>
      </c>
      <c r="P68" s="72"/>
      <c r="Q68" s="91" t="s">
        <v>54</v>
      </c>
      <c r="R68" s="17"/>
      <c r="S68" s="17"/>
      <c r="T68" s="17"/>
      <c r="U68" s="17"/>
      <c r="V68" s="17"/>
      <c r="W68" s="17"/>
    </row>
    <row r="69" spans="1:23" s="20" customFormat="1">
      <c r="A69" s="9">
        <v>44411</v>
      </c>
      <c r="B69" s="91" t="s">
        <v>23</v>
      </c>
      <c r="C69" s="123" t="s">
        <v>5394</v>
      </c>
      <c r="D69" s="92" t="s">
        <v>5395</v>
      </c>
      <c r="E69" s="739" t="s">
        <v>325</v>
      </c>
      <c r="F69" s="739" t="s">
        <v>326</v>
      </c>
      <c r="G69" s="30">
        <v>1</v>
      </c>
      <c r="H69" s="18">
        <v>129000</v>
      </c>
      <c r="I69" s="17">
        <f t="shared" si="4"/>
        <v>129000</v>
      </c>
      <c r="J69" s="20">
        <f>I69*20%</f>
        <v>25800</v>
      </c>
      <c r="K69" s="17">
        <f t="shared" si="5"/>
        <v>103200</v>
      </c>
      <c r="L69" s="17">
        <v>16000</v>
      </c>
      <c r="M69" s="17"/>
      <c r="N69" s="17">
        <f t="shared" si="6"/>
        <v>119200</v>
      </c>
      <c r="O69" s="91" t="s">
        <v>23</v>
      </c>
      <c r="P69" s="72"/>
      <c r="Q69" s="91" t="s">
        <v>40</v>
      </c>
      <c r="R69" s="17"/>
      <c r="S69" s="17"/>
      <c r="T69" s="17"/>
      <c r="U69" s="17"/>
      <c r="V69" s="17"/>
      <c r="W69" s="17"/>
    </row>
    <row r="70" spans="1:23" s="20" customFormat="1">
      <c r="A70" s="9">
        <v>44411</v>
      </c>
      <c r="B70" s="91" t="s">
        <v>23</v>
      </c>
      <c r="C70" s="91" t="s">
        <v>5396</v>
      </c>
      <c r="D70" s="92" t="s">
        <v>5397</v>
      </c>
      <c r="E70" s="739" t="s">
        <v>5398</v>
      </c>
      <c r="F70" s="739" t="s">
        <v>5399</v>
      </c>
      <c r="G70" s="30">
        <v>1</v>
      </c>
      <c r="H70" s="18">
        <v>58000</v>
      </c>
      <c r="I70" s="17">
        <f t="shared" si="4"/>
        <v>58000</v>
      </c>
      <c r="J70" s="17"/>
      <c r="K70" s="17">
        <f t="shared" si="5"/>
        <v>58000</v>
      </c>
      <c r="L70" s="17">
        <v>17000</v>
      </c>
      <c r="M70" s="17"/>
      <c r="N70" s="17">
        <f t="shared" si="6"/>
        <v>75000</v>
      </c>
      <c r="O70" s="91" t="s">
        <v>23</v>
      </c>
      <c r="P70" s="72"/>
      <c r="Q70" s="91" t="s">
        <v>40</v>
      </c>
      <c r="R70" s="17"/>
      <c r="S70" s="17"/>
      <c r="T70" s="17"/>
      <c r="U70" s="17"/>
      <c r="V70" s="17"/>
      <c r="W70" s="17"/>
    </row>
    <row r="71" spans="1:23" s="20" customFormat="1" hidden="1">
      <c r="A71" s="9">
        <v>44412</v>
      </c>
      <c r="B71" s="91" t="s">
        <v>43</v>
      </c>
      <c r="C71" s="91" t="s">
        <v>5400</v>
      </c>
      <c r="D71" s="92" t="s">
        <v>5401</v>
      </c>
      <c r="E71" s="739" t="s">
        <v>5402</v>
      </c>
      <c r="F71" s="739" t="s">
        <v>5403</v>
      </c>
      <c r="G71" s="30">
        <v>1</v>
      </c>
      <c r="H71" s="18">
        <v>79500</v>
      </c>
      <c r="I71" s="17">
        <f t="shared" si="4"/>
        <v>79500</v>
      </c>
      <c r="J71" s="17"/>
      <c r="K71" s="17">
        <f t="shared" si="5"/>
        <v>79500</v>
      </c>
      <c r="L71" s="17"/>
      <c r="M71" s="17">
        <v>-4452</v>
      </c>
      <c r="N71" s="17">
        <f t="shared" si="6"/>
        <v>75048</v>
      </c>
      <c r="O71" s="91" t="s">
        <v>43</v>
      </c>
      <c r="P71" s="72"/>
      <c r="Q71" s="91" t="s">
        <v>54</v>
      </c>
      <c r="R71" s="17"/>
      <c r="S71" s="13"/>
      <c r="T71" s="17"/>
      <c r="U71" s="17"/>
      <c r="V71" s="17"/>
      <c r="W71" s="17"/>
    </row>
    <row r="72" spans="1:23" s="20" customFormat="1" hidden="1">
      <c r="A72" s="9">
        <v>44412</v>
      </c>
      <c r="B72" s="91" t="s">
        <v>43</v>
      </c>
      <c r="C72" s="91" t="s">
        <v>5404</v>
      </c>
      <c r="D72" s="183" t="s">
        <v>5405</v>
      </c>
      <c r="E72" s="739" t="s">
        <v>3972</v>
      </c>
      <c r="F72" s="739" t="s">
        <v>909</v>
      </c>
      <c r="G72" s="30">
        <v>1</v>
      </c>
      <c r="H72" s="18">
        <v>94000</v>
      </c>
      <c r="I72" s="17">
        <f t="shared" si="4"/>
        <v>94000</v>
      </c>
      <c r="J72" s="17"/>
      <c r="K72" s="17">
        <f t="shared" si="5"/>
        <v>94000</v>
      </c>
      <c r="L72" s="17"/>
      <c r="M72" s="17">
        <v>-5264</v>
      </c>
      <c r="N72" s="17">
        <f t="shared" si="6"/>
        <v>88736</v>
      </c>
      <c r="O72" s="91" t="s">
        <v>43</v>
      </c>
      <c r="P72" s="183"/>
      <c r="Q72" s="91" t="s">
        <v>54</v>
      </c>
      <c r="R72" s="17"/>
      <c r="S72" s="17"/>
      <c r="T72" s="17"/>
      <c r="U72" s="17"/>
      <c r="V72" s="17"/>
      <c r="W72" s="17"/>
    </row>
    <row r="73" spans="1:23" s="20" customFormat="1">
      <c r="A73" s="9">
        <v>44412</v>
      </c>
      <c r="B73" s="91" t="s">
        <v>23</v>
      </c>
      <c r="C73" s="91" t="s">
        <v>431</v>
      </c>
      <c r="D73" s="92" t="s">
        <v>31</v>
      </c>
      <c r="E73" s="754" t="s">
        <v>3889</v>
      </c>
      <c r="F73" s="754" t="s">
        <v>3890</v>
      </c>
      <c r="G73" s="30">
        <v>1</v>
      </c>
      <c r="H73" s="18">
        <v>87000</v>
      </c>
      <c r="I73" s="17">
        <f t="shared" si="4"/>
        <v>87000</v>
      </c>
      <c r="J73" s="17">
        <f>I73*25%+40000</f>
        <v>61750</v>
      </c>
      <c r="K73" s="17">
        <f t="shared" si="5"/>
        <v>25250</v>
      </c>
      <c r="L73" s="17"/>
      <c r="M73" s="17"/>
      <c r="N73" s="17">
        <f t="shared" si="6"/>
        <v>25250</v>
      </c>
      <c r="O73" s="91" t="s">
        <v>23</v>
      </c>
      <c r="P73" s="183"/>
      <c r="Q73" s="91" t="s">
        <v>35</v>
      </c>
      <c r="R73" s="17"/>
      <c r="S73" s="17"/>
      <c r="T73" s="17"/>
      <c r="U73" s="17"/>
      <c r="V73" s="17"/>
      <c r="W73" s="17"/>
    </row>
    <row r="74" spans="1:23" s="20" customFormat="1">
      <c r="A74" s="9">
        <v>44412</v>
      </c>
      <c r="B74" s="91" t="s">
        <v>23</v>
      </c>
      <c r="C74" s="91" t="s">
        <v>431</v>
      </c>
      <c r="D74" s="92" t="s">
        <v>31</v>
      </c>
      <c r="E74" s="754" t="s">
        <v>3881</v>
      </c>
      <c r="F74" s="754" t="s">
        <v>3882</v>
      </c>
      <c r="G74" s="769">
        <v>1</v>
      </c>
      <c r="H74" s="18">
        <v>59000</v>
      </c>
      <c r="I74" s="17">
        <f t="shared" si="4"/>
        <v>59000</v>
      </c>
      <c r="J74" s="17">
        <f t="shared" ref="J74:J75" si="7">I74*25%</f>
        <v>14750</v>
      </c>
      <c r="K74" s="17">
        <f t="shared" si="5"/>
        <v>44250</v>
      </c>
      <c r="L74" s="17"/>
      <c r="M74" s="17"/>
      <c r="N74" s="17">
        <f t="shared" si="6"/>
        <v>44250</v>
      </c>
      <c r="O74" s="91" t="s">
        <v>23</v>
      </c>
      <c r="P74" s="183"/>
      <c r="Q74" s="91" t="s">
        <v>35</v>
      </c>
      <c r="R74" s="17"/>
      <c r="S74" s="17"/>
      <c r="T74" s="17"/>
      <c r="U74" s="17"/>
      <c r="V74" s="17"/>
      <c r="W74" s="17"/>
    </row>
    <row r="75" spans="1:23" s="20" customFormat="1">
      <c r="A75" s="9">
        <v>44412</v>
      </c>
      <c r="B75" s="91" t="s">
        <v>23</v>
      </c>
      <c r="C75" s="91" t="s">
        <v>431</v>
      </c>
      <c r="D75" s="92" t="s">
        <v>31</v>
      </c>
      <c r="E75" s="754" t="s">
        <v>3729</v>
      </c>
      <c r="F75" s="754" t="s">
        <v>3730</v>
      </c>
      <c r="G75" s="30">
        <v>1</v>
      </c>
      <c r="H75" s="18">
        <v>84000</v>
      </c>
      <c r="I75" s="17">
        <f t="shared" si="4"/>
        <v>84000</v>
      </c>
      <c r="J75" s="17">
        <f t="shared" si="7"/>
        <v>21000</v>
      </c>
      <c r="K75" s="17">
        <f t="shared" si="5"/>
        <v>63000</v>
      </c>
      <c r="L75" s="17"/>
      <c r="M75" s="17"/>
      <c r="N75" s="17">
        <f t="shared" si="6"/>
        <v>63000</v>
      </c>
      <c r="O75" s="91" t="s">
        <v>23</v>
      </c>
      <c r="P75" s="183"/>
      <c r="Q75" s="91" t="s">
        <v>35</v>
      </c>
      <c r="R75" s="17"/>
      <c r="S75" s="17"/>
      <c r="T75" s="17"/>
      <c r="U75" s="17"/>
      <c r="V75" s="17"/>
      <c r="W75" s="17"/>
    </row>
    <row r="76" spans="1:23" s="20" customFormat="1">
      <c r="A76" s="9">
        <v>44412</v>
      </c>
      <c r="B76" s="91" t="s">
        <v>23</v>
      </c>
      <c r="C76" s="123" t="s">
        <v>5406</v>
      </c>
      <c r="D76" s="29" t="s">
        <v>5407</v>
      </c>
      <c r="E76" s="739" t="s">
        <v>5408</v>
      </c>
      <c r="F76" s="739" t="s">
        <v>5409</v>
      </c>
      <c r="G76" s="30">
        <v>1</v>
      </c>
      <c r="H76" s="18">
        <v>200000</v>
      </c>
      <c r="I76" s="17">
        <f t="shared" si="4"/>
        <v>200000</v>
      </c>
      <c r="K76" s="17">
        <f t="shared" si="5"/>
        <v>200000</v>
      </c>
      <c r="L76" s="17">
        <v>45000</v>
      </c>
      <c r="M76" s="17"/>
      <c r="N76" s="17">
        <f t="shared" si="6"/>
        <v>245000</v>
      </c>
      <c r="O76" s="91" t="s">
        <v>23</v>
      </c>
      <c r="P76" s="183"/>
      <c r="Q76" s="91" t="s">
        <v>40</v>
      </c>
      <c r="R76" s="17"/>
      <c r="S76" s="17"/>
      <c r="T76" s="17"/>
      <c r="U76" s="17"/>
      <c r="V76" s="17"/>
      <c r="W76" s="17"/>
    </row>
    <row r="77" spans="1:23" s="20" customFormat="1" hidden="1">
      <c r="A77" s="9">
        <v>44412</v>
      </c>
      <c r="B77" s="91" t="s">
        <v>313</v>
      </c>
      <c r="C77" s="123" t="s">
        <v>5410</v>
      </c>
      <c r="D77" s="29" t="s">
        <v>5411</v>
      </c>
      <c r="E77" s="739" t="s">
        <v>5412</v>
      </c>
      <c r="F77" s="739" t="s">
        <v>5413</v>
      </c>
      <c r="G77" s="30">
        <v>1</v>
      </c>
      <c r="H77" s="18">
        <v>116000</v>
      </c>
      <c r="I77" s="17">
        <f t="shared" si="4"/>
        <v>116000</v>
      </c>
      <c r="K77" s="17">
        <f t="shared" si="5"/>
        <v>116000</v>
      </c>
      <c r="L77" s="17">
        <v>7096</v>
      </c>
      <c r="M77" s="17"/>
      <c r="N77" s="17">
        <f t="shared" si="6"/>
        <v>123096</v>
      </c>
      <c r="O77" s="91" t="s">
        <v>313</v>
      </c>
      <c r="P77" s="72"/>
      <c r="Q77" s="91" t="s">
        <v>28</v>
      </c>
      <c r="R77" s="17"/>
      <c r="S77" s="17"/>
      <c r="T77" s="17"/>
      <c r="U77" s="17"/>
      <c r="V77" s="17"/>
      <c r="W77" s="17"/>
    </row>
    <row r="78" spans="1:23" s="29" customFormat="1">
      <c r="A78" s="9">
        <v>44412</v>
      </c>
      <c r="B78" s="91" t="s">
        <v>23</v>
      </c>
      <c r="C78" s="123" t="s">
        <v>5414</v>
      </c>
      <c r="D78" s="29" t="s">
        <v>5415</v>
      </c>
      <c r="E78" s="739" t="s">
        <v>5416</v>
      </c>
      <c r="F78" s="739" t="s">
        <v>5417</v>
      </c>
      <c r="G78" s="30">
        <v>1</v>
      </c>
      <c r="H78" s="86">
        <v>59500</v>
      </c>
      <c r="I78" s="92">
        <f t="shared" si="4"/>
        <v>59500</v>
      </c>
      <c r="K78" s="17">
        <f t="shared" si="5"/>
        <v>59500</v>
      </c>
      <c r="L78" s="92">
        <v>17000</v>
      </c>
      <c r="M78" s="92"/>
      <c r="N78" s="17">
        <f t="shared" si="6"/>
        <v>76500</v>
      </c>
      <c r="O78" s="91" t="s">
        <v>23</v>
      </c>
      <c r="P78" s="72"/>
      <c r="Q78" s="91" t="s">
        <v>40</v>
      </c>
      <c r="R78" s="92"/>
      <c r="S78" s="92"/>
      <c r="T78" s="92"/>
      <c r="U78" s="92"/>
      <c r="V78" s="92"/>
      <c r="W78" s="92"/>
    </row>
    <row r="79" spans="1:23" s="20" customFormat="1">
      <c r="A79" s="9">
        <v>44412</v>
      </c>
      <c r="B79" s="91" t="s">
        <v>23</v>
      </c>
      <c r="C79" s="91" t="s">
        <v>431</v>
      </c>
      <c r="D79" s="92" t="s">
        <v>31</v>
      </c>
      <c r="E79" s="759" t="s">
        <v>4610</v>
      </c>
      <c r="F79" s="759" t="s">
        <v>4611</v>
      </c>
      <c r="G79" s="30">
        <v>1</v>
      </c>
      <c r="H79" s="86">
        <v>110000</v>
      </c>
      <c r="I79" s="92">
        <f t="shared" si="4"/>
        <v>110000</v>
      </c>
      <c r="J79" s="20">
        <f>I79*25%+40000</f>
        <v>67500</v>
      </c>
      <c r="K79" s="17">
        <f t="shared" si="5"/>
        <v>42500</v>
      </c>
      <c r="L79" s="17"/>
      <c r="M79" s="17"/>
      <c r="N79" s="17">
        <f t="shared" si="6"/>
        <v>42500</v>
      </c>
      <c r="O79" s="91" t="s">
        <v>23</v>
      </c>
      <c r="P79" s="183"/>
      <c r="Q79" s="91" t="s">
        <v>35</v>
      </c>
      <c r="R79" s="17"/>
      <c r="S79" s="17"/>
      <c r="T79" s="17"/>
      <c r="U79" s="17"/>
      <c r="V79" s="17"/>
      <c r="W79" s="17"/>
    </row>
    <row r="80" spans="1:23" s="20" customFormat="1">
      <c r="A80" s="9">
        <v>44412</v>
      </c>
      <c r="B80" s="91" t="s">
        <v>23</v>
      </c>
      <c r="C80" s="91" t="s">
        <v>431</v>
      </c>
      <c r="D80" s="92" t="s">
        <v>31</v>
      </c>
      <c r="E80" s="759" t="s">
        <v>5418</v>
      </c>
      <c r="F80" s="759" t="s">
        <v>5419</v>
      </c>
      <c r="G80" s="30">
        <v>1</v>
      </c>
      <c r="H80" s="86">
        <v>115500</v>
      </c>
      <c r="I80" s="92">
        <f t="shared" si="4"/>
        <v>115500</v>
      </c>
      <c r="J80" s="20">
        <f>I80*25%</f>
        <v>28875</v>
      </c>
      <c r="K80" s="17">
        <f t="shared" si="5"/>
        <v>86625</v>
      </c>
      <c r="L80" s="17"/>
      <c r="M80" s="17"/>
      <c r="N80" s="17">
        <f t="shared" si="6"/>
        <v>86625</v>
      </c>
      <c r="O80" s="91" t="s">
        <v>23</v>
      </c>
      <c r="P80" s="72"/>
      <c r="Q80" s="91" t="s">
        <v>35</v>
      </c>
      <c r="R80" s="17"/>
      <c r="S80" s="17"/>
      <c r="T80" s="17"/>
      <c r="U80" s="17"/>
      <c r="V80" s="17"/>
      <c r="W80" s="17"/>
    </row>
    <row r="81" spans="1:23" s="20" customFormat="1">
      <c r="A81" s="9">
        <v>44412</v>
      </c>
      <c r="B81" s="91" t="s">
        <v>23</v>
      </c>
      <c r="C81" s="91" t="s">
        <v>431</v>
      </c>
      <c r="D81" s="92" t="s">
        <v>31</v>
      </c>
      <c r="E81" s="759" t="s">
        <v>5420</v>
      </c>
      <c r="F81" s="759" t="s">
        <v>5421</v>
      </c>
      <c r="G81" s="30">
        <v>1</v>
      </c>
      <c r="H81" s="86">
        <v>83000</v>
      </c>
      <c r="I81" s="92">
        <f t="shared" si="4"/>
        <v>83000</v>
      </c>
      <c r="J81" s="20">
        <f>I81*25%</f>
        <v>20750</v>
      </c>
      <c r="K81" s="17">
        <f t="shared" si="5"/>
        <v>62250</v>
      </c>
      <c r="L81" s="17"/>
      <c r="M81" s="17"/>
      <c r="N81" s="17">
        <f t="shared" si="6"/>
        <v>62250</v>
      </c>
      <c r="O81" s="91" t="s">
        <v>23</v>
      </c>
      <c r="P81" s="183"/>
      <c r="Q81" s="91" t="s">
        <v>35</v>
      </c>
      <c r="R81" s="17"/>
      <c r="S81" s="17"/>
      <c r="T81" s="17"/>
      <c r="U81" s="17"/>
      <c r="V81" s="17"/>
      <c r="W81" s="17"/>
    </row>
    <row r="82" spans="1:23" s="20" customFormat="1">
      <c r="A82" s="9">
        <v>44412</v>
      </c>
      <c r="B82" s="91" t="s">
        <v>23</v>
      </c>
      <c r="C82" s="91" t="s">
        <v>5422</v>
      </c>
      <c r="D82" s="29" t="s">
        <v>5423</v>
      </c>
      <c r="E82" s="739" t="s">
        <v>3984</v>
      </c>
      <c r="F82" s="739" t="s">
        <v>2107</v>
      </c>
      <c r="G82" s="30">
        <v>1</v>
      </c>
      <c r="H82" s="86">
        <v>64500</v>
      </c>
      <c r="I82" s="92">
        <f t="shared" si="4"/>
        <v>64500</v>
      </c>
      <c r="K82" s="17">
        <f t="shared" si="5"/>
        <v>64500</v>
      </c>
      <c r="L82" s="17">
        <v>52000</v>
      </c>
      <c r="M82" s="17"/>
      <c r="N82" s="17">
        <f t="shared" si="6"/>
        <v>116500</v>
      </c>
      <c r="O82" s="91" t="s">
        <v>23</v>
      </c>
      <c r="P82" s="183"/>
      <c r="Q82" s="91" t="s">
        <v>40</v>
      </c>
      <c r="R82" s="17"/>
      <c r="S82" s="17"/>
      <c r="T82" s="17"/>
      <c r="U82" s="17"/>
      <c r="V82" s="17"/>
      <c r="W82" s="17"/>
    </row>
    <row r="83" spans="1:23" s="20" customFormat="1">
      <c r="A83" s="9">
        <v>44412</v>
      </c>
      <c r="B83" s="91" t="s">
        <v>23</v>
      </c>
      <c r="C83" s="123" t="s">
        <v>5424</v>
      </c>
      <c r="D83" s="29" t="s">
        <v>5425</v>
      </c>
      <c r="E83" s="739" t="s">
        <v>5426</v>
      </c>
      <c r="F83" s="739" t="s">
        <v>5427</v>
      </c>
      <c r="G83" s="30">
        <v>1</v>
      </c>
      <c r="H83" s="86">
        <v>105000</v>
      </c>
      <c r="I83" s="92">
        <f t="shared" si="4"/>
        <v>105000</v>
      </c>
      <c r="K83" s="17">
        <f t="shared" si="5"/>
        <v>105000</v>
      </c>
      <c r="L83" s="17">
        <v>19000</v>
      </c>
      <c r="M83" s="17"/>
      <c r="N83" s="17">
        <f t="shared" si="6"/>
        <v>124000</v>
      </c>
      <c r="O83" s="91" t="s">
        <v>23</v>
      </c>
      <c r="P83" s="72"/>
      <c r="Q83" s="91" t="s">
        <v>54</v>
      </c>
      <c r="R83" s="17"/>
      <c r="S83" s="17"/>
      <c r="T83" s="17"/>
      <c r="U83" s="17"/>
      <c r="V83" s="17"/>
      <c r="W83" s="17"/>
    </row>
    <row r="84" spans="1:23" s="20" customFormat="1" hidden="1">
      <c r="A84" s="137">
        <v>44412</v>
      </c>
      <c r="B84" s="138" t="s">
        <v>170</v>
      </c>
      <c r="C84" s="146" t="s">
        <v>5428</v>
      </c>
      <c r="D84" s="29" t="s">
        <v>5429</v>
      </c>
      <c r="E84" s="146" t="s">
        <v>4406</v>
      </c>
      <c r="F84" s="146" t="s">
        <v>4407</v>
      </c>
      <c r="G84" s="141">
        <v>1</v>
      </c>
      <c r="H84" s="86">
        <v>74000</v>
      </c>
      <c r="I84" s="92">
        <f t="shared" si="4"/>
        <v>74000</v>
      </c>
      <c r="J84" s="20">
        <f>I84*20%</f>
        <v>14800</v>
      </c>
      <c r="K84" s="17">
        <f t="shared" si="5"/>
        <v>59200</v>
      </c>
      <c r="L84" s="17">
        <f>16000-16000</f>
        <v>0</v>
      </c>
      <c r="M84" s="17"/>
      <c r="N84" s="17">
        <f t="shared" si="6"/>
        <v>59200</v>
      </c>
      <c r="O84" s="138" t="s">
        <v>170</v>
      </c>
      <c r="P84" s="72"/>
      <c r="Q84" s="138" t="s">
        <v>54</v>
      </c>
      <c r="R84" s="17"/>
      <c r="S84" s="17"/>
      <c r="T84" s="17"/>
      <c r="U84" s="17"/>
      <c r="V84" s="17"/>
      <c r="W84" s="17"/>
    </row>
    <row r="85" spans="1:23" s="20" customFormat="1">
      <c r="A85" s="137">
        <v>44412</v>
      </c>
      <c r="B85" s="138" t="s">
        <v>23</v>
      </c>
      <c r="C85" s="138" t="s">
        <v>5430</v>
      </c>
      <c r="D85" s="29" t="s">
        <v>31</v>
      </c>
      <c r="E85" s="146" t="s">
        <v>3119</v>
      </c>
      <c r="F85" s="146" t="s">
        <v>3120</v>
      </c>
      <c r="G85" s="141">
        <v>36</v>
      </c>
      <c r="H85" s="86">
        <v>65500</v>
      </c>
      <c r="I85" s="92">
        <f t="shared" si="4"/>
        <v>2358000</v>
      </c>
      <c r="J85" s="20">
        <f>I85*40%</f>
        <v>943200</v>
      </c>
      <c r="K85" s="17">
        <f t="shared" si="5"/>
        <v>1414800</v>
      </c>
      <c r="L85" s="17"/>
      <c r="M85" s="17"/>
      <c r="N85" s="17">
        <f t="shared" si="6"/>
        <v>1414800</v>
      </c>
      <c r="O85" s="138" t="s">
        <v>23</v>
      </c>
      <c r="P85" s="72"/>
      <c r="Q85" s="138" t="s">
        <v>35</v>
      </c>
      <c r="R85" s="17"/>
      <c r="S85" s="17"/>
      <c r="T85" s="17"/>
      <c r="U85" s="17"/>
      <c r="V85" s="17"/>
      <c r="W85" s="17"/>
    </row>
    <row r="86" spans="1:23" s="20" customFormat="1" hidden="1">
      <c r="A86" s="9">
        <v>44413</v>
      </c>
      <c r="B86" s="91" t="s">
        <v>206</v>
      </c>
      <c r="C86" s="123" t="s">
        <v>5431</v>
      </c>
      <c r="D86" s="29" t="s">
        <v>5432</v>
      </c>
      <c r="E86" s="739" t="s">
        <v>5433</v>
      </c>
      <c r="F86" s="739" t="s">
        <v>5434</v>
      </c>
      <c r="G86" s="30">
        <v>1</v>
      </c>
      <c r="H86" s="86">
        <v>82000</v>
      </c>
      <c r="I86" s="92">
        <f t="shared" si="4"/>
        <v>82000</v>
      </c>
      <c r="K86" s="17">
        <f t="shared" si="5"/>
        <v>82000</v>
      </c>
      <c r="L86" s="17">
        <v>7400</v>
      </c>
      <c r="M86" s="17"/>
      <c r="N86" s="17">
        <f t="shared" si="6"/>
        <v>89400</v>
      </c>
      <c r="O86" s="91" t="s">
        <v>206</v>
      </c>
      <c r="P86" s="72"/>
      <c r="Q86" s="91" t="s">
        <v>28</v>
      </c>
      <c r="R86" s="17"/>
      <c r="S86" s="17"/>
      <c r="T86" s="17"/>
      <c r="U86" s="17"/>
      <c r="V86" s="17"/>
      <c r="W86" s="17"/>
    </row>
    <row r="87" spans="1:23" s="20" customFormat="1" hidden="1">
      <c r="A87" s="9">
        <v>44413</v>
      </c>
      <c r="B87" s="91" t="s">
        <v>170</v>
      </c>
      <c r="C87" s="123" t="s">
        <v>5435</v>
      </c>
      <c r="D87" s="29" t="s">
        <v>5436</v>
      </c>
      <c r="E87" s="739" t="s">
        <v>5437</v>
      </c>
      <c r="F87" s="739" t="s">
        <v>5438</v>
      </c>
      <c r="G87" s="30">
        <v>1</v>
      </c>
      <c r="H87" s="86">
        <v>104000</v>
      </c>
      <c r="I87" s="92">
        <f t="shared" si="4"/>
        <v>104000</v>
      </c>
      <c r="J87" s="20">
        <f>I87*20%</f>
        <v>20800</v>
      </c>
      <c r="K87" s="17">
        <f t="shared" si="5"/>
        <v>83200</v>
      </c>
      <c r="L87" s="17">
        <f>13000-13000</f>
        <v>0</v>
      </c>
      <c r="M87" s="17"/>
      <c r="N87" s="17">
        <f t="shared" si="6"/>
        <v>83200</v>
      </c>
      <c r="O87" s="91" t="s">
        <v>170</v>
      </c>
      <c r="P87" s="72"/>
      <c r="Q87" s="91" t="s">
        <v>176</v>
      </c>
      <c r="R87" s="17"/>
      <c r="S87" s="17"/>
      <c r="T87" s="17"/>
      <c r="U87" s="17"/>
      <c r="V87" s="17"/>
      <c r="W87" s="17"/>
    </row>
    <row r="88" spans="1:23" s="20" customFormat="1">
      <c r="A88" s="9">
        <v>44413</v>
      </c>
      <c r="B88" s="91" t="s">
        <v>23</v>
      </c>
      <c r="C88" s="123" t="s">
        <v>5439</v>
      </c>
      <c r="D88" s="29" t="s">
        <v>5440</v>
      </c>
      <c r="E88" s="739" t="s">
        <v>5426</v>
      </c>
      <c r="F88" s="739" t="s">
        <v>5427</v>
      </c>
      <c r="G88" s="30">
        <v>11</v>
      </c>
      <c r="H88" s="86">
        <v>105000</v>
      </c>
      <c r="I88" s="92">
        <f t="shared" si="4"/>
        <v>1155000</v>
      </c>
      <c r="J88" s="17"/>
      <c r="K88" s="17">
        <f t="shared" si="5"/>
        <v>1155000</v>
      </c>
      <c r="L88" s="17">
        <v>60000</v>
      </c>
      <c r="M88" s="17"/>
      <c r="N88" s="17">
        <f t="shared" si="6"/>
        <v>1215000</v>
      </c>
      <c r="O88" s="91" t="s">
        <v>23</v>
      </c>
      <c r="P88" s="183"/>
      <c r="Q88" s="91" t="s">
        <v>40</v>
      </c>
      <c r="R88" s="17"/>
      <c r="S88" s="17"/>
      <c r="T88" s="17"/>
      <c r="U88" s="17"/>
      <c r="V88" s="17"/>
      <c r="W88" s="17"/>
    </row>
    <row r="89" spans="1:23" s="29" customFormat="1" ht="17.25" customHeight="1">
      <c r="A89" s="9">
        <v>44413</v>
      </c>
      <c r="B89" s="91" t="s">
        <v>23</v>
      </c>
      <c r="C89" s="91" t="s">
        <v>5441</v>
      </c>
      <c r="D89" s="770" t="s">
        <v>9435</v>
      </c>
      <c r="E89" s="739" t="s">
        <v>5442</v>
      </c>
      <c r="F89" s="739" t="s">
        <v>5443</v>
      </c>
      <c r="G89" s="30">
        <v>1</v>
      </c>
      <c r="H89" s="86">
        <v>75500</v>
      </c>
      <c r="I89" s="92">
        <f t="shared" si="4"/>
        <v>75500</v>
      </c>
      <c r="J89" s="92"/>
      <c r="K89" s="17">
        <f t="shared" si="5"/>
        <v>75500</v>
      </c>
      <c r="L89" s="92">
        <v>16000</v>
      </c>
      <c r="M89" s="92"/>
      <c r="N89" s="17">
        <f t="shared" si="6"/>
        <v>91500</v>
      </c>
      <c r="O89" s="91" t="s">
        <v>23</v>
      </c>
      <c r="P89" s="72"/>
      <c r="Q89" s="91" t="s">
        <v>40</v>
      </c>
      <c r="R89" s="92"/>
      <c r="S89" s="92"/>
      <c r="T89" s="92"/>
      <c r="U89" s="92"/>
      <c r="V89" s="92"/>
      <c r="W89" s="92"/>
    </row>
    <row r="90" spans="1:23" s="20" customFormat="1">
      <c r="A90" s="9">
        <v>44413</v>
      </c>
      <c r="B90" s="91" t="s">
        <v>23</v>
      </c>
      <c r="C90" s="123" t="s">
        <v>5444</v>
      </c>
      <c r="D90" s="29" t="s">
        <v>5445</v>
      </c>
      <c r="E90" s="760" t="s">
        <v>1753</v>
      </c>
      <c r="F90" s="760" t="s">
        <v>1754</v>
      </c>
      <c r="G90" s="30">
        <v>1</v>
      </c>
      <c r="H90" s="86">
        <v>86000</v>
      </c>
      <c r="I90" s="92">
        <f t="shared" si="4"/>
        <v>86000</v>
      </c>
      <c r="J90" s="17"/>
      <c r="K90" s="17">
        <f t="shared" si="5"/>
        <v>86000</v>
      </c>
      <c r="L90" s="92">
        <v>65000</v>
      </c>
      <c r="M90" s="17"/>
      <c r="N90" s="17">
        <f t="shared" si="6"/>
        <v>151000</v>
      </c>
      <c r="O90" s="91" t="s">
        <v>23</v>
      </c>
      <c r="P90" s="72"/>
      <c r="Q90" s="91" t="s">
        <v>54</v>
      </c>
      <c r="R90" s="17"/>
      <c r="S90" s="17"/>
      <c r="T90" s="17"/>
      <c r="U90" s="17"/>
      <c r="V90" s="17"/>
      <c r="W90" s="17"/>
    </row>
    <row r="91" spans="1:23" s="20" customFormat="1">
      <c r="A91" s="9">
        <v>44413</v>
      </c>
      <c r="B91" s="91" t="s">
        <v>23</v>
      </c>
      <c r="C91" s="123" t="s">
        <v>5444</v>
      </c>
      <c r="D91" s="29" t="s">
        <v>5445</v>
      </c>
      <c r="E91" s="760" t="s">
        <v>5446</v>
      </c>
      <c r="F91" s="760" t="s">
        <v>5447</v>
      </c>
      <c r="G91" s="30">
        <v>1</v>
      </c>
      <c r="H91" s="86">
        <v>97000</v>
      </c>
      <c r="I91" s="92">
        <f t="shared" si="4"/>
        <v>97000</v>
      </c>
      <c r="J91" s="17"/>
      <c r="K91" s="17">
        <f t="shared" si="5"/>
        <v>97000</v>
      </c>
      <c r="L91" s="17"/>
      <c r="M91" s="17"/>
      <c r="N91" s="17">
        <f t="shared" si="6"/>
        <v>97000</v>
      </c>
      <c r="O91" s="91" t="s">
        <v>23</v>
      </c>
      <c r="P91" s="183"/>
      <c r="Q91" s="91" t="s">
        <v>54</v>
      </c>
      <c r="R91" s="17"/>
      <c r="S91" s="17"/>
      <c r="T91" s="17"/>
      <c r="U91" s="17"/>
      <c r="V91" s="17"/>
      <c r="W91" s="17"/>
    </row>
    <row r="92" spans="1:23" s="20" customFormat="1">
      <c r="A92" s="9">
        <v>44413</v>
      </c>
      <c r="B92" s="91" t="s">
        <v>23</v>
      </c>
      <c r="C92" s="123" t="s">
        <v>5444</v>
      </c>
      <c r="D92" s="29" t="s">
        <v>5445</v>
      </c>
      <c r="E92" s="760" t="s">
        <v>5448</v>
      </c>
      <c r="F92" s="760" t="s">
        <v>72</v>
      </c>
      <c r="G92" s="30">
        <v>1</v>
      </c>
      <c r="H92" s="86">
        <v>117000</v>
      </c>
      <c r="I92" s="92">
        <f t="shared" si="4"/>
        <v>117000</v>
      </c>
      <c r="J92" s="17"/>
      <c r="K92" s="17">
        <f t="shared" si="5"/>
        <v>117000</v>
      </c>
      <c r="L92" s="17"/>
      <c r="M92" s="17"/>
      <c r="N92" s="17">
        <f t="shared" si="6"/>
        <v>117000</v>
      </c>
      <c r="O92" s="91" t="s">
        <v>23</v>
      </c>
      <c r="P92" s="72"/>
      <c r="Q92" s="91" t="s">
        <v>54</v>
      </c>
      <c r="R92" s="17"/>
      <c r="S92" s="17"/>
      <c r="T92" s="17"/>
      <c r="U92" s="17"/>
      <c r="V92" s="17"/>
      <c r="W92" s="17"/>
    </row>
    <row r="93" spans="1:23" s="20" customFormat="1">
      <c r="A93" s="9">
        <v>44413</v>
      </c>
      <c r="B93" s="91" t="s">
        <v>23</v>
      </c>
      <c r="C93" s="91" t="s">
        <v>5449</v>
      </c>
      <c r="D93" s="29" t="s">
        <v>5450</v>
      </c>
      <c r="E93" s="759" t="s">
        <v>5451</v>
      </c>
      <c r="F93" s="759" t="s">
        <v>1065</v>
      </c>
      <c r="G93" s="30">
        <v>1</v>
      </c>
      <c r="H93" s="86">
        <v>110500</v>
      </c>
      <c r="I93" s="92">
        <f t="shared" si="4"/>
        <v>110500</v>
      </c>
      <c r="J93" s="17"/>
      <c r="K93" s="17">
        <f t="shared" si="5"/>
        <v>110500</v>
      </c>
      <c r="L93" s="17">
        <v>179000</v>
      </c>
      <c r="M93" s="17"/>
      <c r="N93" s="17">
        <f t="shared" si="6"/>
        <v>289500</v>
      </c>
      <c r="O93" s="91" t="s">
        <v>23</v>
      </c>
      <c r="P93" s="183"/>
      <c r="Q93" s="91" t="s">
        <v>54</v>
      </c>
      <c r="R93" s="17"/>
      <c r="S93" s="17"/>
      <c r="T93" s="17"/>
      <c r="U93" s="17"/>
      <c r="V93" s="17"/>
      <c r="W93" s="17"/>
    </row>
    <row r="94" spans="1:23" s="20" customFormat="1">
      <c r="A94" s="9">
        <v>44413</v>
      </c>
      <c r="B94" s="91" t="s">
        <v>23</v>
      </c>
      <c r="C94" s="91" t="s">
        <v>5449</v>
      </c>
      <c r="D94" s="29" t="s">
        <v>5450</v>
      </c>
      <c r="E94" s="759" t="s">
        <v>1189</v>
      </c>
      <c r="F94" s="759" t="s">
        <v>1190</v>
      </c>
      <c r="G94" s="30">
        <v>1</v>
      </c>
      <c r="H94" s="86">
        <v>100000</v>
      </c>
      <c r="I94" s="92">
        <f t="shared" si="4"/>
        <v>100000</v>
      </c>
      <c r="J94" s="17"/>
      <c r="K94" s="17">
        <f t="shared" si="5"/>
        <v>100000</v>
      </c>
      <c r="L94" s="17"/>
      <c r="M94" s="17"/>
      <c r="N94" s="17">
        <f t="shared" si="6"/>
        <v>100000</v>
      </c>
      <c r="O94" s="91" t="s">
        <v>23</v>
      </c>
      <c r="P94" s="72"/>
      <c r="Q94" s="91" t="s">
        <v>54</v>
      </c>
      <c r="R94" s="17"/>
      <c r="S94" s="17"/>
      <c r="T94" s="17"/>
      <c r="U94" s="17"/>
      <c r="V94" s="17"/>
      <c r="W94" s="17"/>
    </row>
    <row r="95" spans="1:23" s="20" customFormat="1">
      <c r="A95" s="9">
        <v>44413</v>
      </c>
      <c r="B95" s="91" t="s">
        <v>23</v>
      </c>
      <c r="C95" s="91" t="s">
        <v>5452</v>
      </c>
      <c r="D95" s="29" t="s">
        <v>5453</v>
      </c>
      <c r="E95" s="739" t="s">
        <v>5454</v>
      </c>
      <c r="F95" s="739" t="s">
        <v>5455</v>
      </c>
      <c r="G95" s="30">
        <v>1</v>
      </c>
      <c r="H95" s="86">
        <v>83000</v>
      </c>
      <c r="I95" s="92">
        <f t="shared" si="4"/>
        <v>83000</v>
      </c>
      <c r="J95" s="17"/>
      <c r="K95" s="17">
        <f t="shared" si="5"/>
        <v>83000</v>
      </c>
      <c r="L95" s="17">
        <v>16000</v>
      </c>
      <c r="M95" s="17"/>
      <c r="N95" s="17">
        <f t="shared" si="6"/>
        <v>99000</v>
      </c>
      <c r="O95" s="91" t="s">
        <v>23</v>
      </c>
      <c r="P95" s="72"/>
      <c r="Q95" s="91" t="s">
        <v>40</v>
      </c>
      <c r="R95" s="17"/>
      <c r="S95" s="17"/>
      <c r="T95" s="17"/>
      <c r="U95" s="17"/>
      <c r="V95" s="17"/>
      <c r="W95" s="17"/>
    </row>
    <row r="96" spans="1:23" s="20" customFormat="1" hidden="1">
      <c r="A96" s="9">
        <v>44414</v>
      </c>
      <c r="B96" s="91" t="s">
        <v>43</v>
      </c>
      <c r="C96" s="91" t="s">
        <v>5456</v>
      </c>
      <c r="D96" s="29" t="s">
        <v>5457</v>
      </c>
      <c r="E96" s="739" t="s">
        <v>2677</v>
      </c>
      <c r="F96" s="739" t="s">
        <v>1579</v>
      </c>
      <c r="G96" s="498">
        <v>1</v>
      </c>
      <c r="H96" s="86">
        <v>106000</v>
      </c>
      <c r="I96" s="92">
        <f t="shared" si="4"/>
        <v>106000</v>
      </c>
      <c r="J96" s="17"/>
      <c r="K96" s="92">
        <f t="shared" si="5"/>
        <v>106000</v>
      </c>
      <c r="L96" s="17">
        <v>5600</v>
      </c>
      <c r="M96" s="17">
        <v>-5600</v>
      </c>
      <c r="N96" s="17">
        <f t="shared" si="6"/>
        <v>106000</v>
      </c>
      <c r="O96" s="91" t="s">
        <v>43</v>
      </c>
      <c r="P96" s="72"/>
      <c r="Q96" s="91" t="s">
        <v>54</v>
      </c>
      <c r="R96" s="17"/>
      <c r="S96" s="17"/>
      <c r="T96" s="17"/>
      <c r="U96" s="17"/>
      <c r="V96" s="17"/>
      <c r="W96" s="17"/>
    </row>
    <row r="97" spans="1:23" s="20" customFormat="1">
      <c r="A97" s="9">
        <v>44414</v>
      </c>
      <c r="B97" s="91" t="s">
        <v>23</v>
      </c>
      <c r="C97" s="91" t="s">
        <v>5458</v>
      </c>
      <c r="D97" s="29" t="s">
        <v>5459</v>
      </c>
      <c r="E97" s="739" t="s">
        <v>5426</v>
      </c>
      <c r="F97" s="739" t="s">
        <v>5427</v>
      </c>
      <c r="G97" s="645">
        <v>1</v>
      </c>
      <c r="H97" s="86">
        <v>105000</v>
      </c>
      <c r="I97" s="92">
        <f t="shared" si="4"/>
        <v>105000</v>
      </c>
      <c r="J97" s="17"/>
      <c r="K97" s="92">
        <f t="shared" si="5"/>
        <v>105000</v>
      </c>
      <c r="L97" s="17"/>
      <c r="M97" s="17"/>
      <c r="N97" s="17">
        <f t="shared" si="6"/>
        <v>105000</v>
      </c>
      <c r="O97" s="91" t="s">
        <v>23</v>
      </c>
      <c r="P97" s="72"/>
      <c r="Q97" s="91" t="s">
        <v>40</v>
      </c>
      <c r="R97" s="17"/>
      <c r="S97" s="17"/>
      <c r="T97" s="17"/>
      <c r="U97" s="17"/>
      <c r="V97" s="17"/>
      <c r="W97" s="17"/>
    </row>
    <row r="98" spans="1:23" s="20" customFormat="1">
      <c r="A98" s="9">
        <v>44414</v>
      </c>
      <c r="B98" s="91" t="s">
        <v>23</v>
      </c>
      <c r="C98" s="91" t="s">
        <v>5460</v>
      </c>
      <c r="D98" s="29" t="s">
        <v>5461</v>
      </c>
      <c r="E98" s="739" t="s">
        <v>5462</v>
      </c>
      <c r="F98" s="739" t="s">
        <v>5463</v>
      </c>
      <c r="G98" s="30">
        <v>3</v>
      </c>
      <c r="H98" s="86">
        <v>94000</v>
      </c>
      <c r="I98" s="92">
        <f t="shared" si="4"/>
        <v>282000</v>
      </c>
      <c r="J98" s="17"/>
      <c r="K98" s="92">
        <f t="shared" si="5"/>
        <v>282000</v>
      </c>
      <c r="L98" s="17">
        <v>61000</v>
      </c>
      <c r="M98" s="17"/>
      <c r="N98" s="17">
        <f t="shared" si="6"/>
        <v>343000</v>
      </c>
      <c r="O98" s="91" t="s">
        <v>23</v>
      </c>
      <c r="P98" s="72"/>
      <c r="Q98" s="91" t="s">
        <v>40</v>
      </c>
      <c r="R98" s="17"/>
      <c r="S98" s="17"/>
      <c r="T98" s="17"/>
      <c r="U98" s="17"/>
      <c r="V98" s="17"/>
      <c r="W98" s="17"/>
    </row>
    <row r="99" spans="1:23" s="20" customFormat="1" ht="57.6">
      <c r="A99" s="9">
        <v>44414</v>
      </c>
      <c r="B99" s="91" t="s">
        <v>23</v>
      </c>
      <c r="C99" s="123" t="s">
        <v>5464</v>
      </c>
      <c r="D99" s="770" t="s">
        <v>9433</v>
      </c>
      <c r="E99" s="739" t="s">
        <v>1820</v>
      </c>
      <c r="F99" s="739" t="s">
        <v>1821</v>
      </c>
      <c r="G99" s="30">
        <v>1</v>
      </c>
      <c r="H99" s="86">
        <v>82000</v>
      </c>
      <c r="I99" s="92">
        <f t="shared" si="4"/>
        <v>82000</v>
      </c>
      <c r="K99" s="92">
        <f t="shared" si="5"/>
        <v>82000</v>
      </c>
      <c r="L99" s="17">
        <v>7000</v>
      </c>
      <c r="M99" s="17"/>
      <c r="N99" s="17">
        <f t="shared" si="6"/>
        <v>89000</v>
      </c>
      <c r="O99" s="91" t="s">
        <v>23</v>
      </c>
      <c r="P99" s="183"/>
      <c r="Q99" s="91" t="s">
        <v>28</v>
      </c>
      <c r="R99" s="17"/>
      <c r="S99" s="17"/>
      <c r="T99" s="17"/>
      <c r="U99" s="17"/>
      <c r="V99" s="17"/>
      <c r="W99" s="17"/>
    </row>
    <row r="100" spans="1:23" s="20" customFormat="1">
      <c r="A100" s="9">
        <v>44414</v>
      </c>
      <c r="B100" s="91" t="s">
        <v>23</v>
      </c>
      <c r="C100" s="91" t="s">
        <v>5465</v>
      </c>
      <c r="D100" s="183" t="s">
        <v>5466</v>
      </c>
      <c r="E100" s="739" t="s">
        <v>93</v>
      </c>
      <c r="F100" s="739" t="s">
        <v>115</v>
      </c>
      <c r="G100" s="30">
        <v>1</v>
      </c>
      <c r="H100" s="86">
        <v>93500</v>
      </c>
      <c r="I100" s="92">
        <f t="shared" si="4"/>
        <v>93500</v>
      </c>
      <c r="K100" s="92">
        <f t="shared" si="5"/>
        <v>93500</v>
      </c>
      <c r="L100" s="17">
        <v>45000</v>
      </c>
      <c r="M100" s="17"/>
      <c r="N100" s="17">
        <f t="shared" si="6"/>
        <v>138500</v>
      </c>
      <c r="O100" s="91" t="s">
        <v>23</v>
      </c>
      <c r="P100" s="72"/>
      <c r="Q100" s="91" t="s">
        <v>40</v>
      </c>
      <c r="R100" s="17"/>
      <c r="S100" s="17"/>
      <c r="T100" s="17"/>
      <c r="U100" s="17"/>
      <c r="V100" s="17"/>
      <c r="W100" s="17"/>
    </row>
    <row r="101" spans="1:23" s="20" customFormat="1">
      <c r="A101" s="9">
        <v>44414</v>
      </c>
      <c r="B101" s="91" t="s">
        <v>23</v>
      </c>
      <c r="C101" s="123" t="s">
        <v>5467</v>
      </c>
      <c r="D101" s="183" t="s">
        <v>5468</v>
      </c>
      <c r="E101" s="739" t="s">
        <v>3505</v>
      </c>
      <c r="F101" s="739" t="s">
        <v>3506</v>
      </c>
      <c r="G101" s="30">
        <v>1</v>
      </c>
      <c r="H101" s="86">
        <v>129000</v>
      </c>
      <c r="I101" s="92">
        <f t="shared" si="4"/>
        <v>129000</v>
      </c>
      <c r="K101" s="92">
        <f t="shared" si="5"/>
        <v>129000</v>
      </c>
      <c r="L101" s="17">
        <v>16000</v>
      </c>
      <c r="M101" s="17"/>
      <c r="N101" s="17">
        <f t="shared" si="6"/>
        <v>145000</v>
      </c>
      <c r="O101" s="91" t="s">
        <v>23</v>
      </c>
      <c r="P101" s="183"/>
      <c r="Q101" s="91" t="s">
        <v>40</v>
      </c>
      <c r="R101" s="17"/>
      <c r="S101" s="17"/>
      <c r="T101" s="17"/>
      <c r="U101" s="17"/>
      <c r="V101" s="17"/>
      <c r="W101" s="17"/>
    </row>
    <row r="102" spans="1:23" s="20" customFormat="1">
      <c r="A102" s="9">
        <v>44414</v>
      </c>
      <c r="B102" s="91" t="s">
        <v>23</v>
      </c>
      <c r="C102" s="91" t="s">
        <v>5469</v>
      </c>
      <c r="D102" s="183" t="s">
        <v>5470</v>
      </c>
      <c r="E102" s="739" t="s">
        <v>5471</v>
      </c>
      <c r="F102" s="739" t="s">
        <v>5472</v>
      </c>
      <c r="G102" s="30">
        <v>1</v>
      </c>
      <c r="H102" s="86">
        <v>61000</v>
      </c>
      <c r="I102" s="92">
        <f t="shared" si="4"/>
        <v>61000</v>
      </c>
      <c r="K102" s="92">
        <f t="shared" si="5"/>
        <v>61000</v>
      </c>
      <c r="L102" s="17">
        <v>11000</v>
      </c>
      <c r="M102" s="17"/>
      <c r="N102" s="17">
        <f t="shared" si="6"/>
        <v>72000</v>
      </c>
      <c r="O102" s="91" t="s">
        <v>23</v>
      </c>
      <c r="P102" s="72"/>
      <c r="Q102" s="91" t="s">
        <v>54</v>
      </c>
      <c r="R102" s="17"/>
      <c r="S102" s="17"/>
      <c r="T102" s="17"/>
      <c r="U102" s="17"/>
      <c r="V102" s="17"/>
      <c r="W102" s="17"/>
    </row>
    <row r="103" spans="1:23" s="119" customFormat="1" hidden="1">
      <c r="A103" s="9">
        <v>44414</v>
      </c>
      <c r="B103" s="91" t="s">
        <v>43</v>
      </c>
      <c r="C103" s="91" t="s">
        <v>5473</v>
      </c>
      <c r="D103" s="771" t="s">
        <v>5474</v>
      </c>
      <c r="E103" s="739" t="s">
        <v>1725</v>
      </c>
      <c r="F103" s="739" t="s">
        <v>1726</v>
      </c>
      <c r="G103" s="30">
        <v>1</v>
      </c>
      <c r="H103" s="86">
        <v>90000</v>
      </c>
      <c r="I103" s="171">
        <f t="shared" si="4"/>
        <v>90000</v>
      </c>
      <c r="J103" s="772"/>
      <c r="K103" s="86">
        <f t="shared" si="5"/>
        <v>90000</v>
      </c>
      <c r="L103" s="772"/>
      <c r="M103" s="772">
        <v>-5040</v>
      </c>
      <c r="N103" s="17">
        <f t="shared" si="6"/>
        <v>84960</v>
      </c>
      <c r="O103" s="91" t="s">
        <v>43</v>
      </c>
      <c r="P103" s="685"/>
      <c r="Q103" s="91" t="s">
        <v>54</v>
      </c>
      <c r="R103" s="772"/>
      <c r="S103" s="653"/>
      <c r="T103" s="772"/>
      <c r="U103" s="772"/>
      <c r="V103" s="772"/>
      <c r="W103" s="772"/>
    </row>
    <row r="104" spans="1:23" s="119" customFormat="1">
      <c r="A104" s="9">
        <v>44414</v>
      </c>
      <c r="B104" s="91" t="s">
        <v>23</v>
      </c>
      <c r="C104" s="91" t="s">
        <v>5475</v>
      </c>
      <c r="D104" s="771" t="s">
        <v>5476</v>
      </c>
      <c r="E104" s="739" t="s">
        <v>5477</v>
      </c>
      <c r="F104" s="739" t="s">
        <v>5478</v>
      </c>
      <c r="G104" s="30">
        <v>1</v>
      </c>
      <c r="H104" s="86">
        <v>150000</v>
      </c>
      <c r="I104" s="171">
        <f t="shared" si="4"/>
        <v>150000</v>
      </c>
      <c r="J104" s="772"/>
      <c r="K104" s="86">
        <f t="shared" si="5"/>
        <v>150000</v>
      </c>
      <c r="L104" s="86">
        <v>23000</v>
      </c>
      <c r="M104" s="772"/>
      <c r="N104" s="17">
        <f t="shared" si="6"/>
        <v>173000</v>
      </c>
      <c r="O104" s="91" t="s">
        <v>23</v>
      </c>
      <c r="P104" s="649"/>
      <c r="Q104" s="91" t="s">
        <v>54</v>
      </c>
      <c r="R104" s="772"/>
      <c r="S104" s="642"/>
      <c r="T104" s="772"/>
      <c r="U104" s="772"/>
      <c r="V104" s="772"/>
      <c r="W104" s="772"/>
    </row>
    <row r="105" spans="1:23" s="119" customFormat="1" hidden="1">
      <c r="A105" s="9">
        <v>44417</v>
      </c>
      <c r="B105" s="91" t="s">
        <v>170</v>
      </c>
      <c r="C105" s="91" t="s">
        <v>5479</v>
      </c>
      <c r="D105" s="771" t="s">
        <v>5480</v>
      </c>
      <c r="E105" s="739" t="s">
        <v>5481</v>
      </c>
      <c r="F105" s="739" t="s">
        <v>5482</v>
      </c>
      <c r="G105" s="30">
        <v>1</v>
      </c>
      <c r="H105" s="86">
        <v>60000</v>
      </c>
      <c r="I105" s="86">
        <f t="shared" si="4"/>
        <v>60000</v>
      </c>
      <c r="K105" s="86">
        <f t="shared" si="5"/>
        <v>60000</v>
      </c>
      <c r="L105" s="773">
        <f>12000-12000</f>
        <v>0</v>
      </c>
      <c r="M105" s="773"/>
      <c r="N105" s="17">
        <f t="shared" si="6"/>
        <v>60000</v>
      </c>
      <c r="O105" s="91" t="s">
        <v>170</v>
      </c>
      <c r="P105" s="649"/>
      <c r="Q105" s="91" t="s">
        <v>176</v>
      </c>
      <c r="R105" s="773"/>
      <c r="S105" s="642"/>
      <c r="T105" s="773"/>
      <c r="U105" s="773"/>
      <c r="V105" s="773"/>
      <c r="W105" s="773"/>
    </row>
    <row r="106" spans="1:23" s="119" customFormat="1" hidden="1">
      <c r="A106" s="9">
        <v>44417</v>
      </c>
      <c r="B106" s="91" t="s">
        <v>170</v>
      </c>
      <c r="C106" s="123" t="s">
        <v>5483</v>
      </c>
      <c r="D106" s="771" t="s">
        <v>5484</v>
      </c>
      <c r="E106" s="760" t="s">
        <v>4873</v>
      </c>
      <c r="F106" s="760" t="s">
        <v>4874</v>
      </c>
      <c r="G106" s="30">
        <v>1</v>
      </c>
      <c r="H106" s="86">
        <v>86000</v>
      </c>
      <c r="I106" s="86">
        <f>H106*G106-17500</f>
        <v>68500</v>
      </c>
      <c r="J106" s="119">
        <f>I106*20%</f>
        <v>13700</v>
      </c>
      <c r="K106" s="86">
        <f>I106-J106</f>
        <v>54800</v>
      </c>
      <c r="L106" s="773">
        <f>14000-14000</f>
        <v>0</v>
      </c>
      <c r="M106" s="773"/>
      <c r="N106" s="17">
        <f t="shared" si="6"/>
        <v>54800</v>
      </c>
      <c r="O106" s="91" t="s">
        <v>170</v>
      </c>
      <c r="P106" s="649"/>
      <c r="Q106" s="91" t="s">
        <v>176</v>
      </c>
      <c r="R106" s="773"/>
      <c r="S106" s="642"/>
      <c r="T106" s="773"/>
      <c r="U106" s="773"/>
      <c r="V106" s="773"/>
      <c r="W106" s="773"/>
    </row>
    <row r="107" spans="1:23" s="119" customFormat="1" ht="16.8" hidden="1">
      <c r="A107" s="9">
        <v>44417</v>
      </c>
      <c r="B107" s="91" t="s">
        <v>170</v>
      </c>
      <c r="C107" s="123" t="s">
        <v>5483</v>
      </c>
      <c r="D107" s="771" t="s">
        <v>5485</v>
      </c>
      <c r="E107" s="760" t="s">
        <v>4876</v>
      </c>
      <c r="F107" s="760" t="s">
        <v>4877</v>
      </c>
      <c r="G107" s="30">
        <v>1</v>
      </c>
      <c r="H107" s="86">
        <v>89000</v>
      </c>
      <c r="I107" s="86">
        <f t="shared" si="4"/>
        <v>89000</v>
      </c>
      <c r="J107" s="119">
        <f>I107*20%</f>
        <v>17800</v>
      </c>
      <c r="K107" s="86">
        <f t="shared" si="5"/>
        <v>71200</v>
      </c>
      <c r="L107" s="773"/>
      <c r="M107" s="773"/>
      <c r="N107" s="17">
        <f t="shared" si="6"/>
        <v>71200</v>
      </c>
      <c r="O107" s="91" t="s">
        <v>170</v>
      </c>
      <c r="P107" s="664"/>
      <c r="Q107" s="91" t="s">
        <v>176</v>
      </c>
      <c r="R107" s="773"/>
      <c r="S107" s="700"/>
      <c r="T107" s="773"/>
      <c r="U107" s="773"/>
      <c r="V107" s="773"/>
      <c r="W107" s="773"/>
    </row>
    <row r="108" spans="1:23" s="119" customFormat="1" hidden="1">
      <c r="A108" s="9">
        <v>44417</v>
      </c>
      <c r="B108" s="91" t="s">
        <v>170</v>
      </c>
      <c r="C108" s="91" t="s">
        <v>5486</v>
      </c>
      <c r="D108" s="774" t="s">
        <v>5487</v>
      </c>
      <c r="E108" s="739" t="s">
        <v>4989</v>
      </c>
      <c r="F108" s="739" t="s">
        <v>4990</v>
      </c>
      <c r="G108" s="30">
        <v>1</v>
      </c>
      <c r="H108" s="86">
        <v>73000</v>
      </c>
      <c r="I108" s="86">
        <f t="shared" si="4"/>
        <v>73000</v>
      </c>
      <c r="K108" s="86">
        <f t="shared" si="5"/>
        <v>73000</v>
      </c>
      <c r="L108" s="773">
        <f>21000-21000</f>
        <v>0</v>
      </c>
      <c r="M108" s="773"/>
      <c r="N108" s="17">
        <f t="shared" si="6"/>
        <v>73000</v>
      </c>
      <c r="O108" s="91" t="s">
        <v>170</v>
      </c>
      <c r="P108" s="775"/>
      <c r="Q108" s="91" t="s">
        <v>54</v>
      </c>
      <c r="R108" s="773"/>
      <c r="S108" s="775"/>
      <c r="T108" s="773"/>
      <c r="U108" s="773"/>
      <c r="V108" s="773"/>
      <c r="W108" s="773"/>
    </row>
    <row r="109" spans="1:23" s="119" customFormat="1" hidden="1">
      <c r="A109" s="9">
        <v>44417</v>
      </c>
      <c r="B109" s="91" t="s">
        <v>43</v>
      </c>
      <c r="C109" s="91" t="s">
        <v>5488</v>
      </c>
      <c r="D109" s="119" t="s">
        <v>5489</v>
      </c>
      <c r="E109" s="739" t="s">
        <v>130</v>
      </c>
      <c r="F109" s="739" t="s">
        <v>132</v>
      </c>
      <c r="G109" s="30">
        <v>1</v>
      </c>
      <c r="H109" s="86">
        <v>28000</v>
      </c>
      <c r="I109" s="86">
        <f t="shared" si="4"/>
        <v>28000</v>
      </c>
      <c r="K109" s="86">
        <f t="shared" si="5"/>
        <v>28000</v>
      </c>
      <c r="L109" s="773"/>
      <c r="M109" s="773">
        <v>-1568</v>
      </c>
      <c r="N109" s="17">
        <f t="shared" si="6"/>
        <v>26432</v>
      </c>
      <c r="O109" s="91" t="s">
        <v>43</v>
      </c>
      <c r="P109" s="649"/>
      <c r="Q109" s="91" t="s">
        <v>28</v>
      </c>
      <c r="R109" s="773"/>
      <c r="S109" s="642"/>
      <c r="T109" s="773"/>
      <c r="U109" s="773"/>
      <c r="V109" s="773"/>
      <c r="W109" s="773"/>
    </row>
    <row r="110" spans="1:23" s="119" customFormat="1">
      <c r="A110" s="9">
        <v>44417</v>
      </c>
      <c r="B110" s="91" t="s">
        <v>23</v>
      </c>
      <c r="C110" s="91" t="s">
        <v>5490</v>
      </c>
      <c r="D110" s="774" t="s">
        <v>5491</v>
      </c>
      <c r="E110" s="739" t="s">
        <v>2547</v>
      </c>
      <c r="F110" s="739" t="s">
        <v>2548</v>
      </c>
      <c r="G110" s="30">
        <v>1</v>
      </c>
      <c r="H110" s="86">
        <v>101000</v>
      </c>
      <c r="I110" s="86">
        <f t="shared" si="4"/>
        <v>101000</v>
      </c>
      <c r="J110" s="119">
        <f>I110-70700</f>
        <v>30300</v>
      </c>
      <c r="K110" s="86">
        <f t="shared" si="5"/>
        <v>70700</v>
      </c>
      <c r="L110" s="773">
        <v>16000</v>
      </c>
      <c r="M110" s="773"/>
      <c r="N110" s="17">
        <f t="shared" si="6"/>
        <v>86700</v>
      </c>
      <c r="O110" s="91" t="s">
        <v>23</v>
      </c>
      <c r="P110" s="585"/>
      <c r="Q110" s="91" t="s">
        <v>54</v>
      </c>
      <c r="R110" s="773"/>
      <c r="S110" s="773"/>
      <c r="T110" s="773"/>
      <c r="U110" s="773"/>
      <c r="V110" s="773"/>
      <c r="W110" s="773"/>
    </row>
    <row r="111" spans="1:23" s="119" customFormat="1" hidden="1">
      <c r="A111" s="9">
        <v>44417</v>
      </c>
      <c r="B111" s="91" t="s">
        <v>170</v>
      </c>
      <c r="C111" s="91" t="s">
        <v>5492</v>
      </c>
      <c r="D111" s="774" t="s">
        <v>5493</v>
      </c>
      <c r="E111" s="739" t="s">
        <v>5494</v>
      </c>
      <c r="F111" s="739" t="s">
        <v>5495</v>
      </c>
      <c r="G111" s="30">
        <v>1</v>
      </c>
      <c r="H111" s="86">
        <v>113500</v>
      </c>
      <c r="I111" s="86">
        <f t="shared" si="4"/>
        <v>113500</v>
      </c>
      <c r="K111" s="86">
        <f t="shared" si="5"/>
        <v>113500</v>
      </c>
      <c r="L111" s="773">
        <v>7000</v>
      </c>
      <c r="M111" s="773"/>
      <c r="N111" s="17">
        <f t="shared" si="6"/>
        <v>120500</v>
      </c>
      <c r="O111" s="91" t="s">
        <v>170</v>
      </c>
      <c r="P111" s="649"/>
      <c r="Q111" s="91" t="s">
        <v>54</v>
      </c>
      <c r="R111" s="773"/>
      <c r="S111" s="642"/>
      <c r="T111" s="773"/>
      <c r="U111" s="773"/>
      <c r="V111" s="773"/>
      <c r="W111" s="773"/>
    </row>
    <row r="112" spans="1:23" s="119" customFormat="1" hidden="1">
      <c r="A112" s="9">
        <v>44417</v>
      </c>
      <c r="B112" s="91" t="s">
        <v>170</v>
      </c>
      <c r="C112" s="91" t="s">
        <v>5496</v>
      </c>
      <c r="D112" s="774" t="s">
        <v>5497</v>
      </c>
      <c r="E112" s="739" t="s">
        <v>2747</v>
      </c>
      <c r="F112" s="739" t="s">
        <v>2748</v>
      </c>
      <c r="G112" s="30">
        <v>1</v>
      </c>
      <c r="H112" s="86">
        <v>85500</v>
      </c>
      <c r="I112" s="86">
        <f t="shared" si="4"/>
        <v>85500</v>
      </c>
      <c r="K112" s="86">
        <f t="shared" si="5"/>
        <v>85500</v>
      </c>
      <c r="L112" s="773">
        <f>13000-13000</f>
        <v>0</v>
      </c>
      <c r="M112" s="773"/>
      <c r="N112" s="17">
        <f t="shared" si="6"/>
        <v>85500</v>
      </c>
      <c r="O112" s="91" t="s">
        <v>170</v>
      </c>
      <c r="P112" s="649"/>
      <c r="Q112" s="91" t="s">
        <v>176</v>
      </c>
      <c r="R112" s="773"/>
      <c r="S112" s="642"/>
      <c r="T112" s="773"/>
      <c r="U112" s="773"/>
      <c r="V112" s="773"/>
      <c r="W112" s="773"/>
    </row>
    <row r="113" spans="1:23" s="119" customFormat="1" hidden="1">
      <c r="A113" s="9">
        <v>44418</v>
      </c>
      <c r="B113" s="91" t="s">
        <v>5498</v>
      </c>
      <c r="C113" s="123" t="s">
        <v>5499</v>
      </c>
      <c r="D113" s="774" t="s">
        <v>5500</v>
      </c>
      <c r="E113" s="739" t="s">
        <v>498</v>
      </c>
      <c r="F113" s="739" t="s">
        <v>5501</v>
      </c>
      <c r="G113" s="30">
        <v>1</v>
      </c>
      <c r="H113" s="86">
        <v>136000</v>
      </c>
      <c r="I113" s="86">
        <f t="shared" si="4"/>
        <v>136000</v>
      </c>
      <c r="K113" s="86">
        <f t="shared" si="5"/>
        <v>136000</v>
      </c>
      <c r="L113" s="773"/>
      <c r="M113" s="773">
        <v>-7616</v>
      </c>
      <c r="N113" s="17">
        <f t="shared" si="6"/>
        <v>128384</v>
      </c>
      <c r="O113" s="91" t="s">
        <v>5498</v>
      </c>
      <c r="P113" s="649"/>
      <c r="Q113" s="91" t="s">
        <v>54</v>
      </c>
      <c r="R113" s="773"/>
      <c r="S113" s="775"/>
      <c r="T113" s="773"/>
      <c r="U113" s="773"/>
      <c r="V113" s="773"/>
      <c r="W113" s="773"/>
    </row>
    <row r="114" spans="1:23" s="171" customFormat="1" hidden="1">
      <c r="A114" s="9">
        <v>44418</v>
      </c>
      <c r="B114" s="91" t="s">
        <v>5498</v>
      </c>
      <c r="C114" s="91" t="s">
        <v>5404</v>
      </c>
      <c r="D114" s="171" t="s">
        <v>5502</v>
      </c>
      <c r="E114" s="76" t="s">
        <v>3972</v>
      </c>
      <c r="F114" s="76" t="s">
        <v>909</v>
      </c>
      <c r="G114" s="776">
        <v>1</v>
      </c>
      <c r="H114" s="171">
        <v>94000</v>
      </c>
      <c r="I114" s="171">
        <f t="shared" si="4"/>
        <v>94000</v>
      </c>
      <c r="K114" s="320">
        <f t="shared" si="5"/>
        <v>94000</v>
      </c>
      <c r="L114" s="171">
        <v>33000</v>
      </c>
      <c r="M114" s="171">
        <v>-5264</v>
      </c>
      <c r="N114" s="17">
        <f t="shared" si="6"/>
        <v>121736</v>
      </c>
      <c r="O114" s="91" t="s">
        <v>5498</v>
      </c>
      <c r="P114" s="648"/>
      <c r="Q114" s="91" t="s">
        <v>54</v>
      </c>
      <c r="R114" s="648"/>
    </row>
    <row r="115" spans="1:23" s="20" customFormat="1" hidden="1">
      <c r="A115" s="9">
        <v>44418</v>
      </c>
      <c r="B115" s="91" t="s">
        <v>5498</v>
      </c>
      <c r="C115" s="91" t="s">
        <v>5503</v>
      </c>
      <c r="D115" s="774" t="s">
        <v>5504</v>
      </c>
      <c r="E115" s="777" t="s">
        <v>5505</v>
      </c>
      <c r="F115" s="777" t="s">
        <v>5506</v>
      </c>
      <c r="G115" s="30">
        <v>1</v>
      </c>
      <c r="H115" s="86">
        <v>77000</v>
      </c>
      <c r="I115" s="86">
        <f t="shared" si="4"/>
        <v>77000</v>
      </c>
      <c r="K115" s="86">
        <f t="shared" si="5"/>
        <v>77000</v>
      </c>
      <c r="L115" s="17"/>
      <c r="M115" s="17">
        <v>-8596</v>
      </c>
      <c r="N115" s="17">
        <f t="shared" si="6"/>
        <v>68404</v>
      </c>
      <c r="O115" s="91" t="s">
        <v>5498</v>
      </c>
      <c r="P115" s="72"/>
      <c r="Q115" s="91" t="s">
        <v>54</v>
      </c>
      <c r="R115" s="17"/>
      <c r="S115" s="17"/>
      <c r="T115" s="17"/>
      <c r="U115" s="17"/>
      <c r="V115" s="17"/>
      <c r="W115" s="17"/>
    </row>
    <row r="116" spans="1:23" s="20" customFormat="1" hidden="1">
      <c r="A116" s="9">
        <v>44418</v>
      </c>
      <c r="B116" s="91" t="s">
        <v>5498</v>
      </c>
      <c r="C116" s="91" t="s">
        <v>5503</v>
      </c>
      <c r="D116" s="774" t="s">
        <v>5507</v>
      </c>
      <c r="E116" s="777" t="s">
        <v>5508</v>
      </c>
      <c r="F116" s="777" t="s">
        <v>5506</v>
      </c>
      <c r="G116" s="30">
        <v>1</v>
      </c>
      <c r="H116" s="86">
        <v>76500</v>
      </c>
      <c r="I116" s="86">
        <f t="shared" si="4"/>
        <v>76500</v>
      </c>
      <c r="K116" s="86">
        <f t="shared" si="5"/>
        <v>76500</v>
      </c>
      <c r="L116" s="17"/>
      <c r="M116" s="17"/>
      <c r="N116" s="17">
        <f t="shared" si="6"/>
        <v>76500</v>
      </c>
      <c r="O116" s="91" t="s">
        <v>5498</v>
      </c>
      <c r="P116" s="72"/>
      <c r="Q116" s="91" t="s">
        <v>54</v>
      </c>
      <c r="R116" s="17"/>
      <c r="S116" s="17"/>
      <c r="T116" s="17"/>
      <c r="U116" s="17"/>
      <c r="V116" s="17"/>
      <c r="W116" s="17"/>
    </row>
    <row r="117" spans="1:23" s="26" customFormat="1" hidden="1">
      <c r="A117" s="778">
        <v>44418</v>
      </c>
      <c r="B117" s="23" t="s">
        <v>206</v>
      </c>
      <c r="C117" s="23" t="s">
        <v>5509</v>
      </c>
      <c r="D117" s="23" t="s">
        <v>5510</v>
      </c>
      <c r="E117" s="36" t="s">
        <v>3781</v>
      </c>
      <c r="F117" s="36" t="s">
        <v>3782</v>
      </c>
      <c r="G117" s="779">
        <v>1</v>
      </c>
      <c r="H117" s="26">
        <v>211000</v>
      </c>
      <c r="I117" s="171">
        <f t="shared" si="4"/>
        <v>211000</v>
      </c>
      <c r="J117" s="26">
        <v>10000</v>
      </c>
      <c r="K117" s="171">
        <f t="shared" si="5"/>
        <v>201000</v>
      </c>
      <c r="L117" s="26">
        <v>5900</v>
      </c>
      <c r="N117" s="26">
        <f t="shared" si="6"/>
        <v>206900</v>
      </c>
      <c r="O117" s="23" t="s">
        <v>206</v>
      </c>
      <c r="P117" s="36"/>
      <c r="Q117" s="23" t="s">
        <v>176</v>
      </c>
    </row>
    <row r="118" spans="1:23" s="20" customFormat="1" hidden="1">
      <c r="A118" s="9">
        <v>44418</v>
      </c>
      <c r="B118" s="91" t="s">
        <v>170</v>
      </c>
      <c r="C118" s="91" t="s">
        <v>5511</v>
      </c>
      <c r="D118" s="774" t="s">
        <v>5512</v>
      </c>
      <c r="E118" s="76" t="s">
        <v>5513</v>
      </c>
      <c r="F118" s="76" t="s">
        <v>5514</v>
      </c>
      <c r="G118" s="30">
        <v>1</v>
      </c>
      <c r="H118" s="86">
        <v>67500</v>
      </c>
      <c r="I118" s="86">
        <f t="shared" si="4"/>
        <v>67500</v>
      </c>
      <c r="J118" s="20">
        <f>I118*20%</f>
        <v>13500</v>
      </c>
      <c r="K118" s="86">
        <f t="shared" si="5"/>
        <v>54000</v>
      </c>
      <c r="L118" s="17">
        <f>12000-12000</f>
        <v>0</v>
      </c>
      <c r="M118" s="17"/>
      <c r="N118" s="17">
        <f t="shared" si="6"/>
        <v>54000</v>
      </c>
      <c r="O118" s="91" t="s">
        <v>170</v>
      </c>
      <c r="P118" s="72"/>
      <c r="Q118" s="91" t="s">
        <v>176</v>
      </c>
      <c r="R118" s="17"/>
      <c r="S118" s="17"/>
      <c r="T118" s="17"/>
      <c r="U118" s="17"/>
      <c r="V118" s="17"/>
      <c r="W118" s="17"/>
    </row>
    <row r="119" spans="1:23" s="20" customFormat="1" hidden="1">
      <c r="A119" s="9">
        <v>44418</v>
      </c>
      <c r="B119" s="91" t="s">
        <v>177</v>
      </c>
      <c r="C119" s="123" t="s">
        <v>5515</v>
      </c>
      <c r="D119" s="774" t="s">
        <v>5516</v>
      </c>
      <c r="E119" s="739" t="s">
        <v>5517</v>
      </c>
      <c r="F119" s="739" t="s">
        <v>5518</v>
      </c>
      <c r="G119" s="30">
        <v>1</v>
      </c>
      <c r="H119" s="86">
        <v>62000</v>
      </c>
      <c r="I119" s="86">
        <f t="shared" si="4"/>
        <v>62000</v>
      </c>
      <c r="K119" s="86">
        <f t="shared" si="5"/>
        <v>62000</v>
      </c>
      <c r="L119" s="17">
        <v>9000</v>
      </c>
      <c r="M119" s="17"/>
      <c r="N119" s="17">
        <f t="shared" si="6"/>
        <v>71000</v>
      </c>
      <c r="O119" s="91" t="s">
        <v>177</v>
      </c>
      <c r="P119" s="72"/>
      <c r="Q119" s="91" t="s">
        <v>54</v>
      </c>
      <c r="R119" s="17"/>
      <c r="S119" s="17"/>
      <c r="T119" s="17"/>
      <c r="U119" s="17"/>
      <c r="V119" s="17"/>
      <c r="W119" s="17"/>
    </row>
    <row r="120" spans="1:23" s="20" customFormat="1" hidden="1">
      <c r="A120" s="9">
        <v>44418</v>
      </c>
      <c r="B120" s="91" t="s">
        <v>313</v>
      </c>
      <c r="C120" s="123" t="s">
        <v>5519</v>
      </c>
      <c r="D120" s="29" t="s">
        <v>5520</v>
      </c>
      <c r="E120" s="780" t="s">
        <v>4794</v>
      </c>
      <c r="F120" s="780" t="s">
        <v>4795</v>
      </c>
      <c r="G120" s="30">
        <v>1</v>
      </c>
      <c r="H120" s="86">
        <v>87000</v>
      </c>
      <c r="I120" s="86">
        <f t="shared" si="4"/>
        <v>87000</v>
      </c>
      <c r="J120" s="17"/>
      <c r="K120" s="86">
        <f t="shared" si="5"/>
        <v>87000</v>
      </c>
      <c r="L120" s="17">
        <v>32071</v>
      </c>
      <c r="M120" s="17"/>
      <c r="N120" s="17">
        <f t="shared" si="6"/>
        <v>119071</v>
      </c>
      <c r="O120" s="91" t="s">
        <v>313</v>
      </c>
      <c r="P120" s="183"/>
      <c r="Q120" s="91" t="s">
        <v>40</v>
      </c>
      <c r="R120" s="17"/>
      <c r="S120" s="17"/>
      <c r="T120" s="17"/>
      <c r="U120" s="17"/>
      <c r="V120" s="17"/>
      <c r="W120" s="17"/>
    </row>
    <row r="121" spans="1:23" s="20" customFormat="1" hidden="1">
      <c r="A121" s="9">
        <v>44418</v>
      </c>
      <c r="B121" s="91" t="s">
        <v>313</v>
      </c>
      <c r="C121" s="123" t="s">
        <v>5519</v>
      </c>
      <c r="D121" s="29" t="s">
        <v>5521</v>
      </c>
      <c r="E121" s="780" t="s">
        <v>4920</v>
      </c>
      <c r="F121" s="780" t="s">
        <v>4921</v>
      </c>
      <c r="G121" s="30">
        <v>1</v>
      </c>
      <c r="H121" s="86">
        <v>112000</v>
      </c>
      <c r="I121" s="86">
        <f t="shared" si="4"/>
        <v>112000</v>
      </c>
      <c r="J121" s="17"/>
      <c r="K121" s="86">
        <f t="shared" si="5"/>
        <v>112000</v>
      </c>
      <c r="L121" s="17"/>
      <c r="M121" s="17"/>
      <c r="N121" s="17">
        <f t="shared" si="6"/>
        <v>112000</v>
      </c>
      <c r="O121" s="91" t="s">
        <v>313</v>
      </c>
      <c r="P121" s="72"/>
      <c r="Q121" s="91" t="s">
        <v>40</v>
      </c>
      <c r="R121" s="17"/>
      <c r="S121" s="17"/>
      <c r="T121" s="17"/>
      <c r="U121" s="17"/>
      <c r="V121" s="17"/>
      <c r="W121" s="17"/>
    </row>
    <row r="122" spans="1:23" s="20" customFormat="1" hidden="1">
      <c r="A122" s="9">
        <v>44418</v>
      </c>
      <c r="B122" s="91" t="s">
        <v>313</v>
      </c>
      <c r="C122" s="123" t="s">
        <v>5519</v>
      </c>
      <c r="D122" s="29" t="s">
        <v>5522</v>
      </c>
      <c r="E122" s="780" t="s">
        <v>1236</v>
      </c>
      <c r="F122" s="780" t="s">
        <v>1237</v>
      </c>
      <c r="G122" s="30">
        <v>1</v>
      </c>
      <c r="H122" s="86">
        <v>100000</v>
      </c>
      <c r="I122" s="86">
        <f t="shared" si="4"/>
        <v>100000</v>
      </c>
      <c r="J122" s="17"/>
      <c r="K122" s="86">
        <f t="shared" si="5"/>
        <v>100000</v>
      </c>
      <c r="L122" s="17"/>
      <c r="M122" s="17"/>
      <c r="N122" s="17">
        <f t="shared" si="6"/>
        <v>100000</v>
      </c>
      <c r="O122" s="91" t="s">
        <v>313</v>
      </c>
      <c r="P122" s="72"/>
      <c r="Q122" s="91" t="s">
        <v>40</v>
      </c>
      <c r="R122" s="17"/>
      <c r="S122" s="17"/>
      <c r="T122" s="17"/>
      <c r="U122" s="17"/>
      <c r="V122" s="17"/>
      <c r="W122" s="17"/>
    </row>
    <row r="123" spans="1:23" s="20" customFormat="1" hidden="1">
      <c r="A123" s="9">
        <v>44418</v>
      </c>
      <c r="B123" s="91" t="s">
        <v>313</v>
      </c>
      <c r="C123" s="123" t="s">
        <v>5519</v>
      </c>
      <c r="D123" s="29" t="s">
        <v>5523</v>
      </c>
      <c r="E123" s="780" t="s">
        <v>679</v>
      </c>
      <c r="F123" s="780" t="s">
        <v>680</v>
      </c>
      <c r="G123" s="30">
        <v>1</v>
      </c>
      <c r="H123" s="86">
        <v>58500</v>
      </c>
      <c r="I123" s="86">
        <f t="shared" si="4"/>
        <v>58500</v>
      </c>
      <c r="J123" s="17"/>
      <c r="K123" s="86">
        <f t="shared" si="5"/>
        <v>58500</v>
      </c>
      <c r="L123" s="17"/>
      <c r="M123" s="17"/>
      <c r="N123" s="17">
        <f t="shared" si="6"/>
        <v>58500</v>
      </c>
      <c r="O123" s="91" t="s">
        <v>313</v>
      </c>
      <c r="P123" s="72"/>
      <c r="Q123" s="91" t="s">
        <v>40</v>
      </c>
      <c r="R123" s="17"/>
      <c r="S123" s="17"/>
      <c r="T123" s="17"/>
      <c r="U123" s="17"/>
      <c r="V123" s="17"/>
      <c r="W123" s="17"/>
    </row>
    <row r="124" spans="1:23" s="20" customFormat="1" hidden="1">
      <c r="A124" s="9">
        <v>44418</v>
      </c>
      <c r="B124" s="91" t="s">
        <v>313</v>
      </c>
      <c r="C124" s="123" t="s">
        <v>5519</v>
      </c>
      <c r="D124" s="29" t="s">
        <v>5524</v>
      </c>
      <c r="E124" s="748" t="s">
        <v>2056</v>
      </c>
      <c r="F124" s="748" t="s">
        <v>2057</v>
      </c>
      <c r="G124" s="30">
        <v>1</v>
      </c>
      <c r="H124" s="86">
        <v>59500</v>
      </c>
      <c r="I124" s="86">
        <f t="shared" si="4"/>
        <v>59500</v>
      </c>
      <c r="J124" s="17"/>
      <c r="K124" s="86">
        <f t="shared" si="5"/>
        <v>59500</v>
      </c>
      <c r="L124" s="17"/>
      <c r="M124" s="17"/>
      <c r="N124" s="17">
        <f t="shared" si="6"/>
        <v>59500</v>
      </c>
      <c r="O124" s="91" t="s">
        <v>313</v>
      </c>
      <c r="P124" s="72"/>
      <c r="Q124" s="91" t="s">
        <v>40</v>
      </c>
      <c r="R124" s="17"/>
      <c r="S124" s="17"/>
      <c r="T124" s="17"/>
      <c r="U124" s="17"/>
      <c r="V124" s="17"/>
      <c r="W124" s="17"/>
    </row>
    <row r="125" spans="1:23" s="20" customFormat="1" hidden="1">
      <c r="A125" s="9">
        <v>44418</v>
      </c>
      <c r="B125" s="91" t="s">
        <v>313</v>
      </c>
      <c r="C125" s="123" t="s">
        <v>5519</v>
      </c>
      <c r="D125" s="29" t="s">
        <v>5525</v>
      </c>
      <c r="E125" s="780" t="s">
        <v>800</v>
      </c>
      <c r="F125" s="780" t="s">
        <v>801</v>
      </c>
      <c r="G125" s="645">
        <v>1</v>
      </c>
      <c r="H125" s="86">
        <v>73000</v>
      </c>
      <c r="I125" s="86">
        <f t="shared" si="4"/>
        <v>73000</v>
      </c>
      <c r="J125" s="17"/>
      <c r="K125" s="86">
        <f t="shared" si="5"/>
        <v>73000</v>
      </c>
      <c r="L125" s="17"/>
      <c r="M125" s="17"/>
      <c r="N125" s="17">
        <f t="shared" si="6"/>
        <v>73000</v>
      </c>
      <c r="O125" s="91" t="s">
        <v>313</v>
      </c>
      <c r="P125" s="72"/>
      <c r="Q125" s="91" t="s">
        <v>40</v>
      </c>
      <c r="R125" s="17"/>
      <c r="T125" s="17"/>
      <c r="U125" s="17"/>
      <c r="V125" s="17"/>
      <c r="W125" s="17"/>
    </row>
    <row r="126" spans="1:23" s="20" customFormat="1">
      <c r="A126" s="9">
        <v>44418</v>
      </c>
      <c r="B126" s="91" t="s">
        <v>23</v>
      </c>
      <c r="C126" s="91" t="s">
        <v>5526</v>
      </c>
      <c r="D126" s="29" t="s">
        <v>5527</v>
      </c>
      <c r="E126" s="76" t="s">
        <v>2824</v>
      </c>
      <c r="F126" s="76" t="s">
        <v>2825</v>
      </c>
      <c r="G126" s="30">
        <v>1</v>
      </c>
      <c r="H126" s="86">
        <v>158000</v>
      </c>
      <c r="I126" s="86">
        <f t="shared" si="4"/>
        <v>158000</v>
      </c>
      <c r="J126" s="17"/>
      <c r="K126" s="86">
        <f t="shared" si="5"/>
        <v>158000</v>
      </c>
      <c r="L126" s="17">
        <v>23000</v>
      </c>
      <c r="M126" s="17"/>
      <c r="N126" s="17">
        <f t="shared" si="6"/>
        <v>181000</v>
      </c>
      <c r="O126" s="91" t="s">
        <v>23</v>
      </c>
      <c r="P126" s="72"/>
      <c r="Q126" s="91" t="s">
        <v>54</v>
      </c>
      <c r="R126" s="17"/>
      <c r="S126" s="17"/>
      <c r="T126" s="17"/>
      <c r="U126" s="17"/>
      <c r="V126" s="17"/>
      <c r="W126" s="17"/>
    </row>
    <row r="127" spans="1:23" s="20" customFormat="1">
      <c r="A127" s="9">
        <v>44418</v>
      </c>
      <c r="B127" s="91" t="s">
        <v>23</v>
      </c>
      <c r="C127" s="91" t="s">
        <v>810</v>
      </c>
      <c r="D127" s="29" t="s">
        <v>5528</v>
      </c>
      <c r="E127" s="749" t="s">
        <v>5529</v>
      </c>
      <c r="F127" s="749" t="s">
        <v>5530</v>
      </c>
      <c r="G127" s="30">
        <v>1</v>
      </c>
      <c r="H127" s="86">
        <v>131000</v>
      </c>
      <c r="I127" s="86">
        <f t="shared" si="4"/>
        <v>131000</v>
      </c>
      <c r="J127" s="17"/>
      <c r="K127" s="86">
        <f t="shared" si="5"/>
        <v>131000</v>
      </c>
      <c r="L127" s="17">
        <v>16000</v>
      </c>
      <c r="M127" s="17"/>
      <c r="N127" s="17">
        <f t="shared" si="6"/>
        <v>147000</v>
      </c>
      <c r="O127" s="91" t="s">
        <v>23</v>
      </c>
      <c r="P127" s="72"/>
      <c r="Q127" s="91" t="s">
        <v>28</v>
      </c>
      <c r="R127" s="17"/>
      <c r="S127" s="17"/>
      <c r="T127" s="17"/>
      <c r="U127" s="17"/>
      <c r="V127" s="17"/>
      <c r="W127" s="17"/>
    </row>
    <row r="128" spans="1:23" s="20" customFormat="1">
      <c r="A128" s="9">
        <v>44418</v>
      </c>
      <c r="B128" s="91" t="s">
        <v>23</v>
      </c>
      <c r="C128" s="91" t="s">
        <v>810</v>
      </c>
      <c r="D128" s="29" t="s">
        <v>5531</v>
      </c>
      <c r="E128" s="749" t="s">
        <v>5532</v>
      </c>
      <c r="F128" s="749" t="s">
        <v>1981</v>
      </c>
      <c r="G128" s="30">
        <v>1</v>
      </c>
      <c r="H128" s="86">
        <v>233000</v>
      </c>
      <c r="I128" s="86">
        <f t="shared" si="4"/>
        <v>233000</v>
      </c>
      <c r="J128" s="17"/>
      <c r="K128" s="86">
        <f t="shared" si="5"/>
        <v>233000</v>
      </c>
      <c r="L128" s="17"/>
      <c r="M128" s="17"/>
      <c r="N128" s="17">
        <f t="shared" si="6"/>
        <v>233000</v>
      </c>
      <c r="O128" s="91" t="s">
        <v>23</v>
      </c>
      <c r="P128" s="72"/>
      <c r="Q128" s="91" t="s">
        <v>28</v>
      </c>
      <c r="R128" s="17"/>
      <c r="S128" s="17"/>
      <c r="T128" s="17"/>
      <c r="U128" s="17"/>
      <c r="V128" s="17"/>
      <c r="W128" s="17"/>
    </row>
    <row r="129" spans="1:23" s="20" customFormat="1" hidden="1">
      <c r="A129" s="9">
        <v>44418</v>
      </c>
      <c r="B129" s="91" t="s">
        <v>313</v>
      </c>
      <c r="C129" s="123" t="s">
        <v>5533</v>
      </c>
      <c r="D129" s="29" t="s">
        <v>5534</v>
      </c>
      <c r="E129" s="739" t="s">
        <v>5535</v>
      </c>
      <c r="F129" s="739" t="s">
        <v>5536</v>
      </c>
      <c r="G129" s="30">
        <v>1</v>
      </c>
      <c r="H129" s="86">
        <v>36000</v>
      </c>
      <c r="I129" s="86">
        <f t="shared" si="4"/>
        <v>36000</v>
      </c>
      <c r="J129" s="17"/>
      <c r="K129" s="86">
        <f t="shared" si="5"/>
        <v>36000</v>
      </c>
      <c r="L129" s="17">
        <v>16095</v>
      </c>
      <c r="M129" s="17"/>
      <c r="N129" s="17">
        <f t="shared" si="6"/>
        <v>52095</v>
      </c>
      <c r="O129" s="91" t="s">
        <v>313</v>
      </c>
      <c r="P129" s="72"/>
      <c r="Q129" s="91" t="s">
        <v>40</v>
      </c>
      <c r="R129" s="17"/>
      <c r="S129" s="17"/>
      <c r="T129" s="17"/>
      <c r="U129" s="17"/>
      <c r="V129" s="17"/>
      <c r="W129" s="17"/>
    </row>
    <row r="130" spans="1:23" s="20" customFormat="1" hidden="1">
      <c r="A130" s="9">
        <v>44418</v>
      </c>
      <c r="B130" s="91" t="s">
        <v>317</v>
      </c>
      <c r="C130" s="123" t="s">
        <v>5537</v>
      </c>
      <c r="D130" s="29" t="s">
        <v>5538</v>
      </c>
      <c r="E130" s="739" t="s">
        <v>872</v>
      </c>
      <c r="F130" s="739" t="s">
        <v>5539</v>
      </c>
      <c r="G130" s="30">
        <v>1</v>
      </c>
      <c r="H130" s="86">
        <v>141000</v>
      </c>
      <c r="I130" s="86">
        <f t="shared" si="4"/>
        <v>141000</v>
      </c>
      <c r="J130" s="17"/>
      <c r="K130" s="86">
        <f t="shared" si="5"/>
        <v>141000</v>
      </c>
      <c r="L130" s="17">
        <f>19000-19000</f>
        <v>0</v>
      </c>
      <c r="M130" s="17"/>
      <c r="N130" s="17">
        <f t="shared" si="6"/>
        <v>141000</v>
      </c>
      <c r="O130" s="91" t="s">
        <v>317</v>
      </c>
      <c r="P130" s="72"/>
      <c r="Q130" s="91" t="s">
        <v>176</v>
      </c>
      <c r="R130" s="17"/>
      <c r="S130" s="17"/>
      <c r="T130" s="17"/>
      <c r="U130" s="17"/>
      <c r="V130" s="17"/>
      <c r="W130" s="17"/>
    </row>
    <row r="131" spans="1:23" s="20" customFormat="1">
      <c r="A131" s="9">
        <v>44418</v>
      </c>
      <c r="B131" s="91" t="s">
        <v>23</v>
      </c>
      <c r="C131" s="91" t="s">
        <v>431</v>
      </c>
      <c r="D131" s="92" t="s">
        <v>31</v>
      </c>
      <c r="E131" s="760" t="s">
        <v>3889</v>
      </c>
      <c r="F131" s="760" t="s">
        <v>3890</v>
      </c>
      <c r="G131" s="30">
        <v>1</v>
      </c>
      <c r="H131" s="371">
        <v>87000</v>
      </c>
      <c r="I131" s="86">
        <f t="shared" ref="I131:I194" si="8">H131*G131</f>
        <v>87000</v>
      </c>
      <c r="J131" s="20">
        <f>I131*25%+40000</f>
        <v>61750</v>
      </c>
      <c r="K131" s="86">
        <f t="shared" ref="K131:K194" si="9">I131-J131</f>
        <v>25250</v>
      </c>
      <c r="L131" s="17"/>
      <c r="M131" s="17"/>
      <c r="N131" s="17">
        <f t="shared" ref="N131:N194" si="10">K131+L131+M131</f>
        <v>25250</v>
      </c>
      <c r="O131" s="91" t="s">
        <v>23</v>
      </c>
      <c r="P131" s="183"/>
      <c r="Q131" s="91" t="s">
        <v>35</v>
      </c>
      <c r="R131" s="17"/>
      <c r="S131" s="13"/>
      <c r="T131" s="17"/>
      <c r="U131" s="17"/>
      <c r="V131" s="17"/>
      <c r="W131" s="17"/>
    </row>
    <row r="132" spans="1:23" s="20" customFormat="1">
      <c r="A132" s="9">
        <v>44418</v>
      </c>
      <c r="B132" s="91" t="s">
        <v>23</v>
      </c>
      <c r="C132" s="91" t="s">
        <v>431</v>
      </c>
      <c r="D132" s="92" t="s">
        <v>31</v>
      </c>
      <c r="E132" s="781" t="s">
        <v>5540</v>
      </c>
      <c r="F132" s="781" t="s">
        <v>5541</v>
      </c>
      <c r="G132" s="30">
        <v>1</v>
      </c>
      <c r="H132" s="371">
        <v>107000</v>
      </c>
      <c r="I132" s="86">
        <f t="shared" si="8"/>
        <v>107000</v>
      </c>
      <c r="J132" s="20">
        <f t="shared" ref="J132:J135" si="11">I132*25%</f>
        <v>26750</v>
      </c>
      <c r="K132" s="86">
        <f t="shared" si="9"/>
        <v>80250</v>
      </c>
      <c r="L132" s="17"/>
      <c r="M132" s="17"/>
      <c r="N132" s="17">
        <f t="shared" si="10"/>
        <v>80250</v>
      </c>
      <c r="O132" s="91" t="s">
        <v>23</v>
      </c>
      <c r="P132" s="72"/>
      <c r="Q132" s="91" t="s">
        <v>35</v>
      </c>
      <c r="R132" s="17"/>
      <c r="S132" s="13"/>
      <c r="T132" s="17"/>
      <c r="U132" s="17"/>
      <c r="V132" s="17"/>
      <c r="W132" s="17"/>
    </row>
    <row r="133" spans="1:23" s="20" customFormat="1">
      <c r="A133" s="9">
        <v>44418</v>
      </c>
      <c r="B133" s="91" t="s">
        <v>23</v>
      </c>
      <c r="C133" s="91" t="s">
        <v>431</v>
      </c>
      <c r="D133" s="92" t="s">
        <v>31</v>
      </c>
      <c r="E133" s="760" t="s">
        <v>5542</v>
      </c>
      <c r="F133" s="760" t="s">
        <v>5543</v>
      </c>
      <c r="G133" s="30">
        <v>1</v>
      </c>
      <c r="H133" s="371">
        <v>86000</v>
      </c>
      <c r="I133" s="86">
        <f t="shared" si="8"/>
        <v>86000</v>
      </c>
      <c r="J133" s="20">
        <f t="shared" si="11"/>
        <v>21500</v>
      </c>
      <c r="K133" s="86">
        <f t="shared" si="9"/>
        <v>64500</v>
      </c>
      <c r="L133" s="17"/>
      <c r="M133" s="17"/>
      <c r="N133" s="17">
        <f t="shared" si="10"/>
        <v>64500</v>
      </c>
      <c r="O133" s="91" t="s">
        <v>23</v>
      </c>
      <c r="P133" s="72"/>
      <c r="Q133" s="91" t="s">
        <v>35</v>
      </c>
      <c r="R133" s="17"/>
      <c r="S133" s="17"/>
      <c r="T133" s="17"/>
      <c r="U133" s="17"/>
      <c r="V133" s="17"/>
      <c r="W133" s="17"/>
    </row>
    <row r="134" spans="1:23" s="20" customFormat="1">
      <c r="A134" s="9">
        <v>44418</v>
      </c>
      <c r="B134" s="91" t="s">
        <v>23</v>
      </c>
      <c r="C134" s="91" t="s">
        <v>431</v>
      </c>
      <c r="D134" s="92" t="s">
        <v>31</v>
      </c>
      <c r="E134" s="760" t="s">
        <v>5544</v>
      </c>
      <c r="F134" s="760" t="s">
        <v>5545</v>
      </c>
      <c r="G134" s="30">
        <v>1</v>
      </c>
      <c r="H134" s="371">
        <v>85000</v>
      </c>
      <c r="I134" s="86">
        <f t="shared" si="8"/>
        <v>85000</v>
      </c>
      <c r="J134" s="20">
        <f t="shared" si="11"/>
        <v>21250</v>
      </c>
      <c r="K134" s="86">
        <f t="shared" si="9"/>
        <v>63750</v>
      </c>
      <c r="L134" s="17"/>
      <c r="M134" s="17"/>
      <c r="N134" s="17">
        <f t="shared" si="10"/>
        <v>63750</v>
      </c>
      <c r="O134" s="91" t="s">
        <v>23</v>
      </c>
      <c r="P134" s="183"/>
      <c r="Q134" s="91" t="s">
        <v>35</v>
      </c>
      <c r="R134" s="17"/>
      <c r="S134" s="17"/>
      <c r="T134" s="17"/>
      <c r="U134" s="17"/>
      <c r="V134" s="17"/>
      <c r="W134" s="17"/>
    </row>
    <row r="135" spans="1:23" s="20" customFormat="1">
      <c r="A135" s="9">
        <v>44418</v>
      </c>
      <c r="B135" s="91" t="s">
        <v>23</v>
      </c>
      <c r="C135" s="91" t="s">
        <v>431</v>
      </c>
      <c r="D135" s="29" t="s">
        <v>31</v>
      </c>
      <c r="E135" s="760" t="s">
        <v>5546</v>
      </c>
      <c r="F135" s="760" t="s">
        <v>5547</v>
      </c>
      <c r="G135" s="30">
        <v>1</v>
      </c>
      <c r="H135" s="371">
        <v>110000</v>
      </c>
      <c r="I135" s="86">
        <f t="shared" si="8"/>
        <v>110000</v>
      </c>
      <c r="J135" s="20">
        <f t="shared" si="11"/>
        <v>27500</v>
      </c>
      <c r="K135" s="86">
        <f t="shared" si="9"/>
        <v>82500</v>
      </c>
      <c r="L135" s="17"/>
      <c r="M135" s="17"/>
      <c r="N135" s="17">
        <f t="shared" si="10"/>
        <v>82500</v>
      </c>
      <c r="O135" s="91" t="s">
        <v>23</v>
      </c>
      <c r="P135" s="72"/>
      <c r="Q135" s="91" t="s">
        <v>35</v>
      </c>
      <c r="R135" s="17"/>
      <c r="S135" s="17"/>
      <c r="T135" s="17"/>
      <c r="U135" s="17"/>
      <c r="V135" s="17"/>
      <c r="W135" s="17"/>
    </row>
    <row r="136" spans="1:23" s="20" customFormat="1">
      <c r="A136" s="9">
        <v>44418</v>
      </c>
      <c r="B136" s="91" t="s">
        <v>23</v>
      </c>
      <c r="C136" s="123" t="s">
        <v>5548</v>
      </c>
      <c r="D136" s="29" t="s">
        <v>5549</v>
      </c>
      <c r="E136" s="76" t="s">
        <v>4315</v>
      </c>
      <c r="F136" s="76" t="s">
        <v>4316</v>
      </c>
      <c r="G136" s="30">
        <v>1</v>
      </c>
      <c r="H136" s="203">
        <v>103000</v>
      </c>
      <c r="I136" s="86">
        <f t="shared" si="8"/>
        <v>103000</v>
      </c>
      <c r="K136" s="86">
        <f t="shared" si="9"/>
        <v>103000</v>
      </c>
      <c r="L136" s="17">
        <v>7000</v>
      </c>
      <c r="M136" s="17"/>
      <c r="N136" s="17">
        <f t="shared" si="10"/>
        <v>110000</v>
      </c>
      <c r="O136" s="91" t="s">
        <v>23</v>
      </c>
      <c r="P136" s="72"/>
      <c r="Q136" s="91" t="s">
        <v>28</v>
      </c>
      <c r="R136" s="17"/>
      <c r="S136" s="17"/>
      <c r="T136" s="17"/>
      <c r="U136" s="17"/>
      <c r="V136" s="17"/>
      <c r="W136" s="17"/>
    </row>
    <row r="137" spans="1:23" s="20" customFormat="1" ht="15.6">
      <c r="A137" s="9">
        <v>44418</v>
      </c>
      <c r="B137" s="91" t="s">
        <v>23</v>
      </c>
      <c r="C137" s="123" t="s">
        <v>5550</v>
      </c>
      <c r="D137" s="29" t="s">
        <v>5551</v>
      </c>
      <c r="E137" s="782" t="s">
        <v>103</v>
      </c>
      <c r="F137" s="782" t="s">
        <v>125</v>
      </c>
      <c r="G137" s="30">
        <v>2</v>
      </c>
      <c r="H137" s="783">
        <v>113500</v>
      </c>
      <c r="I137" s="86">
        <f t="shared" si="8"/>
        <v>227000</v>
      </c>
      <c r="K137" s="86">
        <f t="shared" si="9"/>
        <v>227000</v>
      </c>
      <c r="L137" s="17">
        <v>40000</v>
      </c>
      <c r="M137" s="17"/>
      <c r="N137" s="17">
        <f t="shared" si="10"/>
        <v>267000</v>
      </c>
      <c r="O137" s="91" t="s">
        <v>23</v>
      </c>
      <c r="P137" s="183"/>
      <c r="Q137" s="91" t="s">
        <v>5552</v>
      </c>
      <c r="R137" s="17"/>
      <c r="S137" s="17"/>
      <c r="T137" s="17"/>
      <c r="U137" s="17"/>
      <c r="V137" s="17"/>
      <c r="W137" s="17"/>
    </row>
    <row r="138" spans="1:23" s="20" customFormat="1" ht="15.6">
      <c r="A138" s="9">
        <v>44418</v>
      </c>
      <c r="B138" s="91" t="s">
        <v>23</v>
      </c>
      <c r="C138" s="123" t="s">
        <v>5550</v>
      </c>
      <c r="D138" s="29" t="s">
        <v>5551</v>
      </c>
      <c r="E138" s="782" t="s">
        <v>5553</v>
      </c>
      <c r="F138" s="782" t="s">
        <v>5554</v>
      </c>
      <c r="G138" s="30">
        <v>2</v>
      </c>
      <c r="H138" s="783">
        <v>71000</v>
      </c>
      <c r="I138" s="86">
        <f t="shared" si="8"/>
        <v>142000</v>
      </c>
      <c r="K138" s="86">
        <f t="shared" si="9"/>
        <v>142000</v>
      </c>
      <c r="L138" s="17"/>
      <c r="M138" s="17"/>
      <c r="N138" s="17">
        <f t="shared" si="10"/>
        <v>142000</v>
      </c>
      <c r="O138" s="91" t="s">
        <v>23</v>
      </c>
      <c r="P138" s="183"/>
      <c r="Q138" s="91" t="s">
        <v>5552</v>
      </c>
      <c r="R138" s="17"/>
      <c r="S138" s="17"/>
      <c r="T138" s="17"/>
      <c r="U138" s="17"/>
      <c r="V138" s="17"/>
      <c r="W138" s="17"/>
    </row>
    <row r="139" spans="1:23" s="20" customFormat="1" ht="15.6">
      <c r="A139" s="9">
        <v>44418</v>
      </c>
      <c r="B139" s="91" t="s">
        <v>23</v>
      </c>
      <c r="C139" s="123" t="s">
        <v>5550</v>
      </c>
      <c r="D139" s="29" t="s">
        <v>5551</v>
      </c>
      <c r="E139" s="754" t="s">
        <v>5555</v>
      </c>
      <c r="F139" s="754" t="s">
        <v>5556</v>
      </c>
      <c r="G139" s="30">
        <v>2</v>
      </c>
      <c r="H139" s="783">
        <v>95000</v>
      </c>
      <c r="I139" s="86">
        <f t="shared" si="8"/>
        <v>190000</v>
      </c>
      <c r="K139" s="86">
        <f t="shared" si="9"/>
        <v>190000</v>
      </c>
      <c r="L139" s="17"/>
      <c r="M139" s="17"/>
      <c r="N139" s="17">
        <f t="shared" si="10"/>
        <v>190000</v>
      </c>
      <c r="O139" s="91" t="s">
        <v>23</v>
      </c>
      <c r="P139" s="72"/>
      <c r="Q139" s="91" t="s">
        <v>5552</v>
      </c>
      <c r="R139" s="17"/>
      <c r="S139" s="17"/>
      <c r="T139" s="17"/>
      <c r="U139" s="17"/>
      <c r="V139" s="17"/>
      <c r="W139" s="17"/>
    </row>
    <row r="140" spans="1:23" s="20" customFormat="1" ht="15.6">
      <c r="A140" s="9">
        <v>44418</v>
      </c>
      <c r="B140" s="91" t="s">
        <v>23</v>
      </c>
      <c r="C140" s="123" t="s">
        <v>5550</v>
      </c>
      <c r="D140" s="29" t="s">
        <v>5551</v>
      </c>
      <c r="E140" s="782" t="s">
        <v>1056</v>
      </c>
      <c r="F140" s="782" t="s">
        <v>1057</v>
      </c>
      <c r="G140" s="30">
        <v>2</v>
      </c>
      <c r="H140" s="783">
        <v>193000</v>
      </c>
      <c r="I140" s="86">
        <f t="shared" si="8"/>
        <v>386000</v>
      </c>
      <c r="K140" s="86">
        <f t="shared" si="9"/>
        <v>386000</v>
      </c>
      <c r="L140" s="17"/>
      <c r="M140" s="17"/>
      <c r="N140" s="17">
        <f t="shared" si="10"/>
        <v>386000</v>
      </c>
      <c r="O140" s="91" t="s">
        <v>23</v>
      </c>
      <c r="P140" s="183"/>
      <c r="Q140" s="91" t="s">
        <v>5552</v>
      </c>
      <c r="R140" s="17"/>
      <c r="S140" s="17"/>
      <c r="T140" s="17"/>
      <c r="U140" s="17"/>
      <c r="V140" s="17"/>
      <c r="W140" s="17"/>
    </row>
    <row r="141" spans="1:23" s="20" customFormat="1" ht="15.6">
      <c r="A141" s="9">
        <v>44418</v>
      </c>
      <c r="B141" s="91" t="s">
        <v>23</v>
      </c>
      <c r="C141" s="123" t="s">
        <v>5550</v>
      </c>
      <c r="D141" s="29" t="s">
        <v>5551</v>
      </c>
      <c r="E141" s="782" t="s">
        <v>5557</v>
      </c>
      <c r="F141" s="782" t="s">
        <v>5558</v>
      </c>
      <c r="G141" s="30">
        <v>2</v>
      </c>
      <c r="H141" s="783">
        <v>131000</v>
      </c>
      <c r="I141" s="86">
        <f t="shared" si="8"/>
        <v>262000</v>
      </c>
      <c r="J141" s="17"/>
      <c r="K141" s="86">
        <f t="shared" si="9"/>
        <v>262000</v>
      </c>
      <c r="L141" s="17"/>
      <c r="M141" s="17"/>
      <c r="N141" s="17">
        <f t="shared" si="10"/>
        <v>262000</v>
      </c>
      <c r="O141" s="91" t="s">
        <v>23</v>
      </c>
      <c r="P141" s="183"/>
      <c r="Q141" s="91" t="s">
        <v>5552</v>
      </c>
      <c r="R141" s="17"/>
      <c r="S141" s="17"/>
      <c r="T141" s="17"/>
      <c r="U141" s="17"/>
      <c r="V141" s="17"/>
      <c r="W141" s="17"/>
    </row>
    <row r="142" spans="1:23" s="20" customFormat="1" ht="15.6">
      <c r="A142" s="9">
        <v>44418</v>
      </c>
      <c r="B142" s="91" t="s">
        <v>23</v>
      </c>
      <c r="C142" s="123" t="s">
        <v>5550</v>
      </c>
      <c r="D142" s="29" t="s">
        <v>5551</v>
      </c>
      <c r="E142" s="754" t="s">
        <v>5559</v>
      </c>
      <c r="F142" s="754" t="s">
        <v>5560</v>
      </c>
      <c r="G142" s="30">
        <v>2</v>
      </c>
      <c r="H142" s="783">
        <v>85000</v>
      </c>
      <c r="I142" s="86">
        <f t="shared" si="8"/>
        <v>170000</v>
      </c>
      <c r="J142" s="17"/>
      <c r="K142" s="86">
        <f t="shared" si="9"/>
        <v>170000</v>
      </c>
      <c r="L142" s="17"/>
      <c r="M142" s="17"/>
      <c r="N142" s="17">
        <f t="shared" si="10"/>
        <v>170000</v>
      </c>
      <c r="O142" s="91" t="s">
        <v>23</v>
      </c>
      <c r="P142" s="183"/>
      <c r="Q142" s="91" t="s">
        <v>5552</v>
      </c>
      <c r="R142" s="17"/>
      <c r="S142" s="17"/>
      <c r="T142" s="17"/>
      <c r="U142" s="17"/>
      <c r="V142" s="17"/>
      <c r="W142" s="17"/>
    </row>
    <row r="143" spans="1:23" s="20" customFormat="1" ht="15.6">
      <c r="A143" s="9">
        <v>44418</v>
      </c>
      <c r="B143" s="91" t="s">
        <v>23</v>
      </c>
      <c r="C143" s="123" t="s">
        <v>5550</v>
      </c>
      <c r="D143" s="29" t="s">
        <v>5551</v>
      </c>
      <c r="E143" s="782" t="s">
        <v>4564</v>
      </c>
      <c r="F143" s="782" t="s">
        <v>4565</v>
      </c>
      <c r="G143" s="30">
        <v>2</v>
      </c>
      <c r="H143" s="783">
        <v>110000</v>
      </c>
      <c r="I143" s="86">
        <f t="shared" si="8"/>
        <v>220000</v>
      </c>
      <c r="J143" s="17"/>
      <c r="K143" s="86">
        <f t="shared" si="9"/>
        <v>220000</v>
      </c>
      <c r="L143" s="17"/>
      <c r="M143" s="17"/>
      <c r="N143" s="17">
        <f t="shared" si="10"/>
        <v>220000</v>
      </c>
      <c r="O143" s="91" t="s">
        <v>23</v>
      </c>
      <c r="P143" s="72"/>
      <c r="Q143" s="91" t="s">
        <v>5552</v>
      </c>
      <c r="R143" s="17"/>
      <c r="S143" s="17"/>
      <c r="T143" s="17"/>
      <c r="U143" s="17"/>
      <c r="V143" s="17"/>
      <c r="W143" s="17"/>
    </row>
    <row r="144" spans="1:23" s="20" customFormat="1" ht="15.6">
      <c r="A144" s="9">
        <v>44418</v>
      </c>
      <c r="B144" s="91" t="s">
        <v>23</v>
      </c>
      <c r="C144" s="123" t="s">
        <v>5550</v>
      </c>
      <c r="D144" s="29" t="s">
        <v>5551</v>
      </c>
      <c r="E144" s="782" t="s">
        <v>5561</v>
      </c>
      <c r="F144" s="782" t="s">
        <v>5562</v>
      </c>
      <c r="G144" s="30">
        <v>2</v>
      </c>
      <c r="H144" s="783">
        <v>73000</v>
      </c>
      <c r="I144" s="86">
        <f t="shared" si="8"/>
        <v>146000</v>
      </c>
      <c r="J144" s="17"/>
      <c r="K144" s="86">
        <f t="shared" si="9"/>
        <v>146000</v>
      </c>
      <c r="L144" s="17"/>
      <c r="M144" s="17"/>
      <c r="N144" s="17">
        <f t="shared" si="10"/>
        <v>146000</v>
      </c>
      <c r="O144" s="91" t="s">
        <v>23</v>
      </c>
      <c r="P144" s="183"/>
      <c r="Q144" s="91" t="s">
        <v>5552</v>
      </c>
      <c r="R144" s="17"/>
      <c r="S144" s="17"/>
      <c r="T144" s="17"/>
      <c r="U144" s="17"/>
      <c r="V144" s="17"/>
      <c r="W144" s="17"/>
    </row>
    <row r="145" spans="1:23" s="20" customFormat="1" ht="15.6">
      <c r="A145" s="9">
        <v>44418</v>
      </c>
      <c r="B145" s="91" t="s">
        <v>23</v>
      </c>
      <c r="C145" s="123" t="s">
        <v>5550</v>
      </c>
      <c r="D145" s="29" t="s">
        <v>5551</v>
      </c>
      <c r="E145" s="782" t="s">
        <v>5563</v>
      </c>
      <c r="F145" s="782" t="s">
        <v>74</v>
      </c>
      <c r="G145" s="30">
        <v>2</v>
      </c>
      <c r="H145" s="783">
        <v>104000</v>
      </c>
      <c r="I145" s="86">
        <f t="shared" si="8"/>
        <v>208000</v>
      </c>
      <c r="K145" s="86">
        <f t="shared" si="9"/>
        <v>208000</v>
      </c>
      <c r="L145" s="17"/>
      <c r="M145" s="17"/>
      <c r="N145" s="17">
        <f t="shared" si="10"/>
        <v>208000</v>
      </c>
      <c r="O145" s="91" t="s">
        <v>23</v>
      </c>
      <c r="P145" s="72"/>
      <c r="Q145" s="91" t="s">
        <v>5552</v>
      </c>
      <c r="R145" s="17"/>
      <c r="S145" s="17"/>
      <c r="T145" s="17"/>
      <c r="U145" s="17"/>
      <c r="V145" s="17"/>
      <c r="W145" s="17"/>
    </row>
    <row r="146" spans="1:23" s="20" customFormat="1" ht="15.6">
      <c r="A146" s="9">
        <v>44418</v>
      </c>
      <c r="B146" s="91" t="s">
        <v>23</v>
      </c>
      <c r="C146" s="123" t="s">
        <v>5550</v>
      </c>
      <c r="D146" s="29" t="s">
        <v>5551</v>
      </c>
      <c r="E146" s="782" t="s">
        <v>5564</v>
      </c>
      <c r="F146" s="782" t="s">
        <v>5565</v>
      </c>
      <c r="G146" s="30">
        <v>2</v>
      </c>
      <c r="H146" s="783">
        <v>85000</v>
      </c>
      <c r="I146" s="86">
        <f t="shared" si="8"/>
        <v>170000</v>
      </c>
      <c r="K146" s="86">
        <f t="shared" si="9"/>
        <v>170000</v>
      </c>
      <c r="L146" s="17"/>
      <c r="M146" s="17"/>
      <c r="N146" s="17">
        <f t="shared" si="10"/>
        <v>170000</v>
      </c>
      <c r="O146" s="91" t="s">
        <v>23</v>
      </c>
      <c r="P146" s="72"/>
      <c r="Q146" s="91" t="s">
        <v>5552</v>
      </c>
      <c r="R146" s="17"/>
      <c r="S146" s="17"/>
      <c r="T146" s="17"/>
      <c r="U146" s="17"/>
      <c r="V146" s="17"/>
      <c r="W146" s="17"/>
    </row>
    <row r="147" spans="1:23" s="20" customFormat="1" ht="15.6">
      <c r="A147" s="9">
        <v>44418</v>
      </c>
      <c r="B147" s="91" t="s">
        <v>23</v>
      </c>
      <c r="C147" s="123" t="s">
        <v>5550</v>
      </c>
      <c r="D147" s="29" t="s">
        <v>5551</v>
      </c>
      <c r="E147" s="782" t="s">
        <v>5564</v>
      </c>
      <c r="F147" s="782" t="s">
        <v>5566</v>
      </c>
      <c r="G147" s="30">
        <v>2</v>
      </c>
      <c r="H147" s="783">
        <v>106500</v>
      </c>
      <c r="I147" s="86">
        <f t="shared" si="8"/>
        <v>213000</v>
      </c>
      <c r="K147" s="86">
        <f t="shared" si="9"/>
        <v>213000</v>
      </c>
      <c r="L147" s="17"/>
      <c r="M147" s="17"/>
      <c r="N147" s="17">
        <f t="shared" si="10"/>
        <v>213000</v>
      </c>
      <c r="O147" s="91" t="s">
        <v>23</v>
      </c>
      <c r="P147" s="72"/>
      <c r="Q147" s="91" t="s">
        <v>5552</v>
      </c>
      <c r="R147" s="17"/>
      <c r="S147" s="17"/>
      <c r="T147" s="17"/>
      <c r="U147" s="17"/>
      <c r="V147" s="17"/>
      <c r="W147" s="17"/>
    </row>
    <row r="148" spans="1:23" s="20" customFormat="1" ht="15.6">
      <c r="A148" s="9">
        <v>44418</v>
      </c>
      <c r="B148" s="91" t="s">
        <v>23</v>
      </c>
      <c r="C148" s="91" t="s">
        <v>5567</v>
      </c>
      <c r="D148" s="29" t="s">
        <v>5568</v>
      </c>
      <c r="E148" s="76" t="s">
        <v>5569</v>
      </c>
      <c r="F148" s="76" t="s">
        <v>5570</v>
      </c>
      <c r="G148" s="30">
        <v>1</v>
      </c>
      <c r="H148" s="784">
        <v>97000</v>
      </c>
      <c r="I148" s="86">
        <f t="shared" si="8"/>
        <v>97000</v>
      </c>
      <c r="K148" s="86">
        <f t="shared" si="9"/>
        <v>97000</v>
      </c>
      <c r="L148" s="17">
        <v>7000</v>
      </c>
      <c r="M148" s="17"/>
      <c r="N148" s="17">
        <f t="shared" si="10"/>
        <v>104000</v>
      </c>
      <c r="O148" s="91" t="s">
        <v>23</v>
      </c>
      <c r="P148" s="183"/>
      <c r="Q148" s="91" t="s">
        <v>28</v>
      </c>
      <c r="R148" s="17"/>
      <c r="S148" s="17"/>
      <c r="T148" s="17"/>
      <c r="U148" s="17"/>
      <c r="V148" s="17"/>
      <c r="W148" s="17"/>
    </row>
    <row r="149" spans="1:23" s="20" customFormat="1">
      <c r="A149" s="199">
        <v>44418</v>
      </c>
      <c r="B149" s="282" t="s">
        <v>23</v>
      </c>
      <c r="C149" s="282" t="s">
        <v>5571</v>
      </c>
      <c r="D149" s="20" t="s">
        <v>5572</v>
      </c>
      <c r="E149" s="745" t="s">
        <v>5573</v>
      </c>
      <c r="F149" s="745" t="s">
        <v>5574</v>
      </c>
      <c r="G149" s="56">
        <v>1</v>
      </c>
      <c r="H149" s="20">
        <v>49500</v>
      </c>
      <c r="I149" s="86">
        <f t="shared" si="8"/>
        <v>49500</v>
      </c>
      <c r="J149" s="20">
        <f>I149*20%</f>
        <v>9900</v>
      </c>
      <c r="K149" s="86">
        <f t="shared" si="9"/>
        <v>39600</v>
      </c>
      <c r="L149" s="17">
        <v>42000</v>
      </c>
      <c r="M149" s="17"/>
      <c r="N149" s="17">
        <f t="shared" si="10"/>
        <v>81600</v>
      </c>
      <c r="O149" s="282" t="s">
        <v>23</v>
      </c>
      <c r="P149" s="183"/>
      <c r="Q149" s="282" t="s">
        <v>40</v>
      </c>
      <c r="R149" s="17"/>
      <c r="S149" s="17"/>
      <c r="T149" s="17"/>
      <c r="U149" s="17"/>
      <c r="V149" s="17"/>
      <c r="W149" s="17"/>
    </row>
    <row r="150" spans="1:23" s="20" customFormat="1">
      <c r="A150" s="9">
        <v>44418</v>
      </c>
      <c r="B150" s="10" t="s">
        <v>23</v>
      </c>
      <c r="C150" s="10" t="s">
        <v>431</v>
      </c>
      <c r="D150" s="92" t="s">
        <v>31</v>
      </c>
      <c r="E150" s="738" t="s">
        <v>3889</v>
      </c>
      <c r="F150" s="738" t="s">
        <v>3890</v>
      </c>
      <c r="G150" s="30">
        <v>1</v>
      </c>
      <c r="H150" s="371">
        <v>87000</v>
      </c>
      <c r="I150" s="86">
        <f t="shared" si="8"/>
        <v>87000</v>
      </c>
      <c r="J150" s="20">
        <f>I150*25%+40000</f>
        <v>61750</v>
      </c>
      <c r="K150" s="86">
        <f t="shared" si="9"/>
        <v>25250</v>
      </c>
      <c r="L150" s="17"/>
      <c r="M150" s="17"/>
      <c r="N150" s="17">
        <f t="shared" si="10"/>
        <v>25250</v>
      </c>
      <c r="O150" s="10" t="s">
        <v>23</v>
      </c>
      <c r="P150" s="72"/>
      <c r="Q150" s="10" t="s">
        <v>35</v>
      </c>
      <c r="R150" s="17"/>
      <c r="S150" s="17"/>
      <c r="T150" s="17"/>
      <c r="U150" s="17"/>
      <c r="V150" s="17"/>
      <c r="W150" s="17"/>
    </row>
    <row r="151" spans="1:23" s="20" customFormat="1">
      <c r="A151" s="9">
        <v>44418</v>
      </c>
      <c r="B151" s="10" t="s">
        <v>23</v>
      </c>
      <c r="C151" s="10" t="s">
        <v>431</v>
      </c>
      <c r="D151" s="29" t="s">
        <v>31</v>
      </c>
      <c r="E151" s="785" t="s">
        <v>3729</v>
      </c>
      <c r="F151" s="785" t="s">
        <v>3730</v>
      </c>
      <c r="G151" s="30">
        <v>1</v>
      </c>
      <c r="H151" s="371">
        <v>84000</v>
      </c>
      <c r="I151" s="86">
        <f t="shared" si="8"/>
        <v>84000</v>
      </c>
      <c r="J151" s="20">
        <f t="shared" ref="J151:J152" si="12">I151*25%</f>
        <v>21000</v>
      </c>
      <c r="K151" s="86">
        <f t="shared" si="9"/>
        <v>63000</v>
      </c>
      <c r="L151" s="17"/>
      <c r="M151" s="17"/>
      <c r="N151" s="17">
        <f t="shared" si="10"/>
        <v>63000</v>
      </c>
      <c r="O151" s="10" t="s">
        <v>23</v>
      </c>
      <c r="P151" s="72"/>
      <c r="Q151" s="10" t="s">
        <v>35</v>
      </c>
      <c r="R151" s="17"/>
      <c r="S151" s="17"/>
      <c r="T151" s="17"/>
      <c r="U151" s="17"/>
      <c r="V151" s="17"/>
      <c r="W151" s="17"/>
    </row>
    <row r="152" spans="1:23" s="20" customFormat="1">
      <c r="A152" s="9">
        <v>44418</v>
      </c>
      <c r="B152" s="10" t="s">
        <v>23</v>
      </c>
      <c r="C152" s="10" t="s">
        <v>431</v>
      </c>
      <c r="D152" s="92" t="s">
        <v>31</v>
      </c>
      <c r="E152" s="738" t="s">
        <v>5575</v>
      </c>
      <c r="F152" s="738" t="s">
        <v>5576</v>
      </c>
      <c r="G152" s="30">
        <v>1</v>
      </c>
      <c r="H152" s="371">
        <v>160000</v>
      </c>
      <c r="I152" s="86">
        <f t="shared" si="8"/>
        <v>160000</v>
      </c>
      <c r="J152" s="20">
        <f t="shared" si="12"/>
        <v>40000</v>
      </c>
      <c r="K152" s="86">
        <f t="shared" si="9"/>
        <v>120000</v>
      </c>
      <c r="L152" s="17"/>
      <c r="M152" s="17"/>
      <c r="N152" s="17">
        <f t="shared" si="10"/>
        <v>120000</v>
      </c>
      <c r="O152" s="10" t="s">
        <v>23</v>
      </c>
      <c r="P152" s="72"/>
      <c r="Q152" s="10" t="s">
        <v>35</v>
      </c>
      <c r="R152" s="17"/>
      <c r="S152" s="17"/>
      <c r="T152" s="17"/>
      <c r="U152" s="17"/>
      <c r="V152" s="17"/>
      <c r="W152" s="17"/>
    </row>
    <row r="153" spans="1:23" s="20" customFormat="1" hidden="1">
      <c r="A153" s="9">
        <v>44420</v>
      </c>
      <c r="B153" s="91" t="s">
        <v>43</v>
      </c>
      <c r="C153" s="123" t="s">
        <v>5577</v>
      </c>
      <c r="D153" s="92" t="s">
        <v>5578</v>
      </c>
      <c r="E153" s="739" t="s">
        <v>5579</v>
      </c>
      <c r="F153" s="739" t="s">
        <v>5580</v>
      </c>
      <c r="G153" s="30">
        <v>1</v>
      </c>
      <c r="H153" s="203">
        <v>92000</v>
      </c>
      <c r="I153" s="86">
        <f t="shared" si="8"/>
        <v>92000</v>
      </c>
      <c r="K153" s="86">
        <f t="shared" si="9"/>
        <v>92000</v>
      </c>
      <c r="L153" s="17"/>
      <c r="M153" s="17">
        <v>-5152</v>
      </c>
      <c r="N153" s="171">
        <f t="shared" si="10"/>
        <v>86848</v>
      </c>
      <c r="O153" s="91" t="s">
        <v>43</v>
      </c>
      <c r="P153" s="72"/>
      <c r="Q153" s="91" t="s">
        <v>54</v>
      </c>
      <c r="R153" s="17"/>
      <c r="S153" s="17"/>
      <c r="T153" s="17"/>
      <c r="U153" s="17"/>
      <c r="V153" s="17"/>
      <c r="W153" s="17"/>
    </row>
    <row r="154" spans="1:23" s="20" customFormat="1" hidden="1">
      <c r="A154" s="9">
        <v>44420</v>
      </c>
      <c r="B154" s="91" t="s">
        <v>170</v>
      </c>
      <c r="C154" s="123" t="s">
        <v>5581</v>
      </c>
      <c r="D154" s="92" t="s">
        <v>5582</v>
      </c>
      <c r="E154" s="76" t="s">
        <v>101</v>
      </c>
      <c r="F154" s="76" t="s">
        <v>121</v>
      </c>
      <c r="G154" s="30">
        <v>1</v>
      </c>
      <c r="H154" s="203">
        <v>91000</v>
      </c>
      <c r="I154" s="86">
        <f t="shared" si="8"/>
        <v>91000</v>
      </c>
      <c r="K154" s="86">
        <f t="shared" si="9"/>
        <v>91000</v>
      </c>
      <c r="L154" s="17">
        <f>7000-7000</f>
        <v>0</v>
      </c>
      <c r="M154" s="17">
        <v>-455</v>
      </c>
      <c r="N154" s="171">
        <f t="shared" si="10"/>
        <v>90545</v>
      </c>
      <c r="O154" s="91" t="s">
        <v>170</v>
      </c>
      <c r="P154" s="72"/>
      <c r="Q154" s="91" t="s">
        <v>54</v>
      </c>
      <c r="R154" s="17"/>
      <c r="S154" s="17"/>
      <c r="T154" s="17"/>
      <c r="U154" s="17"/>
      <c r="V154" s="17"/>
      <c r="W154" s="17"/>
    </row>
    <row r="155" spans="1:23" s="20" customFormat="1" hidden="1">
      <c r="A155" s="9">
        <v>44420</v>
      </c>
      <c r="B155" s="91" t="s">
        <v>177</v>
      </c>
      <c r="C155" s="91" t="s">
        <v>5583</v>
      </c>
      <c r="D155" s="92" t="s">
        <v>5584</v>
      </c>
      <c r="E155" s="739" t="s">
        <v>899</v>
      </c>
      <c r="F155" s="739" t="s">
        <v>900</v>
      </c>
      <c r="G155" s="708">
        <v>1</v>
      </c>
      <c r="H155" s="203">
        <v>78000</v>
      </c>
      <c r="I155" s="86">
        <f t="shared" si="8"/>
        <v>78000</v>
      </c>
      <c r="K155" s="86">
        <f t="shared" si="9"/>
        <v>78000</v>
      </c>
      <c r="L155" s="17">
        <v>9500</v>
      </c>
      <c r="M155" s="17"/>
      <c r="N155" s="171">
        <f t="shared" si="10"/>
        <v>87500</v>
      </c>
      <c r="O155" s="91" t="s">
        <v>177</v>
      </c>
      <c r="P155" s="72"/>
      <c r="Q155" s="91" t="s">
        <v>54</v>
      </c>
      <c r="R155" s="17"/>
      <c r="S155" s="17"/>
      <c r="T155" s="17"/>
      <c r="U155" s="17"/>
      <c r="V155" s="17"/>
      <c r="W155" s="17"/>
    </row>
    <row r="156" spans="1:23" s="20" customFormat="1" hidden="1">
      <c r="A156" s="9">
        <v>44420</v>
      </c>
      <c r="B156" s="91" t="s">
        <v>313</v>
      </c>
      <c r="C156" s="123" t="s">
        <v>5585</v>
      </c>
      <c r="D156" s="29" t="s">
        <v>5586</v>
      </c>
      <c r="E156" s="739" t="s">
        <v>899</v>
      </c>
      <c r="F156" s="739" t="s">
        <v>900</v>
      </c>
      <c r="G156" s="708">
        <v>1</v>
      </c>
      <c r="H156" s="203">
        <v>120000</v>
      </c>
      <c r="I156" s="86">
        <f t="shared" si="8"/>
        <v>120000</v>
      </c>
      <c r="K156" s="86">
        <f t="shared" si="9"/>
        <v>120000</v>
      </c>
      <c r="L156" s="17">
        <v>17088</v>
      </c>
      <c r="M156" s="17"/>
      <c r="N156" s="171">
        <f t="shared" si="10"/>
        <v>137088</v>
      </c>
      <c r="O156" s="91" t="s">
        <v>313</v>
      </c>
      <c r="P156" s="72"/>
      <c r="Q156" s="91" t="s">
        <v>40</v>
      </c>
      <c r="R156" s="17"/>
      <c r="S156" s="17"/>
      <c r="T156" s="17"/>
      <c r="U156" s="17"/>
      <c r="V156" s="17"/>
      <c r="W156" s="17"/>
    </row>
    <row r="157" spans="1:23" s="20" customFormat="1">
      <c r="A157" s="9">
        <v>44420</v>
      </c>
      <c r="B157" s="91" t="s">
        <v>23</v>
      </c>
      <c r="C157" s="123" t="s">
        <v>5587</v>
      </c>
      <c r="D157" s="29" t="s">
        <v>9430</v>
      </c>
      <c r="E157" s="782" t="s">
        <v>5588</v>
      </c>
      <c r="F157" s="782" t="s">
        <v>5589</v>
      </c>
      <c r="G157" s="30">
        <v>1</v>
      </c>
      <c r="H157" s="371">
        <v>66000</v>
      </c>
      <c r="I157" s="86">
        <f t="shared" si="8"/>
        <v>66000</v>
      </c>
      <c r="J157" s="20">
        <f>I157*20%</f>
        <v>13200</v>
      </c>
      <c r="K157" s="86">
        <f t="shared" si="9"/>
        <v>52800</v>
      </c>
      <c r="L157" s="17">
        <v>100000</v>
      </c>
      <c r="M157" s="17"/>
      <c r="N157" s="171">
        <f t="shared" si="10"/>
        <v>152800</v>
      </c>
      <c r="O157" s="91" t="s">
        <v>23</v>
      </c>
      <c r="P157" s="92"/>
      <c r="Q157" s="91" t="s">
        <v>5552</v>
      </c>
      <c r="R157" s="17"/>
      <c r="S157" s="17"/>
      <c r="T157" s="17"/>
      <c r="U157" s="17"/>
      <c r="V157" s="17"/>
      <c r="W157" s="17"/>
    </row>
    <row r="158" spans="1:23" s="20" customFormat="1">
      <c r="A158" s="9">
        <v>44420</v>
      </c>
      <c r="B158" s="91" t="s">
        <v>23</v>
      </c>
      <c r="C158" s="123" t="s">
        <v>5587</v>
      </c>
      <c r="D158" s="29" t="s">
        <v>9430</v>
      </c>
      <c r="E158" s="754" t="s">
        <v>4168</v>
      </c>
      <c r="F158" s="754" t="s">
        <v>4169</v>
      </c>
      <c r="G158" s="30">
        <v>1</v>
      </c>
      <c r="H158" s="371">
        <v>137000</v>
      </c>
      <c r="I158" s="86">
        <f t="shared" si="8"/>
        <v>137000</v>
      </c>
      <c r="J158" s="20">
        <f t="shared" ref="J158:J178" si="13">I158*20%</f>
        <v>27400</v>
      </c>
      <c r="K158" s="86">
        <f t="shared" si="9"/>
        <v>109600</v>
      </c>
      <c r="L158" s="17"/>
      <c r="M158" s="17"/>
      <c r="N158" s="171">
        <f t="shared" si="10"/>
        <v>109600</v>
      </c>
      <c r="O158" s="91" t="s">
        <v>23</v>
      </c>
      <c r="P158" s="92"/>
      <c r="Q158" s="91" t="s">
        <v>5552</v>
      </c>
      <c r="R158" s="17"/>
      <c r="S158" s="17"/>
      <c r="T158" s="17"/>
      <c r="U158" s="17"/>
      <c r="V158" s="17"/>
      <c r="W158" s="17"/>
    </row>
    <row r="159" spans="1:23" s="20" customFormat="1">
      <c r="A159" s="9">
        <v>44420</v>
      </c>
      <c r="B159" s="91" t="s">
        <v>23</v>
      </c>
      <c r="C159" s="123" t="s">
        <v>5587</v>
      </c>
      <c r="D159" s="29" t="s">
        <v>9430</v>
      </c>
      <c r="E159" s="782" t="s">
        <v>3486</v>
      </c>
      <c r="F159" s="782" t="s">
        <v>3487</v>
      </c>
      <c r="G159" s="30">
        <v>1</v>
      </c>
      <c r="H159" s="371">
        <v>150000</v>
      </c>
      <c r="I159" s="86">
        <f t="shared" si="8"/>
        <v>150000</v>
      </c>
      <c r="J159" s="20">
        <f t="shared" si="13"/>
        <v>30000</v>
      </c>
      <c r="K159" s="86">
        <f t="shared" si="9"/>
        <v>120000</v>
      </c>
      <c r="L159" s="17"/>
      <c r="M159" s="17"/>
      <c r="N159" s="171">
        <f t="shared" si="10"/>
        <v>120000</v>
      </c>
      <c r="O159" s="91" t="s">
        <v>23</v>
      </c>
      <c r="P159" s="92"/>
      <c r="Q159" s="91" t="s">
        <v>5552</v>
      </c>
      <c r="R159" s="17"/>
      <c r="S159" s="17"/>
      <c r="T159" s="17"/>
      <c r="U159" s="17"/>
      <c r="V159" s="17"/>
      <c r="W159" s="17"/>
    </row>
    <row r="160" spans="1:23" s="20" customFormat="1">
      <c r="A160" s="9">
        <v>44420</v>
      </c>
      <c r="B160" s="91" t="s">
        <v>23</v>
      </c>
      <c r="C160" s="123" t="s">
        <v>5587</v>
      </c>
      <c r="D160" s="29" t="s">
        <v>9430</v>
      </c>
      <c r="E160" s="782" t="s">
        <v>5590</v>
      </c>
      <c r="F160" s="782" t="s">
        <v>5591</v>
      </c>
      <c r="G160" s="30">
        <v>1</v>
      </c>
      <c r="H160" s="371">
        <v>71000</v>
      </c>
      <c r="I160" s="86">
        <f t="shared" si="8"/>
        <v>71000</v>
      </c>
      <c r="J160" s="20">
        <f t="shared" si="13"/>
        <v>14200</v>
      </c>
      <c r="K160" s="86">
        <f t="shared" si="9"/>
        <v>56800</v>
      </c>
      <c r="L160" s="17"/>
      <c r="M160" s="17"/>
      <c r="N160" s="171">
        <f t="shared" si="10"/>
        <v>56800</v>
      </c>
      <c r="O160" s="91" t="s">
        <v>23</v>
      </c>
      <c r="P160" s="92"/>
      <c r="Q160" s="91" t="s">
        <v>5552</v>
      </c>
      <c r="R160" s="17"/>
      <c r="S160" s="17"/>
      <c r="T160" s="17"/>
      <c r="U160" s="17"/>
      <c r="V160" s="17"/>
      <c r="W160" s="17"/>
    </row>
    <row r="161" spans="1:23" s="20" customFormat="1">
      <c r="A161" s="9">
        <v>44420</v>
      </c>
      <c r="B161" s="91" t="s">
        <v>23</v>
      </c>
      <c r="C161" s="123" t="s">
        <v>5587</v>
      </c>
      <c r="D161" s="29" t="s">
        <v>9430</v>
      </c>
      <c r="E161" s="782" t="s">
        <v>5592</v>
      </c>
      <c r="F161" s="782" t="s">
        <v>5593</v>
      </c>
      <c r="G161" s="684">
        <v>1</v>
      </c>
      <c r="H161" s="371">
        <v>173000</v>
      </c>
      <c r="I161" s="86">
        <f t="shared" si="8"/>
        <v>173000</v>
      </c>
      <c r="J161" s="20">
        <f t="shared" si="13"/>
        <v>34600</v>
      </c>
      <c r="K161" s="86">
        <f t="shared" si="9"/>
        <v>138400</v>
      </c>
      <c r="L161" s="17"/>
      <c r="M161" s="17"/>
      <c r="N161" s="171">
        <f t="shared" si="10"/>
        <v>138400</v>
      </c>
      <c r="O161" s="91" t="s">
        <v>23</v>
      </c>
      <c r="P161" s="92"/>
      <c r="Q161" s="91" t="s">
        <v>5552</v>
      </c>
      <c r="R161" s="17"/>
      <c r="S161" s="17"/>
      <c r="T161" s="17"/>
      <c r="U161" s="17"/>
      <c r="V161" s="17"/>
      <c r="W161" s="17"/>
    </row>
    <row r="162" spans="1:23" s="20" customFormat="1">
      <c r="A162" s="9">
        <v>44420</v>
      </c>
      <c r="B162" s="91" t="s">
        <v>23</v>
      </c>
      <c r="C162" s="123" t="s">
        <v>5587</v>
      </c>
      <c r="D162" s="29" t="s">
        <v>9430</v>
      </c>
      <c r="E162" s="754" t="s">
        <v>3951</v>
      </c>
      <c r="F162" s="754" t="s">
        <v>3952</v>
      </c>
      <c r="G162" s="30">
        <v>1</v>
      </c>
      <c r="H162" s="371">
        <v>144000</v>
      </c>
      <c r="I162" s="86">
        <f t="shared" si="8"/>
        <v>144000</v>
      </c>
      <c r="J162" s="20">
        <f t="shared" si="13"/>
        <v>28800</v>
      </c>
      <c r="K162" s="86">
        <f t="shared" si="9"/>
        <v>115200</v>
      </c>
      <c r="L162" s="17"/>
      <c r="M162" s="17"/>
      <c r="N162" s="171">
        <f t="shared" si="10"/>
        <v>115200</v>
      </c>
      <c r="O162" s="91" t="s">
        <v>23</v>
      </c>
      <c r="P162" s="92"/>
      <c r="Q162" s="91" t="s">
        <v>5552</v>
      </c>
      <c r="R162" s="17"/>
      <c r="S162" s="17"/>
      <c r="T162" s="17"/>
      <c r="U162" s="17"/>
      <c r="V162" s="17"/>
      <c r="W162" s="17"/>
    </row>
    <row r="163" spans="1:23" s="20" customFormat="1">
      <c r="A163" s="9">
        <v>44420</v>
      </c>
      <c r="B163" s="91" t="s">
        <v>23</v>
      </c>
      <c r="C163" s="123" t="s">
        <v>5587</v>
      </c>
      <c r="D163" s="29" t="s">
        <v>9430</v>
      </c>
      <c r="E163" s="754" t="s">
        <v>5594</v>
      </c>
      <c r="F163" s="754" t="s">
        <v>5595</v>
      </c>
      <c r="G163" s="30">
        <v>1</v>
      </c>
      <c r="H163" s="371">
        <v>217000</v>
      </c>
      <c r="I163" s="86">
        <f t="shared" si="8"/>
        <v>217000</v>
      </c>
      <c r="J163" s="20">
        <f t="shared" si="13"/>
        <v>43400</v>
      </c>
      <c r="K163" s="86">
        <f t="shared" si="9"/>
        <v>173600</v>
      </c>
      <c r="L163" s="17"/>
      <c r="M163" s="17"/>
      <c r="N163" s="171">
        <f t="shared" si="10"/>
        <v>173600</v>
      </c>
      <c r="O163" s="91" t="s">
        <v>23</v>
      </c>
      <c r="P163" s="191"/>
      <c r="Q163" s="91" t="s">
        <v>5552</v>
      </c>
      <c r="R163" s="17"/>
      <c r="S163" s="17"/>
      <c r="T163" s="17"/>
      <c r="U163" s="17"/>
      <c r="V163" s="17"/>
      <c r="W163" s="17"/>
    </row>
    <row r="164" spans="1:23" s="20" customFormat="1">
      <c r="A164" s="9">
        <v>44420</v>
      </c>
      <c r="B164" s="91" t="s">
        <v>23</v>
      </c>
      <c r="C164" s="123" t="s">
        <v>5587</v>
      </c>
      <c r="D164" s="29" t="s">
        <v>9430</v>
      </c>
      <c r="E164" s="782" t="s">
        <v>2981</v>
      </c>
      <c r="F164" s="782" t="s">
        <v>2982</v>
      </c>
      <c r="G164" s="30">
        <v>1</v>
      </c>
      <c r="H164" s="371">
        <v>79000</v>
      </c>
      <c r="I164" s="86">
        <f t="shared" si="8"/>
        <v>79000</v>
      </c>
      <c r="J164" s="20">
        <f t="shared" si="13"/>
        <v>15800</v>
      </c>
      <c r="K164" s="86">
        <f t="shared" si="9"/>
        <v>63200</v>
      </c>
      <c r="L164" s="17"/>
      <c r="M164" s="17"/>
      <c r="N164" s="171">
        <f t="shared" si="10"/>
        <v>63200</v>
      </c>
      <c r="O164" s="91" t="s">
        <v>23</v>
      </c>
      <c r="P164" s="191"/>
      <c r="Q164" s="91" t="s">
        <v>5552</v>
      </c>
      <c r="R164" s="17"/>
      <c r="S164" s="17"/>
      <c r="T164" s="17"/>
      <c r="U164" s="17"/>
      <c r="V164" s="17"/>
      <c r="W164" s="17"/>
    </row>
    <row r="165" spans="1:23" s="20" customFormat="1">
      <c r="A165" s="9">
        <v>44420</v>
      </c>
      <c r="B165" s="91" t="s">
        <v>23</v>
      </c>
      <c r="C165" s="123" t="s">
        <v>5587</v>
      </c>
      <c r="D165" s="29" t="s">
        <v>9430</v>
      </c>
      <c r="E165" s="782" t="s">
        <v>377</v>
      </c>
      <c r="F165" s="782" t="s">
        <v>378</v>
      </c>
      <c r="G165" s="30">
        <v>1</v>
      </c>
      <c r="H165" s="371">
        <v>155000</v>
      </c>
      <c r="I165" s="86">
        <f t="shared" si="8"/>
        <v>155000</v>
      </c>
      <c r="J165" s="20">
        <f t="shared" si="13"/>
        <v>31000</v>
      </c>
      <c r="K165" s="86">
        <f t="shared" si="9"/>
        <v>124000</v>
      </c>
      <c r="L165" s="17"/>
      <c r="M165" s="17"/>
      <c r="N165" s="171">
        <f t="shared" si="10"/>
        <v>124000</v>
      </c>
      <c r="O165" s="91" t="s">
        <v>23</v>
      </c>
      <c r="P165" s="191"/>
      <c r="Q165" s="91" t="s">
        <v>5552</v>
      </c>
      <c r="R165" s="17"/>
      <c r="S165" s="17"/>
      <c r="T165" s="17"/>
      <c r="U165" s="17"/>
      <c r="V165" s="17"/>
      <c r="W165" s="17"/>
    </row>
    <row r="166" spans="1:23" s="20" customFormat="1">
      <c r="A166" s="9">
        <v>44420</v>
      </c>
      <c r="B166" s="91" t="s">
        <v>23</v>
      </c>
      <c r="C166" s="123" t="s">
        <v>5587</v>
      </c>
      <c r="D166" s="29" t="s">
        <v>9430</v>
      </c>
      <c r="E166" s="782" t="s">
        <v>3493</v>
      </c>
      <c r="F166" s="782" t="s">
        <v>3494</v>
      </c>
      <c r="G166" s="30">
        <v>1</v>
      </c>
      <c r="H166" s="371">
        <v>75500</v>
      </c>
      <c r="I166" s="86">
        <f t="shared" si="8"/>
        <v>75500</v>
      </c>
      <c r="J166" s="20">
        <f t="shared" si="13"/>
        <v>15100</v>
      </c>
      <c r="K166" s="86">
        <f t="shared" si="9"/>
        <v>60400</v>
      </c>
      <c r="L166" s="17"/>
      <c r="M166" s="17"/>
      <c r="N166" s="171">
        <f t="shared" si="10"/>
        <v>60400</v>
      </c>
      <c r="O166" s="91" t="s">
        <v>23</v>
      </c>
      <c r="P166" s="191"/>
      <c r="Q166" s="91" t="s">
        <v>5552</v>
      </c>
      <c r="R166" s="17"/>
      <c r="S166" s="17"/>
      <c r="T166" s="17"/>
      <c r="U166" s="17"/>
      <c r="V166" s="17"/>
      <c r="W166" s="17"/>
    </row>
    <row r="167" spans="1:23" s="20" customFormat="1">
      <c r="A167" s="9">
        <v>44420</v>
      </c>
      <c r="B167" s="91" t="s">
        <v>23</v>
      </c>
      <c r="C167" s="123" t="s">
        <v>5587</v>
      </c>
      <c r="D167" s="29" t="s">
        <v>9430</v>
      </c>
      <c r="E167" s="754" t="s">
        <v>5596</v>
      </c>
      <c r="F167" s="754" t="s">
        <v>5597</v>
      </c>
      <c r="G167" s="30">
        <v>1</v>
      </c>
      <c r="H167" s="371">
        <v>138000</v>
      </c>
      <c r="I167" s="86">
        <f t="shared" si="8"/>
        <v>138000</v>
      </c>
      <c r="J167" s="20">
        <f t="shared" si="13"/>
        <v>27600</v>
      </c>
      <c r="K167" s="86">
        <f t="shared" si="9"/>
        <v>110400</v>
      </c>
      <c r="L167" s="17"/>
      <c r="M167" s="17"/>
      <c r="N167" s="171">
        <f t="shared" si="10"/>
        <v>110400</v>
      </c>
      <c r="O167" s="91" t="s">
        <v>23</v>
      </c>
      <c r="P167" s="191"/>
      <c r="Q167" s="91" t="s">
        <v>5552</v>
      </c>
      <c r="R167" s="17"/>
      <c r="S167" s="17"/>
      <c r="T167" s="17"/>
      <c r="U167" s="17"/>
      <c r="V167" s="17"/>
      <c r="W167" s="17"/>
    </row>
    <row r="168" spans="1:23" s="20" customFormat="1">
      <c r="A168" s="9">
        <v>44420</v>
      </c>
      <c r="B168" s="91" t="s">
        <v>23</v>
      </c>
      <c r="C168" s="123" t="s">
        <v>5587</v>
      </c>
      <c r="D168" s="29" t="s">
        <v>9430</v>
      </c>
      <c r="E168" s="754" t="s">
        <v>4283</v>
      </c>
      <c r="F168" s="754" t="s">
        <v>3471</v>
      </c>
      <c r="G168" s="776">
        <v>1</v>
      </c>
      <c r="H168" s="371">
        <v>59000</v>
      </c>
      <c r="I168" s="86">
        <f t="shared" si="8"/>
        <v>59000</v>
      </c>
      <c r="J168" s="20">
        <f t="shared" si="13"/>
        <v>11800</v>
      </c>
      <c r="K168" s="86">
        <f t="shared" si="9"/>
        <v>47200</v>
      </c>
      <c r="L168" s="17"/>
      <c r="M168" s="17"/>
      <c r="N168" s="171">
        <f t="shared" si="10"/>
        <v>47200</v>
      </c>
      <c r="O168" s="91" t="s">
        <v>23</v>
      </c>
      <c r="P168" s="191"/>
      <c r="Q168" s="91" t="s">
        <v>5552</v>
      </c>
      <c r="R168" s="17"/>
      <c r="S168" s="17"/>
      <c r="T168" s="17"/>
      <c r="U168" s="17"/>
      <c r="V168" s="17"/>
      <c r="W168" s="17"/>
    </row>
    <row r="169" spans="1:23" s="20" customFormat="1">
      <c r="A169" s="9">
        <v>44420</v>
      </c>
      <c r="B169" s="91" t="s">
        <v>23</v>
      </c>
      <c r="C169" s="123" t="s">
        <v>5587</v>
      </c>
      <c r="D169" s="29" t="s">
        <v>9430</v>
      </c>
      <c r="E169" s="754" t="s">
        <v>2068</v>
      </c>
      <c r="F169" s="754" t="s">
        <v>2069</v>
      </c>
      <c r="G169" s="30">
        <v>1</v>
      </c>
      <c r="H169" s="84">
        <v>218000</v>
      </c>
      <c r="I169" s="86">
        <f t="shared" si="8"/>
        <v>218000</v>
      </c>
      <c r="J169" s="20">
        <f t="shared" si="13"/>
        <v>43600</v>
      </c>
      <c r="K169" s="86">
        <f t="shared" si="9"/>
        <v>174400</v>
      </c>
      <c r="L169" s="17"/>
      <c r="M169" s="17"/>
      <c r="N169" s="171">
        <f t="shared" si="10"/>
        <v>174400</v>
      </c>
      <c r="O169" s="91" t="s">
        <v>23</v>
      </c>
      <c r="P169" s="191"/>
      <c r="Q169" s="91" t="s">
        <v>5552</v>
      </c>
      <c r="R169" s="17"/>
      <c r="S169" s="17"/>
      <c r="T169" s="17"/>
      <c r="U169" s="17"/>
      <c r="V169" s="17"/>
      <c r="W169" s="17"/>
    </row>
    <row r="170" spans="1:23" s="20" customFormat="1">
      <c r="A170" s="9">
        <v>44420</v>
      </c>
      <c r="B170" s="91" t="s">
        <v>23</v>
      </c>
      <c r="C170" s="123" t="s">
        <v>5587</v>
      </c>
      <c r="D170" s="29" t="s">
        <v>9430</v>
      </c>
      <c r="E170" s="754" t="s">
        <v>5598</v>
      </c>
      <c r="F170" s="754" t="s">
        <v>5599</v>
      </c>
      <c r="G170" s="30">
        <v>1</v>
      </c>
      <c r="H170" s="119">
        <v>185000</v>
      </c>
      <c r="I170" s="86">
        <f t="shared" si="8"/>
        <v>185000</v>
      </c>
      <c r="J170" s="20">
        <f t="shared" si="13"/>
        <v>37000</v>
      </c>
      <c r="K170" s="86">
        <f t="shared" si="9"/>
        <v>148000</v>
      </c>
      <c r="L170" s="17"/>
      <c r="M170" s="17"/>
      <c r="N170" s="171">
        <f t="shared" si="10"/>
        <v>148000</v>
      </c>
      <c r="O170" s="91" t="s">
        <v>23</v>
      </c>
      <c r="P170" s="191"/>
      <c r="Q170" s="91" t="s">
        <v>5552</v>
      </c>
      <c r="R170" s="17"/>
      <c r="S170" s="17"/>
      <c r="T170" s="17"/>
      <c r="U170" s="17"/>
      <c r="V170" s="17"/>
      <c r="W170" s="17"/>
    </row>
    <row r="171" spans="1:23" s="20" customFormat="1">
      <c r="A171" s="9">
        <v>44420</v>
      </c>
      <c r="B171" s="91" t="s">
        <v>23</v>
      </c>
      <c r="C171" s="123" t="s">
        <v>5587</v>
      </c>
      <c r="D171" s="29" t="s">
        <v>9430</v>
      </c>
      <c r="E171" s="754" t="s">
        <v>5600</v>
      </c>
      <c r="F171" s="754" t="s">
        <v>5601</v>
      </c>
      <c r="G171" s="30">
        <v>1</v>
      </c>
      <c r="H171" s="119">
        <v>166000</v>
      </c>
      <c r="I171" s="86">
        <f t="shared" si="8"/>
        <v>166000</v>
      </c>
      <c r="J171" s="20">
        <f t="shared" si="13"/>
        <v>33200</v>
      </c>
      <c r="K171" s="86">
        <f t="shared" si="9"/>
        <v>132800</v>
      </c>
      <c r="L171" s="17"/>
      <c r="M171" s="17"/>
      <c r="N171" s="171">
        <f t="shared" si="10"/>
        <v>132800</v>
      </c>
      <c r="O171" s="91" t="s">
        <v>23</v>
      </c>
      <c r="P171" s="191"/>
      <c r="Q171" s="91" t="s">
        <v>5552</v>
      </c>
      <c r="R171" s="17"/>
      <c r="S171" s="17"/>
      <c r="T171" s="17"/>
      <c r="U171" s="17"/>
      <c r="V171" s="17"/>
      <c r="W171" s="17"/>
    </row>
    <row r="172" spans="1:23" s="20" customFormat="1">
      <c r="A172" s="9">
        <v>44420</v>
      </c>
      <c r="B172" s="91" t="s">
        <v>23</v>
      </c>
      <c r="C172" s="123" t="s">
        <v>5587</v>
      </c>
      <c r="D172" s="29" t="s">
        <v>9430</v>
      </c>
      <c r="E172" s="754" t="s">
        <v>5602</v>
      </c>
      <c r="F172" s="754" t="s">
        <v>5603</v>
      </c>
      <c r="G172" s="30">
        <v>1</v>
      </c>
      <c r="H172" s="119">
        <v>124000</v>
      </c>
      <c r="I172" s="86">
        <f t="shared" si="8"/>
        <v>124000</v>
      </c>
      <c r="J172" s="20">
        <f t="shared" si="13"/>
        <v>24800</v>
      </c>
      <c r="K172" s="86">
        <f t="shared" si="9"/>
        <v>99200</v>
      </c>
      <c r="L172" s="17"/>
      <c r="M172" s="17"/>
      <c r="N172" s="171">
        <f t="shared" si="10"/>
        <v>99200</v>
      </c>
      <c r="O172" s="91" t="s">
        <v>23</v>
      </c>
      <c r="P172" s="191"/>
      <c r="Q172" s="91" t="s">
        <v>5552</v>
      </c>
      <c r="R172" s="17"/>
      <c r="S172" s="17"/>
      <c r="T172" s="17"/>
      <c r="U172" s="17"/>
      <c r="V172" s="17"/>
      <c r="W172" s="17"/>
    </row>
    <row r="173" spans="1:23" s="20" customFormat="1">
      <c r="A173" s="9">
        <v>44420</v>
      </c>
      <c r="B173" s="91" t="s">
        <v>23</v>
      </c>
      <c r="C173" s="123" t="s">
        <v>5587</v>
      </c>
      <c r="D173" s="29" t="s">
        <v>9430</v>
      </c>
      <c r="E173" s="754" t="s">
        <v>1387</v>
      </c>
      <c r="F173" s="754" t="s">
        <v>1388</v>
      </c>
      <c r="G173" s="30">
        <v>1</v>
      </c>
      <c r="H173" s="119">
        <v>79000</v>
      </c>
      <c r="I173" s="86">
        <f t="shared" si="8"/>
        <v>79000</v>
      </c>
      <c r="J173" s="20">
        <f t="shared" si="13"/>
        <v>15800</v>
      </c>
      <c r="K173" s="86">
        <f t="shared" si="9"/>
        <v>63200</v>
      </c>
      <c r="L173" s="17"/>
      <c r="M173" s="17"/>
      <c r="N173" s="171">
        <f t="shared" si="10"/>
        <v>63200</v>
      </c>
      <c r="O173" s="91" t="s">
        <v>23</v>
      </c>
      <c r="P173" s="92"/>
      <c r="Q173" s="91" t="s">
        <v>5552</v>
      </c>
      <c r="R173" s="17"/>
      <c r="S173" s="17"/>
      <c r="T173" s="17"/>
      <c r="U173" s="17"/>
      <c r="V173" s="17"/>
      <c r="W173" s="17"/>
    </row>
    <row r="174" spans="1:23" s="20" customFormat="1">
      <c r="A174" s="9">
        <v>44420</v>
      </c>
      <c r="B174" s="91" t="s">
        <v>23</v>
      </c>
      <c r="C174" s="123" t="s">
        <v>5587</v>
      </c>
      <c r="D174" s="29" t="s">
        <v>9430</v>
      </c>
      <c r="E174" s="754" t="s">
        <v>5604</v>
      </c>
      <c r="F174" s="754" t="s">
        <v>5605</v>
      </c>
      <c r="G174" s="30">
        <v>1</v>
      </c>
      <c r="H174" s="119">
        <v>72000</v>
      </c>
      <c r="I174" s="86">
        <f t="shared" si="8"/>
        <v>72000</v>
      </c>
      <c r="J174" s="20">
        <f t="shared" si="13"/>
        <v>14400</v>
      </c>
      <c r="K174" s="86">
        <f t="shared" si="9"/>
        <v>57600</v>
      </c>
      <c r="L174" s="17"/>
      <c r="M174" s="17"/>
      <c r="N174" s="171">
        <f t="shared" si="10"/>
        <v>57600</v>
      </c>
      <c r="O174" s="91" t="s">
        <v>23</v>
      </c>
      <c r="P174" s="92"/>
      <c r="Q174" s="91" t="s">
        <v>5552</v>
      </c>
      <c r="R174" s="17"/>
      <c r="S174" s="17"/>
      <c r="T174" s="17"/>
      <c r="U174" s="17"/>
      <c r="V174" s="17"/>
      <c r="W174" s="17"/>
    </row>
    <row r="175" spans="1:23" s="20" customFormat="1">
      <c r="A175" s="9">
        <v>44420</v>
      </c>
      <c r="B175" s="91" t="s">
        <v>23</v>
      </c>
      <c r="C175" s="123" t="s">
        <v>5587</v>
      </c>
      <c r="D175" s="29" t="s">
        <v>9430</v>
      </c>
      <c r="E175" s="754" t="s">
        <v>2064</v>
      </c>
      <c r="F175" s="754" t="s">
        <v>2065</v>
      </c>
      <c r="G175" s="30">
        <v>1</v>
      </c>
      <c r="H175" s="119">
        <v>142000</v>
      </c>
      <c r="I175" s="86">
        <f t="shared" si="8"/>
        <v>142000</v>
      </c>
      <c r="J175" s="20">
        <f t="shared" si="13"/>
        <v>28400</v>
      </c>
      <c r="K175" s="86">
        <f t="shared" si="9"/>
        <v>113600</v>
      </c>
      <c r="L175" s="17"/>
      <c r="M175" s="17"/>
      <c r="N175" s="171">
        <f t="shared" si="10"/>
        <v>113600</v>
      </c>
      <c r="O175" s="91" t="s">
        <v>23</v>
      </c>
      <c r="P175" s="191"/>
      <c r="Q175" s="91" t="s">
        <v>5552</v>
      </c>
      <c r="R175" s="17"/>
      <c r="S175" s="17"/>
      <c r="T175" s="17"/>
      <c r="U175" s="17"/>
      <c r="V175" s="17"/>
      <c r="W175" s="17"/>
    </row>
    <row r="176" spans="1:23" s="20" customFormat="1">
      <c r="A176" s="9">
        <v>44420</v>
      </c>
      <c r="B176" s="91" t="s">
        <v>23</v>
      </c>
      <c r="C176" s="123" t="s">
        <v>5587</v>
      </c>
      <c r="D176" s="29" t="s">
        <v>9430</v>
      </c>
      <c r="E176" s="754" t="s">
        <v>5606</v>
      </c>
      <c r="F176" s="754" t="s">
        <v>5607</v>
      </c>
      <c r="G176" s="30">
        <v>1</v>
      </c>
      <c r="H176" s="119">
        <v>200000</v>
      </c>
      <c r="I176" s="86">
        <f t="shared" si="8"/>
        <v>200000</v>
      </c>
      <c r="J176" s="20">
        <f t="shared" si="13"/>
        <v>40000</v>
      </c>
      <c r="K176" s="86">
        <f t="shared" si="9"/>
        <v>160000</v>
      </c>
      <c r="L176" s="17"/>
      <c r="M176" s="17"/>
      <c r="N176" s="171">
        <f t="shared" si="10"/>
        <v>160000</v>
      </c>
      <c r="O176" s="91" t="s">
        <v>23</v>
      </c>
      <c r="P176" s="191"/>
      <c r="Q176" s="91" t="s">
        <v>5552</v>
      </c>
      <c r="R176" s="17"/>
      <c r="S176" s="17"/>
      <c r="T176" s="17"/>
      <c r="U176" s="17"/>
      <c r="V176" s="17"/>
      <c r="W176" s="17"/>
    </row>
    <row r="177" spans="1:23" s="20" customFormat="1">
      <c r="A177" s="9">
        <v>44420</v>
      </c>
      <c r="B177" s="91" t="s">
        <v>23</v>
      </c>
      <c r="C177" s="123" t="s">
        <v>5587</v>
      </c>
      <c r="D177" s="29" t="s">
        <v>9430</v>
      </c>
      <c r="E177" s="782" t="s">
        <v>1175</v>
      </c>
      <c r="F177" s="782" t="s">
        <v>1176</v>
      </c>
      <c r="G177" s="30">
        <v>1</v>
      </c>
      <c r="H177" s="119">
        <v>100500</v>
      </c>
      <c r="I177" s="86">
        <f t="shared" si="8"/>
        <v>100500</v>
      </c>
      <c r="J177" s="20">
        <f t="shared" si="13"/>
        <v>20100</v>
      </c>
      <c r="K177" s="86">
        <f t="shared" si="9"/>
        <v>80400</v>
      </c>
      <c r="L177" s="17"/>
      <c r="M177" s="17"/>
      <c r="N177" s="171">
        <f t="shared" si="10"/>
        <v>80400</v>
      </c>
      <c r="O177" s="91" t="s">
        <v>23</v>
      </c>
      <c r="P177" s="72"/>
      <c r="Q177" s="91" t="s">
        <v>5552</v>
      </c>
      <c r="R177" s="17"/>
      <c r="S177" s="17"/>
      <c r="T177" s="17"/>
      <c r="U177" s="17"/>
      <c r="V177" s="17"/>
      <c r="W177" s="17"/>
    </row>
    <row r="178" spans="1:23" s="20" customFormat="1">
      <c r="A178" s="9">
        <v>44420</v>
      </c>
      <c r="B178" s="91" t="s">
        <v>23</v>
      </c>
      <c r="C178" s="123" t="s">
        <v>5587</v>
      </c>
      <c r="D178" s="29" t="s">
        <v>9430</v>
      </c>
      <c r="E178" s="782" t="s">
        <v>5608</v>
      </c>
      <c r="F178" s="782" t="s">
        <v>5609</v>
      </c>
      <c r="G178" s="30">
        <v>1</v>
      </c>
      <c r="H178" s="119">
        <v>124000</v>
      </c>
      <c r="I178" s="86">
        <f t="shared" si="8"/>
        <v>124000</v>
      </c>
      <c r="J178" s="20">
        <f t="shared" si="13"/>
        <v>24800</v>
      </c>
      <c r="K178" s="86">
        <f t="shared" si="9"/>
        <v>99200</v>
      </c>
      <c r="L178" s="17"/>
      <c r="M178" s="17"/>
      <c r="N178" s="171">
        <f t="shared" si="10"/>
        <v>99200</v>
      </c>
      <c r="O178" s="91" t="s">
        <v>23</v>
      </c>
      <c r="P178" s="72"/>
      <c r="Q178" s="91" t="s">
        <v>5552</v>
      </c>
      <c r="R178" s="17"/>
      <c r="S178" s="13"/>
      <c r="T178" s="17"/>
      <c r="U178" s="17"/>
      <c r="V178" s="17"/>
      <c r="W178" s="17"/>
    </row>
    <row r="179" spans="1:23" s="20" customFormat="1">
      <c r="A179" s="9">
        <v>44420</v>
      </c>
      <c r="B179" s="91" t="s">
        <v>23</v>
      </c>
      <c r="C179" s="123" t="s">
        <v>5587</v>
      </c>
      <c r="D179" s="29" t="s">
        <v>9430</v>
      </c>
      <c r="E179" s="786" t="s">
        <v>1202</v>
      </c>
      <c r="F179" s="786" t="s">
        <v>1203</v>
      </c>
      <c r="G179" s="174">
        <v>1</v>
      </c>
      <c r="H179" s="119">
        <v>218000</v>
      </c>
      <c r="I179" s="86">
        <f t="shared" si="8"/>
        <v>218000</v>
      </c>
      <c r="J179" s="20">
        <f>I179*20%</f>
        <v>43600</v>
      </c>
      <c r="K179" s="86">
        <f t="shared" si="9"/>
        <v>174400</v>
      </c>
      <c r="L179" s="17"/>
      <c r="M179" s="17"/>
      <c r="N179" s="171">
        <f t="shared" si="10"/>
        <v>174400</v>
      </c>
      <c r="O179" s="91" t="s">
        <v>23</v>
      </c>
      <c r="P179" s="183"/>
      <c r="Q179" s="91" t="s">
        <v>5552</v>
      </c>
      <c r="R179" s="17"/>
      <c r="S179" s="17"/>
      <c r="T179" s="17"/>
      <c r="U179" s="17"/>
      <c r="V179" s="17"/>
      <c r="W179" s="17"/>
    </row>
    <row r="180" spans="1:23" s="20" customFormat="1">
      <c r="A180" s="9">
        <v>44420</v>
      </c>
      <c r="B180" s="91" t="s">
        <v>23</v>
      </c>
      <c r="C180" s="123" t="s">
        <v>5610</v>
      </c>
      <c r="D180" s="29" t="s">
        <v>5611</v>
      </c>
      <c r="E180" s="76" t="s">
        <v>1826</v>
      </c>
      <c r="F180" s="76" t="s">
        <v>1827</v>
      </c>
      <c r="G180" s="30">
        <v>1</v>
      </c>
      <c r="H180" s="119">
        <v>71000</v>
      </c>
      <c r="I180" s="86">
        <f t="shared" si="8"/>
        <v>71000</v>
      </c>
      <c r="K180" s="86">
        <f t="shared" si="9"/>
        <v>71000</v>
      </c>
      <c r="L180" s="17">
        <v>70000</v>
      </c>
      <c r="M180" s="17"/>
      <c r="N180" s="171">
        <f t="shared" si="10"/>
        <v>141000</v>
      </c>
      <c r="O180" s="91" t="s">
        <v>23</v>
      </c>
      <c r="P180" s="183"/>
      <c r="Q180" s="91" t="s">
        <v>54</v>
      </c>
      <c r="R180" s="17"/>
      <c r="S180" s="17"/>
      <c r="T180" s="17"/>
      <c r="U180" s="17"/>
      <c r="V180" s="17"/>
      <c r="W180" s="17"/>
    </row>
    <row r="181" spans="1:23" s="20" customFormat="1">
      <c r="A181" s="9">
        <v>44420</v>
      </c>
      <c r="B181" s="91" t="s">
        <v>23</v>
      </c>
      <c r="C181" s="91" t="s">
        <v>3570</v>
      </c>
      <c r="D181" s="29" t="s">
        <v>5612</v>
      </c>
      <c r="E181" s="787" t="s">
        <v>5477</v>
      </c>
      <c r="F181" s="787" t="s">
        <v>5478</v>
      </c>
      <c r="G181" s="30">
        <v>1</v>
      </c>
      <c r="H181" s="203">
        <v>150000</v>
      </c>
      <c r="I181" s="86">
        <f t="shared" si="8"/>
        <v>150000</v>
      </c>
      <c r="J181" s="20">
        <f>I181*25%</f>
        <v>37500</v>
      </c>
      <c r="K181" s="86">
        <f t="shared" si="9"/>
        <v>112500</v>
      </c>
      <c r="L181" s="17">
        <v>34000</v>
      </c>
      <c r="M181" s="17"/>
      <c r="N181" s="171">
        <f t="shared" si="10"/>
        <v>146500</v>
      </c>
      <c r="O181" s="91" t="s">
        <v>23</v>
      </c>
      <c r="P181" s="183"/>
      <c r="Q181" s="91" t="s">
        <v>40</v>
      </c>
      <c r="R181" s="17"/>
      <c r="S181" s="17"/>
      <c r="T181" s="17"/>
      <c r="U181" s="17"/>
      <c r="V181" s="17"/>
      <c r="W181" s="17"/>
    </row>
    <row r="182" spans="1:23" s="20" customFormat="1">
      <c r="A182" s="9">
        <v>44420</v>
      </c>
      <c r="B182" s="91" t="s">
        <v>23</v>
      </c>
      <c r="C182" s="91" t="s">
        <v>3570</v>
      </c>
      <c r="D182" s="29" t="s">
        <v>5612</v>
      </c>
      <c r="E182" s="788" t="s">
        <v>5613</v>
      </c>
      <c r="F182" s="788" t="s">
        <v>5614</v>
      </c>
      <c r="G182" s="30">
        <v>1</v>
      </c>
      <c r="H182" s="203">
        <v>184000</v>
      </c>
      <c r="I182" s="86">
        <f t="shared" si="8"/>
        <v>184000</v>
      </c>
      <c r="J182" s="20">
        <f t="shared" ref="J182:J185" si="14">I182*25%</f>
        <v>46000</v>
      </c>
      <c r="K182" s="86">
        <f t="shared" si="9"/>
        <v>138000</v>
      </c>
      <c r="L182" s="17"/>
      <c r="M182" s="17"/>
      <c r="N182" s="171">
        <f t="shared" si="10"/>
        <v>138000</v>
      </c>
      <c r="O182" s="91" t="s">
        <v>23</v>
      </c>
      <c r="P182" s="183"/>
      <c r="Q182" s="91" t="s">
        <v>40</v>
      </c>
      <c r="R182" s="17"/>
      <c r="S182" s="17"/>
      <c r="T182" s="17"/>
      <c r="U182" s="17"/>
      <c r="V182" s="17"/>
      <c r="W182" s="17"/>
    </row>
    <row r="183" spans="1:23" s="20" customFormat="1">
      <c r="A183" s="9">
        <v>44420</v>
      </c>
      <c r="B183" s="91" t="s">
        <v>23</v>
      </c>
      <c r="C183" s="91" t="s">
        <v>3570</v>
      </c>
      <c r="D183" s="29" t="s">
        <v>5612</v>
      </c>
      <c r="E183" s="787" t="s">
        <v>5615</v>
      </c>
      <c r="F183" s="787" t="s">
        <v>5616</v>
      </c>
      <c r="G183" s="30">
        <v>1</v>
      </c>
      <c r="H183" s="203">
        <v>75000</v>
      </c>
      <c r="I183" s="86">
        <f t="shared" si="8"/>
        <v>75000</v>
      </c>
      <c r="J183" s="20">
        <f t="shared" si="14"/>
        <v>18750</v>
      </c>
      <c r="K183" s="86">
        <f t="shared" si="9"/>
        <v>56250</v>
      </c>
      <c r="L183" s="17"/>
      <c r="M183" s="17"/>
      <c r="N183" s="171">
        <f t="shared" si="10"/>
        <v>56250</v>
      </c>
      <c r="O183" s="91" t="s">
        <v>23</v>
      </c>
      <c r="P183" s="183"/>
      <c r="Q183" s="91" t="s">
        <v>40</v>
      </c>
      <c r="R183" s="17"/>
      <c r="S183" s="17"/>
      <c r="T183" s="17"/>
      <c r="U183" s="17"/>
      <c r="V183" s="17"/>
      <c r="W183" s="17"/>
    </row>
    <row r="184" spans="1:23" s="20" customFormat="1">
      <c r="A184" s="9">
        <v>44420</v>
      </c>
      <c r="B184" s="91" t="s">
        <v>23</v>
      </c>
      <c r="C184" s="91" t="s">
        <v>3570</v>
      </c>
      <c r="D184" s="29" t="s">
        <v>5612</v>
      </c>
      <c r="E184" s="788" t="s">
        <v>3881</v>
      </c>
      <c r="F184" s="788" t="s">
        <v>3882</v>
      </c>
      <c r="G184" s="30">
        <v>1</v>
      </c>
      <c r="H184" s="203">
        <v>59000</v>
      </c>
      <c r="I184" s="86">
        <f t="shared" si="8"/>
        <v>59000</v>
      </c>
      <c r="J184" s="20">
        <f t="shared" si="14"/>
        <v>14750</v>
      </c>
      <c r="K184" s="86">
        <f t="shared" si="9"/>
        <v>44250</v>
      </c>
      <c r="L184" s="17"/>
      <c r="M184" s="17"/>
      <c r="N184" s="171">
        <f t="shared" si="10"/>
        <v>44250</v>
      </c>
      <c r="O184" s="91" t="s">
        <v>23</v>
      </c>
      <c r="P184" s="72"/>
      <c r="Q184" s="91" t="s">
        <v>40</v>
      </c>
      <c r="R184" s="17"/>
      <c r="S184" s="17"/>
      <c r="T184" s="17"/>
      <c r="U184" s="17"/>
      <c r="V184" s="17"/>
      <c r="W184" s="17"/>
    </row>
    <row r="185" spans="1:23" s="20" customFormat="1">
      <c r="A185" s="9">
        <v>44420</v>
      </c>
      <c r="B185" s="91" t="s">
        <v>23</v>
      </c>
      <c r="C185" s="91" t="s">
        <v>3570</v>
      </c>
      <c r="D185" s="29" t="s">
        <v>5612</v>
      </c>
      <c r="E185" s="788" t="s">
        <v>5617</v>
      </c>
      <c r="F185" s="788" t="s">
        <v>5618</v>
      </c>
      <c r="G185" s="30">
        <v>1</v>
      </c>
      <c r="H185" s="203">
        <v>90000</v>
      </c>
      <c r="I185" s="86">
        <f t="shared" si="8"/>
        <v>90000</v>
      </c>
      <c r="J185" s="20">
        <f t="shared" si="14"/>
        <v>22500</v>
      </c>
      <c r="K185" s="86">
        <f t="shared" si="9"/>
        <v>67500</v>
      </c>
      <c r="L185" s="17"/>
      <c r="M185" s="17"/>
      <c r="N185" s="171">
        <f t="shared" si="10"/>
        <v>67500</v>
      </c>
      <c r="O185" s="91" t="s">
        <v>23</v>
      </c>
      <c r="P185" s="72"/>
      <c r="Q185" s="91" t="s">
        <v>40</v>
      </c>
      <c r="R185" s="17"/>
      <c r="S185" s="17"/>
      <c r="T185" s="17"/>
      <c r="U185" s="17"/>
      <c r="V185" s="17"/>
      <c r="W185" s="17"/>
    </row>
    <row r="186" spans="1:23" s="20" customFormat="1">
      <c r="A186" s="9">
        <v>44420</v>
      </c>
      <c r="B186" s="91" t="s">
        <v>23</v>
      </c>
      <c r="C186" s="91" t="s">
        <v>431</v>
      </c>
      <c r="D186" s="29" t="s">
        <v>31</v>
      </c>
      <c r="E186" s="781" t="s">
        <v>1060</v>
      </c>
      <c r="F186" s="781" t="s">
        <v>1061</v>
      </c>
      <c r="G186" s="30">
        <v>1</v>
      </c>
      <c r="H186" s="371">
        <v>121000</v>
      </c>
      <c r="I186" s="86">
        <f t="shared" si="8"/>
        <v>121000</v>
      </c>
      <c r="J186" s="20">
        <f>I186*25%+40000</f>
        <v>70250</v>
      </c>
      <c r="K186" s="86">
        <f t="shared" si="9"/>
        <v>50750</v>
      </c>
      <c r="L186" s="17"/>
      <c r="M186" s="17"/>
      <c r="N186" s="171">
        <f t="shared" si="10"/>
        <v>50750</v>
      </c>
      <c r="O186" s="91" t="s">
        <v>23</v>
      </c>
      <c r="P186" s="72"/>
      <c r="Q186" s="91" t="s">
        <v>35</v>
      </c>
      <c r="R186" s="17"/>
      <c r="S186" s="17"/>
      <c r="T186" s="17"/>
      <c r="U186" s="17"/>
      <c r="V186" s="17"/>
      <c r="W186" s="17"/>
    </row>
    <row r="187" spans="1:23" s="20" customFormat="1">
      <c r="A187" s="9">
        <v>44420</v>
      </c>
      <c r="B187" s="91" t="s">
        <v>23</v>
      </c>
      <c r="C187" s="91" t="s">
        <v>431</v>
      </c>
      <c r="D187" s="29" t="s">
        <v>31</v>
      </c>
      <c r="E187" s="781" t="s">
        <v>5619</v>
      </c>
      <c r="F187" s="781" t="s">
        <v>5620</v>
      </c>
      <c r="G187" s="30">
        <v>1</v>
      </c>
      <c r="H187" s="371">
        <v>74000</v>
      </c>
      <c r="I187" s="86">
        <f t="shared" si="8"/>
        <v>74000</v>
      </c>
      <c r="J187" s="20">
        <f>I187*25%</f>
        <v>18500</v>
      </c>
      <c r="K187" s="86">
        <f t="shared" si="9"/>
        <v>55500</v>
      </c>
      <c r="L187" s="17"/>
      <c r="M187" s="17"/>
      <c r="N187" s="171">
        <f t="shared" si="10"/>
        <v>55500</v>
      </c>
      <c r="O187" s="91" t="s">
        <v>23</v>
      </c>
      <c r="P187" s="183"/>
      <c r="Q187" s="91" t="s">
        <v>35</v>
      </c>
      <c r="R187" s="17"/>
      <c r="S187" s="17"/>
      <c r="T187" s="17"/>
      <c r="U187" s="17"/>
      <c r="V187" s="17"/>
      <c r="W187" s="17"/>
    </row>
    <row r="188" spans="1:23" s="20" customFormat="1" ht="15.6">
      <c r="A188" s="9">
        <v>44420</v>
      </c>
      <c r="B188" s="91" t="s">
        <v>23</v>
      </c>
      <c r="C188" s="123" t="s">
        <v>5621</v>
      </c>
      <c r="D188" s="29" t="s">
        <v>5622</v>
      </c>
      <c r="E188" s="789" t="s">
        <v>5623</v>
      </c>
      <c r="F188" s="789" t="s">
        <v>5624</v>
      </c>
      <c r="G188" s="174">
        <v>2</v>
      </c>
      <c r="H188" s="790">
        <v>30000</v>
      </c>
      <c r="I188" s="86">
        <f t="shared" si="8"/>
        <v>60000</v>
      </c>
      <c r="J188" s="20">
        <f>I188*20%</f>
        <v>12000</v>
      </c>
      <c r="K188" s="86">
        <f t="shared" si="9"/>
        <v>48000</v>
      </c>
      <c r="L188" s="17">
        <v>160000</v>
      </c>
      <c r="M188" s="17"/>
      <c r="N188" s="171">
        <f t="shared" si="10"/>
        <v>208000</v>
      </c>
      <c r="O188" s="91" t="s">
        <v>23</v>
      </c>
      <c r="P188" s="72"/>
      <c r="Q188" s="91" t="s">
        <v>40</v>
      </c>
      <c r="R188" s="17"/>
      <c r="S188" s="17"/>
      <c r="T188" s="17"/>
      <c r="U188" s="17"/>
      <c r="V188" s="17"/>
      <c r="W188" s="17"/>
    </row>
    <row r="189" spans="1:23" s="20" customFormat="1" ht="15.6">
      <c r="A189" s="9">
        <v>44420</v>
      </c>
      <c r="B189" s="91" t="s">
        <v>23</v>
      </c>
      <c r="C189" s="123" t="s">
        <v>5621</v>
      </c>
      <c r="D189" s="29" t="s">
        <v>5622</v>
      </c>
      <c r="E189" s="791" t="s">
        <v>4967</v>
      </c>
      <c r="F189" s="791" t="s">
        <v>4968</v>
      </c>
      <c r="G189" s="174">
        <v>1</v>
      </c>
      <c r="H189" s="790">
        <v>46000</v>
      </c>
      <c r="I189" s="86">
        <f t="shared" si="8"/>
        <v>46000</v>
      </c>
      <c r="J189" s="20">
        <f t="shared" ref="J189:J210" si="15">I189*20%</f>
        <v>9200</v>
      </c>
      <c r="K189" s="86">
        <f t="shared" si="9"/>
        <v>36800</v>
      </c>
      <c r="L189" s="17"/>
      <c r="M189" s="17"/>
      <c r="N189" s="171">
        <f t="shared" si="10"/>
        <v>36800</v>
      </c>
      <c r="O189" s="91" t="s">
        <v>23</v>
      </c>
      <c r="P189" s="72"/>
      <c r="Q189" s="91" t="s">
        <v>40</v>
      </c>
      <c r="R189" s="17"/>
      <c r="S189" s="17"/>
      <c r="T189" s="17"/>
      <c r="U189" s="17"/>
      <c r="V189" s="17"/>
      <c r="W189" s="17"/>
    </row>
    <row r="190" spans="1:23" s="20" customFormat="1" ht="15.6">
      <c r="A190" s="9">
        <v>44420</v>
      </c>
      <c r="B190" s="91" t="s">
        <v>23</v>
      </c>
      <c r="C190" s="123" t="s">
        <v>5621</v>
      </c>
      <c r="D190" s="29" t="s">
        <v>5622</v>
      </c>
      <c r="E190" s="791" t="s">
        <v>5625</v>
      </c>
      <c r="F190" s="791" t="s">
        <v>5626</v>
      </c>
      <c r="G190" s="174">
        <v>1</v>
      </c>
      <c r="H190" s="790">
        <v>38500</v>
      </c>
      <c r="I190" s="86">
        <f t="shared" si="8"/>
        <v>38500</v>
      </c>
      <c r="J190" s="20">
        <f t="shared" si="15"/>
        <v>7700</v>
      </c>
      <c r="K190" s="86">
        <f t="shared" si="9"/>
        <v>30800</v>
      </c>
      <c r="L190" s="17"/>
      <c r="M190" s="17"/>
      <c r="N190" s="171">
        <f t="shared" si="10"/>
        <v>30800</v>
      </c>
      <c r="O190" s="91" t="s">
        <v>23</v>
      </c>
      <c r="P190" s="72"/>
      <c r="Q190" s="91" t="s">
        <v>40</v>
      </c>
      <c r="R190" s="17"/>
      <c r="S190" s="17"/>
      <c r="T190" s="17"/>
      <c r="U190" s="17"/>
      <c r="V190" s="17"/>
      <c r="W190" s="17"/>
    </row>
    <row r="191" spans="1:23" s="20" customFormat="1" ht="15.6">
      <c r="A191" s="9">
        <v>44420</v>
      </c>
      <c r="B191" s="91" t="s">
        <v>23</v>
      </c>
      <c r="C191" s="123" t="s">
        <v>5621</v>
      </c>
      <c r="D191" s="29" t="s">
        <v>5622</v>
      </c>
      <c r="E191" s="791" t="s">
        <v>3525</v>
      </c>
      <c r="F191" s="791" t="s">
        <v>3526</v>
      </c>
      <c r="G191" s="174">
        <v>1</v>
      </c>
      <c r="H191" s="790">
        <v>69500</v>
      </c>
      <c r="I191" s="86">
        <f t="shared" si="8"/>
        <v>69500</v>
      </c>
      <c r="J191" s="20">
        <f t="shared" si="15"/>
        <v>13900</v>
      </c>
      <c r="K191" s="86">
        <f t="shared" si="9"/>
        <v>55600</v>
      </c>
      <c r="L191" s="17"/>
      <c r="M191" s="17"/>
      <c r="N191" s="171">
        <f t="shared" si="10"/>
        <v>55600</v>
      </c>
      <c r="O191" s="91" t="s">
        <v>23</v>
      </c>
      <c r="P191" s="72"/>
      <c r="Q191" s="91" t="s">
        <v>40</v>
      </c>
      <c r="R191" s="17"/>
      <c r="S191" s="17"/>
      <c r="T191" s="17"/>
      <c r="U191" s="17"/>
      <c r="V191" s="17"/>
      <c r="W191" s="17"/>
    </row>
    <row r="192" spans="1:23" s="20" customFormat="1" ht="15.6">
      <c r="A192" s="9">
        <v>44420</v>
      </c>
      <c r="B192" s="91" t="s">
        <v>23</v>
      </c>
      <c r="C192" s="123" t="s">
        <v>5621</v>
      </c>
      <c r="D192" s="29" t="s">
        <v>5622</v>
      </c>
      <c r="E192" s="791" t="s">
        <v>4980</v>
      </c>
      <c r="F192" s="791" t="s">
        <v>4981</v>
      </c>
      <c r="G192" s="174">
        <v>1</v>
      </c>
      <c r="H192" s="790">
        <v>79000</v>
      </c>
      <c r="I192" s="86">
        <f t="shared" si="8"/>
        <v>79000</v>
      </c>
      <c r="J192" s="20">
        <f t="shared" si="15"/>
        <v>15800</v>
      </c>
      <c r="K192" s="86">
        <f t="shared" si="9"/>
        <v>63200</v>
      </c>
      <c r="L192" s="17"/>
      <c r="M192" s="17"/>
      <c r="N192" s="171">
        <f t="shared" si="10"/>
        <v>63200</v>
      </c>
      <c r="O192" s="91" t="s">
        <v>23</v>
      </c>
      <c r="P192" s="72"/>
      <c r="Q192" s="91" t="s">
        <v>40</v>
      </c>
      <c r="R192" s="17"/>
      <c r="S192" s="17"/>
      <c r="T192" s="17"/>
      <c r="U192" s="17"/>
      <c r="V192" s="17"/>
      <c r="W192" s="17"/>
    </row>
    <row r="193" spans="1:23" s="20" customFormat="1" ht="15.6">
      <c r="A193" s="9">
        <v>44420</v>
      </c>
      <c r="B193" s="91" t="s">
        <v>23</v>
      </c>
      <c r="C193" s="123" t="s">
        <v>5621</v>
      </c>
      <c r="D193" s="29" t="s">
        <v>5622</v>
      </c>
      <c r="E193" s="791" t="s">
        <v>2402</v>
      </c>
      <c r="F193" s="791" t="s">
        <v>2403</v>
      </c>
      <c r="G193" s="174">
        <v>1</v>
      </c>
      <c r="H193" s="790">
        <v>55000</v>
      </c>
      <c r="I193" s="86">
        <f t="shared" si="8"/>
        <v>55000</v>
      </c>
      <c r="J193" s="20">
        <f t="shared" si="15"/>
        <v>11000</v>
      </c>
      <c r="K193" s="86">
        <f t="shared" si="9"/>
        <v>44000</v>
      </c>
      <c r="L193" s="17"/>
      <c r="M193" s="17"/>
      <c r="N193" s="171">
        <f t="shared" si="10"/>
        <v>44000</v>
      </c>
      <c r="O193" s="91" t="s">
        <v>23</v>
      </c>
      <c r="P193" s="72"/>
      <c r="Q193" s="91" t="s">
        <v>40</v>
      </c>
      <c r="R193" s="17"/>
      <c r="S193" s="17"/>
      <c r="T193" s="17"/>
      <c r="U193" s="17"/>
      <c r="V193" s="17"/>
      <c r="W193" s="17"/>
    </row>
    <row r="194" spans="1:23" s="20" customFormat="1" ht="15.6">
      <c r="A194" s="9">
        <v>44420</v>
      </c>
      <c r="B194" s="91" t="s">
        <v>23</v>
      </c>
      <c r="C194" s="123" t="s">
        <v>5621</v>
      </c>
      <c r="D194" s="29" t="s">
        <v>5622</v>
      </c>
      <c r="E194" s="791" t="s">
        <v>5627</v>
      </c>
      <c r="F194" s="791" t="s">
        <v>5628</v>
      </c>
      <c r="G194" s="174">
        <v>2</v>
      </c>
      <c r="H194" s="790">
        <v>37000</v>
      </c>
      <c r="I194" s="86">
        <f t="shared" si="8"/>
        <v>74000</v>
      </c>
      <c r="J194" s="20">
        <f t="shared" si="15"/>
        <v>14800</v>
      </c>
      <c r="K194" s="86">
        <f t="shared" si="9"/>
        <v>59200</v>
      </c>
      <c r="L194" s="17"/>
      <c r="M194" s="17"/>
      <c r="N194" s="171">
        <f t="shared" si="10"/>
        <v>59200</v>
      </c>
      <c r="O194" s="91" t="s">
        <v>23</v>
      </c>
      <c r="P194" s="72"/>
      <c r="Q194" s="91" t="s">
        <v>40</v>
      </c>
      <c r="R194" s="17"/>
      <c r="S194" s="17"/>
      <c r="T194" s="17"/>
      <c r="U194" s="17"/>
      <c r="V194" s="17"/>
      <c r="W194" s="17"/>
    </row>
    <row r="195" spans="1:23" s="20" customFormat="1" ht="15.6">
      <c r="A195" s="9">
        <v>44420</v>
      </c>
      <c r="B195" s="91" t="s">
        <v>23</v>
      </c>
      <c r="C195" s="123" t="s">
        <v>5621</v>
      </c>
      <c r="D195" s="29" t="s">
        <v>5622</v>
      </c>
      <c r="E195" s="789" t="s">
        <v>5629</v>
      </c>
      <c r="F195" s="789" t="s">
        <v>5630</v>
      </c>
      <c r="G195" s="174">
        <v>1</v>
      </c>
      <c r="H195" s="790">
        <v>44500</v>
      </c>
      <c r="I195" s="86">
        <f t="shared" ref="I195:I258" si="16">H195*G195</f>
        <v>44500</v>
      </c>
      <c r="J195" s="20">
        <f t="shared" si="15"/>
        <v>8900</v>
      </c>
      <c r="K195" s="86">
        <f t="shared" ref="K195:K258" si="17">I195-J195</f>
        <v>35600</v>
      </c>
      <c r="L195" s="17"/>
      <c r="M195" s="17"/>
      <c r="N195" s="171">
        <f t="shared" ref="N195:N258" si="18">K195+L195+M195</f>
        <v>35600</v>
      </c>
      <c r="O195" s="91" t="s">
        <v>23</v>
      </c>
      <c r="P195" s="72"/>
      <c r="Q195" s="91" t="s">
        <v>40</v>
      </c>
      <c r="R195" s="17"/>
      <c r="S195" s="17"/>
      <c r="T195" s="17"/>
      <c r="U195" s="17"/>
      <c r="V195" s="17"/>
      <c r="W195" s="17"/>
    </row>
    <row r="196" spans="1:23" s="20" customFormat="1" ht="15.6">
      <c r="A196" s="9">
        <v>44420</v>
      </c>
      <c r="B196" s="91" t="s">
        <v>23</v>
      </c>
      <c r="C196" s="123" t="s">
        <v>5621</v>
      </c>
      <c r="D196" s="29" t="s">
        <v>5622</v>
      </c>
      <c r="E196" s="791" t="s">
        <v>4995</v>
      </c>
      <c r="F196" s="791" t="s">
        <v>4996</v>
      </c>
      <c r="G196" s="174">
        <v>1</v>
      </c>
      <c r="H196" s="790">
        <v>77000</v>
      </c>
      <c r="I196" s="86">
        <f t="shared" si="16"/>
        <v>77000</v>
      </c>
      <c r="J196" s="20">
        <f t="shared" si="15"/>
        <v>15400</v>
      </c>
      <c r="K196" s="86">
        <f t="shared" si="17"/>
        <v>61600</v>
      </c>
      <c r="L196" s="17"/>
      <c r="M196" s="17"/>
      <c r="N196" s="171">
        <f t="shared" si="18"/>
        <v>61600</v>
      </c>
      <c r="O196" s="91" t="s">
        <v>23</v>
      </c>
      <c r="P196" s="72"/>
      <c r="Q196" s="91" t="s">
        <v>40</v>
      </c>
      <c r="R196" s="17"/>
      <c r="S196" s="17"/>
      <c r="T196" s="17"/>
      <c r="U196" s="17"/>
      <c r="V196" s="17"/>
      <c r="W196" s="17"/>
    </row>
    <row r="197" spans="1:23" s="20" customFormat="1" ht="15.6">
      <c r="A197" s="9">
        <v>44420</v>
      </c>
      <c r="B197" s="91" t="s">
        <v>23</v>
      </c>
      <c r="C197" s="123" t="s">
        <v>5621</v>
      </c>
      <c r="D197" s="29" t="s">
        <v>5622</v>
      </c>
      <c r="E197" s="791" t="s">
        <v>5631</v>
      </c>
      <c r="F197" s="791" t="s">
        <v>5632</v>
      </c>
      <c r="G197" s="174">
        <v>1</v>
      </c>
      <c r="H197" s="790">
        <v>55000</v>
      </c>
      <c r="I197" s="86">
        <f t="shared" si="16"/>
        <v>55000</v>
      </c>
      <c r="J197" s="20">
        <f t="shared" si="15"/>
        <v>11000</v>
      </c>
      <c r="K197" s="86">
        <f t="shared" si="17"/>
        <v>44000</v>
      </c>
      <c r="L197" s="17"/>
      <c r="M197" s="17"/>
      <c r="N197" s="171">
        <f t="shared" si="18"/>
        <v>44000</v>
      </c>
      <c r="O197" s="91" t="s">
        <v>23</v>
      </c>
      <c r="P197" s="72"/>
      <c r="Q197" s="91" t="s">
        <v>40</v>
      </c>
      <c r="R197" s="17"/>
      <c r="S197" s="17"/>
      <c r="T197" s="17"/>
      <c r="U197" s="17"/>
      <c r="V197" s="17"/>
      <c r="W197" s="17"/>
    </row>
    <row r="198" spans="1:23" s="20" customFormat="1" ht="15.6">
      <c r="A198" s="9">
        <v>44420</v>
      </c>
      <c r="B198" s="91" t="s">
        <v>23</v>
      </c>
      <c r="C198" s="123" t="s">
        <v>5621</v>
      </c>
      <c r="D198" s="29" t="s">
        <v>5622</v>
      </c>
      <c r="E198" s="791" t="s">
        <v>173</v>
      </c>
      <c r="F198" s="791" t="s">
        <v>174</v>
      </c>
      <c r="G198" s="174">
        <v>1</v>
      </c>
      <c r="H198" s="790">
        <v>64000</v>
      </c>
      <c r="I198" s="86">
        <f t="shared" si="16"/>
        <v>64000</v>
      </c>
      <c r="J198" s="20">
        <f t="shared" si="15"/>
        <v>12800</v>
      </c>
      <c r="K198" s="86">
        <f t="shared" si="17"/>
        <v>51200</v>
      </c>
      <c r="L198" s="17"/>
      <c r="M198" s="17"/>
      <c r="N198" s="171">
        <f t="shared" si="18"/>
        <v>51200</v>
      </c>
      <c r="O198" s="91" t="s">
        <v>23</v>
      </c>
      <c r="P198" s="183"/>
      <c r="Q198" s="91" t="s">
        <v>40</v>
      </c>
      <c r="R198" s="17"/>
      <c r="S198" s="17"/>
      <c r="T198" s="17"/>
      <c r="U198" s="17"/>
      <c r="V198" s="17"/>
      <c r="W198" s="17"/>
    </row>
    <row r="199" spans="1:23" s="20" customFormat="1" ht="15.6">
      <c r="A199" s="9">
        <v>44420</v>
      </c>
      <c r="B199" s="91" t="s">
        <v>23</v>
      </c>
      <c r="C199" s="123" t="s">
        <v>5621</v>
      </c>
      <c r="D199" s="29" t="s">
        <v>5622</v>
      </c>
      <c r="E199" s="791" t="s">
        <v>5633</v>
      </c>
      <c r="F199" s="791" t="s">
        <v>5634</v>
      </c>
      <c r="G199" s="174">
        <v>1</v>
      </c>
      <c r="H199" s="790">
        <v>35000</v>
      </c>
      <c r="I199" s="86">
        <f t="shared" si="16"/>
        <v>35000</v>
      </c>
      <c r="J199" s="20">
        <f t="shared" si="15"/>
        <v>7000</v>
      </c>
      <c r="K199" s="86">
        <f t="shared" si="17"/>
        <v>28000</v>
      </c>
      <c r="L199" s="17"/>
      <c r="M199" s="17"/>
      <c r="N199" s="171">
        <f t="shared" si="18"/>
        <v>28000</v>
      </c>
      <c r="O199" s="91" t="s">
        <v>23</v>
      </c>
      <c r="P199" s="183"/>
      <c r="Q199" s="91" t="s">
        <v>40</v>
      </c>
      <c r="R199" s="17"/>
      <c r="S199" s="17"/>
      <c r="T199" s="17"/>
      <c r="U199" s="17"/>
      <c r="V199" s="17"/>
      <c r="W199" s="17"/>
    </row>
    <row r="200" spans="1:23" s="20" customFormat="1" ht="15.6">
      <c r="A200" s="9">
        <v>44420</v>
      </c>
      <c r="B200" s="91" t="s">
        <v>23</v>
      </c>
      <c r="C200" s="123" t="s">
        <v>5621</v>
      </c>
      <c r="D200" s="29" t="s">
        <v>5622</v>
      </c>
      <c r="E200" s="791" t="s">
        <v>5635</v>
      </c>
      <c r="F200" s="791" t="s">
        <v>5636</v>
      </c>
      <c r="G200" s="174">
        <v>1</v>
      </c>
      <c r="H200" s="790">
        <v>48000</v>
      </c>
      <c r="I200" s="86">
        <f t="shared" si="16"/>
        <v>48000</v>
      </c>
      <c r="J200" s="20">
        <f t="shared" si="15"/>
        <v>9600</v>
      </c>
      <c r="K200" s="86">
        <f t="shared" si="17"/>
        <v>38400</v>
      </c>
      <c r="L200" s="17"/>
      <c r="M200" s="17"/>
      <c r="N200" s="171">
        <f t="shared" si="18"/>
        <v>38400</v>
      </c>
      <c r="O200" s="91" t="s">
        <v>23</v>
      </c>
      <c r="P200" s="183"/>
      <c r="Q200" s="91" t="s">
        <v>40</v>
      </c>
      <c r="R200" s="17"/>
      <c r="S200" s="17"/>
      <c r="T200" s="17"/>
      <c r="U200" s="17"/>
      <c r="V200" s="17"/>
      <c r="W200" s="17"/>
    </row>
    <row r="201" spans="1:23" s="20" customFormat="1" ht="15.6">
      <c r="A201" s="9">
        <v>44420</v>
      </c>
      <c r="B201" s="91" t="s">
        <v>23</v>
      </c>
      <c r="C201" s="123" t="s">
        <v>5621</v>
      </c>
      <c r="D201" s="29" t="s">
        <v>5622</v>
      </c>
      <c r="E201" s="791" t="s">
        <v>5637</v>
      </c>
      <c r="F201" s="791" t="s">
        <v>5638</v>
      </c>
      <c r="G201" s="174">
        <v>1</v>
      </c>
      <c r="H201" s="790">
        <v>52000</v>
      </c>
      <c r="I201" s="86">
        <f t="shared" si="16"/>
        <v>52000</v>
      </c>
      <c r="J201" s="20">
        <f t="shared" si="15"/>
        <v>10400</v>
      </c>
      <c r="K201" s="86">
        <f t="shared" si="17"/>
        <v>41600</v>
      </c>
      <c r="L201" s="17"/>
      <c r="M201" s="17"/>
      <c r="N201" s="171">
        <f t="shared" si="18"/>
        <v>41600</v>
      </c>
      <c r="O201" s="91" t="s">
        <v>23</v>
      </c>
      <c r="P201" s="183"/>
      <c r="Q201" s="91" t="s">
        <v>40</v>
      </c>
      <c r="R201" s="17"/>
      <c r="S201" s="13"/>
      <c r="T201" s="17"/>
      <c r="U201" s="17"/>
      <c r="V201" s="17"/>
      <c r="W201" s="17"/>
    </row>
    <row r="202" spans="1:23" s="20" customFormat="1" ht="15.6">
      <c r="A202" s="9">
        <v>44420</v>
      </c>
      <c r="B202" s="91" t="s">
        <v>23</v>
      </c>
      <c r="C202" s="123" t="s">
        <v>5621</v>
      </c>
      <c r="D202" s="29" t="s">
        <v>5622</v>
      </c>
      <c r="E202" s="791" t="s">
        <v>5639</v>
      </c>
      <c r="F202" s="791" t="s">
        <v>5640</v>
      </c>
      <c r="G202" s="174">
        <v>1</v>
      </c>
      <c r="H202" s="790">
        <v>65000</v>
      </c>
      <c r="I202" s="86">
        <f t="shared" si="16"/>
        <v>65000</v>
      </c>
      <c r="J202" s="20">
        <f t="shared" si="15"/>
        <v>13000</v>
      </c>
      <c r="K202" s="86">
        <f t="shared" si="17"/>
        <v>52000</v>
      </c>
      <c r="L202" s="17"/>
      <c r="M202" s="17"/>
      <c r="N202" s="171">
        <f t="shared" si="18"/>
        <v>52000</v>
      </c>
      <c r="O202" s="91" t="s">
        <v>23</v>
      </c>
      <c r="P202" s="183"/>
      <c r="Q202" s="91" t="s">
        <v>40</v>
      </c>
      <c r="R202" s="17"/>
      <c r="S202" s="17"/>
      <c r="T202" s="17"/>
      <c r="U202" s="17"/>
      <c r="V202" s="17"/>
      <c r="W202" s="17"/>
    </row>
    <row r="203" spans="1:23" s="20" customFormat="1" ht="15.6">
      <c r="A203" s="9">
        <v>44420</v>
      </c>
      <c r="B203" s="91" t="s">
        <v>23</v>
      </c>
      <c r="C203" s="123" t="s">
        <v>5621</v>
      </c>
      <c r="D203" s="29" t="s">
        <v>5622</v>
      </c>
      <c r="E203" s="791" t="s">
        <v>1426</v>
      </c>
      <c r="F203" s="791" t="s">
        <v>1427</v>
      </c>
      <c r="G203" s="174">
        <v>1</v>
      </c>
      <c r="H203" s="790">
        <v>48000</v>
      </c>
      <c r="I203" s="86">
        <f t="shared" si="16"/>
        <v>48000</v>
      </c>
      <c r="J203" s="20">
        <f t="shared" si="15"/>
        <v>9600</v>
      </c>
      <c r="K203" s="86">
        <f t="shared" si="17"/>
        <v>38400</v>
      </c>
      <c r="L203" s="17"/>
      <c r="M203" s="17"/>
      <c r="N203" s="171">
        <f t="shared" si="18"/>
        <v>38400</v>
      </c>
      <c r="O203" s="91" t="s">
        <v>23</v>
      </c>
      <c r="P203" s="183"/>
      <c r="Q203" s="91" t="s">
        <v>40</v>
      </c>
      <c r="R203" s="17"/>
      <c r="S203" s="17"/>
      <c r="T203" s="17"/>
      <c r="U203" s="17"/>
      <c r="V203" s="17"/>
      <c r="W203" s="17"/>
    </row>
    <row r="204" spans="1:23" s="20" customFormat="1" ht="15.6">
      <c r="A204" s="9">
        <v>44420</v>
      </c>
      <c r="B204" s="91" t="s">
        <v>23</v>
      </c>
      <c r="C204" s="123" t="s">
        <v>5621</v>
      </c>
      <c r="D204" s="29" t="s">
        <v>5622</v>
      </c>
      <c r="E204" s="791" t="s">
        <v>5641</v>
      </c>
      <c r="F204" s="791" t="s">
        <v>5642</v>
      </c>
      <c r="G204" s="174">
        <v>2</v>
      </c>
      <c r="H204" s="790">
        <v>28000</v>
      </c>
      <c r="I204" s="86">
        <f t="shared" si="16"/>
        <v>56000</v>
      </c>
      <c r="J204" s="20">
        <f t="shared" si="15"/>
        <v>11200</v>
      </c>
      <c r="K204" s="86">
        <f t="shared" si="17"/>
        <v>44800</v>
      </c>
      <c r="L204" s="17"/>
      <c r="M204" s="17"/>
      <c r="N204" s="171">
        <f t="shared" si="18"/>
        <v>44800</v>
      </c>
      <c r="O204" s="91" t="s">
        <v>23</v>
      </c>
      <c r="P204" s="72"/>
      <c r="Q204" s="91" t="s">
        <v>40</v>
      </c>
      <c r="R204" s="17"/>
      <c r="S204" s="13"/>
      <c r="T204" s="17"/>
      <c r="U204" s="17"/>
      <c r="V204" s="17"/>
      <c r="W204" s="17"/>
    </row>
    <row r="205" spans="1:23" s="20" customFormat="1" ht="15.6">
      <c r="A205" s="9">
        <v>44420</v>
      </c>
      <c r="B205" s="91" t="s">
        <v>23</v>
      </c>
      <c r="C205" s="123" t="s">
        <v>5621</v>
      </c>
      <c r="D205" s="29" t="s">
        <v>5622</v>
      </c>
      <c r="E205" s="791" t="s">
        <v>5643</v>
      </c>
      <c r="F205" s="791" t="s">
        <v>5644</v>
      </c>
      <c r="G205" s="174">
        <v>1</v>
      </c>
      <c r="H205" s="790">
        <v>56000</v>
      </c>
      <c r="I205" s="86">
        <f t="shared" si="16"/>
        <v>56000</v>
      </c>
      <c r="J205" s="20">
        <f t="shared" si="15"/>
        <v>11200</v>
      </c>
      <c r="K205" s="86">
        <f t="shared" si="17"/>
        <v>44800</v>
      </c>
      <c r="L205" s="17"/>
      <c r="M205" s="17"/>
      <c r="N205" s="171">
        <f t="shared" si="18"/>
        <v>44800</v>
      </c>
      <c r="O205" s="91" t="s">
        <v>23</v>
      </c>
      <c r="P205" s="183"/>
      <c r="Q205" s="91" t="s">
        <v>40</v>
      </c>
      <c r="R205" s="17"/>
      <c r="S205" s="13"/>
      <c r="T205" s="17"/>
      <c r="U205" s="17"/>
      <c r="V205" s="17"/>
      <c r="W205" s="17"/>
    </row>
    <row r="206" spans="1:23" s="20" customFormat="1" ht="15.6">
      <c r="A206" s="9">
        <v>44420</v>
      </c>
      <c r="B206" s="91" t="s">
        <v>23</v>
      </c>
      <c r="C206" s="123" t="s">
        <v>5621</v>
      </c>
      <c r="D206" s="29" t="s">
        <v>5622</v>
      </c>
      <c r="E206" s="791" t="s">
        <v>1272</v>
      </c>
      <c r="F206" s="791" t="s">
        <v>1273</v>
      </c>
      <c r="G206" s="174">
        <v>1</v>
      </c>
      <c r="H206" s="790">
        <v>50000</v>
      </c>
      <c r="I206" s="86">
        <f t="shared" si="16"/>
        <v>50000</v>
      </c>
      <c r="J206" s="20">
        <f t="shared" si="15"/>
        <v>10000</v>
      </c>
      <c r="K206" s="86">
        <f t="shared" si="17"/>
        <v>40000</v>
      </c>
      <c r="L206" s="17"/>
      <c r="M206" s="17"/>
      <c r="N206" s="171">
        <f t="shared" si="18"/>
        <v>40000</v>
      </c>
      <c r="O206" s="91" t="s">
        <v>23</v>
      </c>
      <c r="P206" s="72"/>
      <c r="Q206" s="91" t="s">
        <v>40</v>
      </c>
      <c r="R206" s="17"/>
      <c r="S206" s="17"/>
      <c r="T206" s="17"/>
      <c r="U206" s="17"/>
      <c r="V206" s="17"/>
      <c r="W206" s="17"/>
    </row>
    <row r="207" spans="1:23" s="20" customFormat="1" ht="15.6">
      <c r="A207" s="9">
        <v>44420</v>
      </c>
      <c r="B207" s="91" t="s">
        <v>23</v>
      </c>
      <c r="C207" s="123" t="s">
        <v>5621</v>
      </c>
      <c r="D207" s="29" t="s">
        <v>5622</v>
      </c>
      <c r="E207" s="791" t="s">
        <v>1473</v>
      </c>
      <c r="F207" s="791" t="s">
        <v>5645</v>
      </c>
      <c r="G207" s="174">
        <v>1</v>
      </c>
      <c r="H207" s="790">
        <v>65000</v>
      </c>
      <c r="I207" s="86">
        <f t="shared" si="16"/>
        <v>65000</v>
      </c>
      <c r="J207" s="20">
        <f t="shared" si="15"/>
        <v>13000</v>
      </c>
      <c r="K207" s="86">
        <f t="shared" si="17"/>
        <v>52000</v>
      </c>
      <c r="L207" s="17"/>
      <c r="M207" s="17"/>
      <c r="N207" s="171">
        <f t="shared" si="18"/>
        <v>52000</v>
      </c>
      <c r="O207" s="91" t="s">
        <v>23</v>
      </c>
      <c r="P207" s="183"/>
      <c r="Q207" s="91" t="s">
        <v>40</v>
      </c>
      <c r="R207" s="17"/>
      <c r="S207" s="17"/>
      <c r="T207" s="17"/>
      <c r="U207" s="17"/>
      <c r="V207" s="17"/>
      <c r="W207" s="17"/>
    </row>
    <row r="208" spans="1:23" s="17" customFormat="1" ht="15.6">
      <c r="A208" s="9">
        <v>44420</v>
      </c>
      <c r="B208" s="91" t="s">
        <v>23</v>
      </c>
      <c r="C208" s="123" t="s">
        <v>5621</v>
      </c>
      <c r="D208" s="29" t="s">
        <v>5622</v>
      </c>
      <c r="E208" s="791" t="s">
        <v>5646</v>
      </c>
      <c r="F208" s="791" t="s">
        <v>5647</v>
      </c>
      <c r="G208" s="174">
        <v>1</v>
      </c>
      <c r="H208" s="790">
        <v>54000</v>
      </c>
      <c r="I208" s="86">
        <f t="shared" si="16"/>
        <v>54000</v>
      </c>
      <c r="J208" s="20">
        <f t="shared" si="15"/>
        <v>10800</v>
      </c>
      <c r="K208" s="86">
        <f t="shared" si="17"/>
        <v>43200</v>
      </c>
      <c r="N208" s="171">
        <f t="shared" si="18"/>
        <v>43200</v>
      </c>
      <c r="O208" s="91" t="s">
        <v>23</v>
      </c>
      <c r="P208" s="183"/>
      <c r="Q208" s="91" t="s">
        <v>40</v>
      </c>
      <c r="S208" s="13"/>
    </row>
    <row r="209" spans="1:19" s="17" customFormat="1" ht="15.6">
      <c r="A209" s="9">
        <v>44420</v>
      </c>
      <c r="B209" s="91" t="s">
        <v>23</v>
      </c>
      <c r="C209" s="123" t="s">
        <v>5621</v>
      </c>
      <c r="D209" s="29" t="s">
        <v>5622</v>
      </c>
      <c r="E209" s="791" t="s">
        <v>5648</v>
      </c>
      <c r="F209" s="791" t="s">
        <v>5649</v>
      </c>
      <c r="G209" s="174">
        <v>1</v>
      </c>
      <c r="H209" s="790">
        <v>52000</v>
      </c>
      <c r="I209" s="86">
        <f t="shared" si="16"/>
        <v>52000</v>
      </c>
      <c r="J209" s="20">
        <f t="shared" si="15"/>
        <v>10400</v>
      </c>
      <c r="K209" s="86">
        <f t="shared" si="17"/>
        <v>41600</v>
      </c>
      <c r="N209" s="171">
        <f t="shared" si="18"/>
        <v>41600</v>
      </c>
      <c r="O209" s="91" t="s">
        <v>23</v>
      </c>
      <c r="P209" s="183"/>
      <c r="Q209" s="91" t="s">
        <v>40</v>
      </c>
    </row>
    <row r="210" spans="1:19" s="17" customFormat="1" ht="15">
      <c r="A210" s="9">
        <v>44420</v>
      </c>
      <c r="B210" s="91" t="s">
        <v>23</v>
      </c>
      <c r="C210" s="123" t="s">
        <v>5621</v>
      </c>
      <c r="D210" s="29" t="s">
        <v>5622</v>
      </c>
      <c r="E210" s="791" t="s">
        <v>5650</v>
      </c>
      <c r="F210" s="791" t="s">
        <v>5651</v>
      </c>
      <c r="G210" s="174">
        <v>1</v>
      </c>
      <c r="H210" s="792">
        <v>70000</v>
      </c>
      <c r="I210" s="86">
        <f t="shared" si="16"/>
        <v>70000</v>
      </c>
      <c r="J210" s="20">
        <f t="shared" si="15"/>
        <v>14000</v>
      </c>
      <c r="K210" s="86">
        <f t="shared" si="17"/>
        <v>56000</v>
      </c>
      <c r="N210" s="171">
        <f t="shared" si="18"/>
        <v>56000</v>
      </c>
      <c r="O210" s="91" t="s">
        <v>23</v>
      </c>
      <c r="P210" s="183"/>
      <c r="Q210" s="91" t="s">
        <v>40</v>
      </c>
    </row>
    <row r="211" spans="1:19" s="797" customFormat="1" ht="15.6" hidden="1">
      <c r="A211" s="137">
        <v>44424</v>
      </c>
      <c r="B211" s="138" t="s">
        <v>43</v>
      </c>
      <c r="C211" s="138" t="s">
        <v>5652</v>
      </c>
      <c r="D211" s="793" t="s">
        <v>5653</v>
      </c>
      <c r="E211" s="794" t="s">
        <v>5654</v>
      </c>
      <c r="F211" s="794" t="s">
        <v>5655</v>
      </c>
      <c r="G211" s="141">
        <v>1</v>
      </c>
      <c r="H211" s="795">
        <v>68000</v>
      </c>
      <c r="I211" s="796">
        <f t="shared" si="16"/>
        <v>68000</v>
      </c>
      <c r="K211" s="796">
        <f t="shared" si="17"/>
        <v>68000</v>
      </c>
      <c r="M211" s="797">
        <v>-3808</v>
      </c>
      <c r="N211" s="171">
        <f t="shared" si="18"/>
        <v>64192</v>
      </c>
      <c r="O211" s="138" t="s">
        <v>43</v>
      </c>
      <c r="P211" s="23"/>
      <c r="Q211" s="138" t="s">
        <v>54</v>
      </c>
    </row>
    <row r="212" spans="1:19" s="797" customFormat="1" ht="15.6" hidden="1">
      <c r="A212" s="137">
        <v>44424</v>
      </c>
      <c r="B212" s="138" t="s">
        <v>206</v>
      </c>
      <c r="C212" s="146" t="s">
        <v>5656</v>
      </c>
      <c r="D212" s="793" t="s">
        <v>5657</v>
      </c>
      <c r="E212" s="798" t="s">
        <v>306</v>
      </c>
      <c r="F212" s="798" t="s">
        <v>307</v>
      </c>
      <c r="G212" s="141">
        <v>1</v>
      </c>
      <c r="H212" s="795">
        <v>90500</v>
      </c>
      <c r="I212" s="796">
        <f t="shared" si="16"/>
        <v>90500</v>
      </c>
      <c r="K212" s="796">
        <f t="shared" si="17"/>
        <v>90500</v>
      </c>
      <c r="M212" s="797">
        <v>16500</v>
      </c>
      <c r="N212" s="171">
        <f t="shared" si="18"/>
        <v>107000</v>
      </c>
      <c r="O212" s="138" t="s">
        <v>206</v>
      </c>
      <c r="P212" s="23"/>
      <c r="Q212" s="138" t="s">
        <v>5335</v>
      </c>
    </row>
    <row r="213" spans="1:19" s="797" customFormat="1" ht="15.6" hidden="1">
      <c r="A213" s="137">
        <v>44424</v>
      </c>
      <c r="B213" s="138" t="s">
        <v>170</v>
      </c>
      <c r="C213" s="146" t="s">
        <v>5435</v>
      </c>
      <c r="D213" s="793" t="s">
        <v>5436</v>
      </c>
      <c r="E213" s="798" t="s">
        <v>5437</v>
      </c>
      <c r="F213" s="798" t="s">
        <v>5438</v>
      </c>
      <c r="G213" s="141">
        <v>1</v>
      </c>
      <c r="H213" s="795">
        <v>104000</v>
      </c>
      <c r="I213" s="796">
        <f t="shared" si="16"/>
        <v>104000</v>
      </c>
      <c r="J213" s="797">
        <f>I213*20%</f>
        <v>20800</v>
      </c>
      <c r="K213" s="796">
        <f t="shared" si="17"/>
        <v>83200</v>
      </c>
      <c r="L213" s="797">
        <f>17000-17000</f>
        <v>0</v>
      </c>
      <c r="N213" s="171">
        <f t="shared" si="18"/>
        <v>83200</v>
      </c>
      <c r="O213" s="138" t="s">
        <v>170</v>
      </c>
      <c r="P213" s="36"/>
      <c r="Q213" s="138" t="s">
        <v>40</v>
      </c>
    </row>
    <row r="214" spans="1:19" s="797" customFormat="1" ht="15.6">
      <c r="A214" s="137">
        <v>44424</v>
      </c>
      <c r="B214" s="138" t="s">
        <v>23</v>
      </c>
      <c r="C214" s="146" t="s">
        <v>5658</v>
      </c>
      <c r="D214" s="793" t="s">
        <v>5659</v>
      </c>
      <c r="E214" s="799" t="s">
        <v>5660</v>
      </c>
      <c r="F214" s="799" t="s">
        <v>5661</v>
      </c>
      <c r="G214" s="141">
        <v>2</v>
      </c>
      <c r="H214" s="795">
        <v>114000</v>
      </c>
      <c r="I214" s="796">
        <f t="shared" si="16"/>
        <v>228000</v>
      </c>
      <c r="K214" s="796">
        <f t="shared" si="17"/>
        <v>228000</v>
      </c>
      <c r="L214" s="797">
        <v>812070</v>
      </c>
      <c r="N214" s="171">
        <f t="shared" si="18"/>
        <v>1040070</v>
      </c>
      <c r="O214" s="138" t="s">
        <v>23</v>
      </c>
      <c r="P214" s="36"/>
      <c r="Q214" s="138" t="s">
        <v>54</v>
      </c>
      <c r="S214" s="800"/>
    </row>
    <row r="215" spans="1:19" s="797" customFormat="1" ht="15.6">
      <c r="A215" s="137">
        <v>44424</v>
      </c>
      <c r="B215" s="138" t="s">
        <v>23</v>
      </c>
      <c r="C215" s="146" t="s">
        <v>5658</v>
      </c>
      <c r="D215" s="793" t="s">
        <v>5659</v>
      </c>
      <c r="E215" s="799" t="s">
        <v>5662</v>
      </c>
      <c r="F215" s="799" t="s">
        <v>5663</v>
      </c>
      <c r="G215" s="141">
        <v>2</v>
      </c>
      <c r="H215" s="795">
        <v>125500</v>
      </c>
      <c r="I215" s="796">
        <f t="shared" si="16"/>
        <v>251000</v>
      </c>
      <c r="K215" s="796">
        <f t="shared" si="17"/>
        <v>251000</v>
      </c>
      <c r="N215" s="171">
        <f t="shared" si="18"/>
        <v>251000</v>
      </c>
      <c r="O215" s="138" t="s">
        <v>23</v>
      </c>
      <c r="P215" s="36"/>
      <c r="Q215" s="138" t="s">
        <v>54</v>
      </c>
      <c r="S215" s="800"/>
    </row>
    <row r="216" spans="1:19" s="797" customFormat="1" ht="15.6">
      <c r="A216" s="137">
        <v>44424</v>
      </c>
      <c r="B216" s="138" t="s">
        <v>23</v>
      </c>
      <c r="C216" s="146" t="s">
        <v>5658</v>
      </c>
      <c r="D216" s="793" t="s">
        <v>5659</v>
      </c>
      <c r="E216" s="801" t="s">
        <v>5664</v>
      </c>
      <c r="F216" s="801" t="s">
        <v>5665</v>
      </c>
      <c r="G216" s="695">
        <v>2</v>
      </c>
      <c r="H216" s="795">
        <v>173000</v>
      </c>
      <c r="I216" s="796">
        <f t="shared" si="16"/>
        <v>346000</v>
      </c>
      <c r="K216" s="796">
        <f t="shared" si="17"/>
        <v>346000</v>
      </c>
      <c r="N216" s="171">
        <f t="shared" si="18"/>
        <v>346000</v>
      </c>
      <c r="O216" s="138" t="s">
        <v>23</v>
      </c>
      <c r="P216" s="36"/>
      <c r="Q216" s="138" t="s">
        <v>54</v>
      </c>
      <c r="S216" s="800"/>
    </row>
    <row r="217" spans="1:19" s="797" customFormat="1" ht="15.6">
      <c r="A217" s="137">
        <v>44424</v>
      </c>
      <c r="B217" s="138" t="s">
        <v>23</v>
      </c>
      <c r="C217" s="146" t="s">
        <v>5658</v>
      </c>
      <c r="D217" s="793" t="s">
        <v>5659</v>
      </c>
      <c r="E217" s="801" t="s">
        <v>5666</v>
      </c>
      <c r="F217" s="801" t="s">
        <v>927</v>
      </c>
      <c r="G217" s="141">
        <v>2</v>
      </c>
      <c r="H217" s="795">
        <v>121000</v>
      </c>
      <c r="I217" s="796">
        <f t="shared" si="16"/>
        <v>242000</v>
      </c>
      <c r="K217" s="796">
        <f t="shared" si="17"/>
        <v>242000</v>
      </c>
      <c r="N217" s="171">
        <f t="shared" si="18"/>
        <v>242000</v>
      </c>
      <c r="O217" s="138" t="s">
        <v>23</v>
      </c>
      <c r="P217" s="23"/>
      <c r="Q217" s="138" t="s">
        <v>54</v>
      </c>
    </row>
    <row r="218" spans="1:19" s="797" customFormat="1" ht="15.6">
      <c r="A218" s="137">
        <v>44424</v>
      </c>
      <c r="B218" s="138" t="s">
        <v>23</v>
      </c>
      <c r="C218" s="146" t="s">
        <v>5658</v>
      </c>
      <c r="D218" s="793" t="s">
        <v>5659</v>
      </c>
      <c r="E218" s="799" t="s">
        <v>92</v>
      </c>
      <c r="F218" s="799" t="s">
        <v>114</v>
      </c>
      <c r="G218" s="141">
        <v>2</v>
      </c>
      <c r="H218" s="795">
        <v>142500</v>
      </c>
      <c r="I218" s="796">
        <f t="shared" si="16"/>
        <v>285000</v>
      </c>
      <c r="K218" s="796">
        <f t="shared" si="17"/>
        <v>285000</v>
      </c>
      <c r="N218" s="171">
        <f t="shared" si="18"/>
        <v>285000</v>
      </c>
      <c r="O218" s="138" t="s">
        <v>23</v>
      </c>
      <c r="P218" s="36"/>
      <c r="Q218" s="138" t="s">
        <v>54</v>
      </c>
    </row>
    <row r="219" spans="1:19" s="797" customFormat="1" ht="15.6">
      <c r="A219" s="137">
        <v>44424</v>
      </c>
      <c r="B219" s="138" t="s">
        <v>23</v>
      </c>
      <c r="C219" s="146" t="s">
        <v>5658</v>
      </c>
      <c r="D219" s="793" t="s">
        <v>5659</v>
      </c>
      <c r="E219" s="799" t="s">
        <v>4477</v>
      </c>
      <c r="F219" s="799" t="s">
        <v>4478</v>
      </c>
      <c r="G219" s="141">
        <v>2</v>
      </c>
      <c r="H219" s="795">
        <v>226000</v>
      </c>
      <c r="I219" s="796">
        <f t="shared" si="16"/>
        <v>452000</v>
      </c>
      <c r="K219" s="796">
        <f t="shared" si="17"/>
        <v>452000</v>
      </c>
      <c r="N219" s="171">
        <f t="shared" si="18"/>
        <v>452000</v>
      </c>
      <c r="O219" s="138" t="s">
        <v>23</v>
      </c>
      <c r="P219" s="36"/>
      <c r="Q219" s="138" t="s">
        <v>54</v>
      </c>
    </row>
    <row r="220" spans="1:19" s="797" customFormat="1" ht="15.6">
      <c r="A220" s="137">
        <v>44424</v>
      </c>
      <c r="B220" s="138" t="s">
        <v>23</v>
      </c>
      <c r="C220" s="146" t="s">
        <v>5658</v>
      </c>
      <c r="D220" s="793" t="s">
        <v>5659</v>
      </c>
      <c r="E220" s="801" t="s">
        <v>3503</v>
      </c>
      <c r="F220" s="801" t="s">
        <v>3504</v>
      </c>
      <c r="G220" s="141">
        <v>2</v>
      </c>
      <c r="H220" s="795">
        <v>83000</v>
      </c>
      <c r="I220" s="796">
        <f t="shared" si="16"/>
        <v>166000</v>
      </c>
      <c r="K220" s="796">
        <f t="shared" si="17"/>
        <v>166000</v>
      </c>
      <c r="N220" s="171">
        <f t="shared" si="18"/>
        <v>166000</v>
      </c>
      <c r="O220" s="138" t="s">
        <v>23</v>
      </c>
      <c r="P220" s="23"/>
      <c r="Q220" s="138" t="s">
        <v>54</v>
      </c>
    </row>
    <row r="221" spans="1:19" s="797" customFormat="1" ht="15.6">
      <c r="A221" s="137">
        <v>44424</v>
      </c>
      <c r="B221" s="138" t="s">
        <v>23</v>
      </c>
      <c r="C221" s="146" t="s">
        <v>5658</v>
      </c>
      <c r="D221" s="793" t="s">
        <v>5659</v>
      </c>
      <c r="E221" s="799" t="s">
        <v>5667</v>
      </c>
      <c r="F221" s="799" t="s">
        <v>2882</v>
      </c>
      <c r="G221" s="141">
        <v>2</v>
      </c>
      <c r="H221" s="795">
        <v>162000</v>
      </c>
      <c r="I221" s="796">
        <f t="shared" si="16"/>
        <v>324000</v>
      </c>
      <c r="K221" s="796">
        <f t="shared" si="17"/>
        <v>324000</v>
      </c>
      <c r="N221" s="171">
        <f t="shared" si="18"/>
        <v>324000</v>
      </c>
      <c r="O221" s="138" t="s">
        <v>23</v>
      </c>
      <c r="P221" s="23"/>
      <c r="Q221" s="138" t="s">
        <v>54</v>
      </c>
      <c r="S221" s="800"/>
    </row>
    <row r="222" spans="1:19" s="797" customFormat="1" ht="15.6">
      <c r="A222" s="137">
        <v>44424</v>
      </c>
      <c r="B222" s="138" t="s">
        <v>23</v>
      </c>
      <c r="C222" s="146" t="s">
        <v>5658</v>
      </c>
      <c r="D222" s="793" t="s">
        <v>5659</v>
      </c>
      <c r="E222" s="801" t="s">
        <v>5668</v>
      </c>
      <c r="F222" s="801" t="s">
        <v>2882</v>
      </c>
      <c r="G222" s="141">
        <v>2</v>
      </c>
      <c r="H222" s="795">
        <v>109000</v>
      </c>
      <c r="I222" s="796">
        <f t="shared" si="16"/>
        <v>218000</v>
      </c>
      <c r="K222" s="796">
        <f t="shared" si="17"/>
        <v>218000</v>
      </c>
      <c r="N222" s="171">
        <f t="shared" si="18"/>
        <v>218000</v>
      </c>
      <c r="O222" s="138" t="s">
        <v>23</v>
      </c>
      <c r="P222" s="23"/>
      <c r="Q222" s="138" t="s">
        <v>54</v>
      </c>
    </row>
    <row r="223" spans="1:19" s="797" customFormat="1" ht="15.6">
      <c r="A223" s="137">
        <v>44424</v>
      </c>
      <c r="B223" s="138" t="s">
        <v>23</v>
      </c>
      <c r="C223" s="146" t="s">
        <v>5658</v>
      </c>
      <c r="D223" s="793" t="s">
        <v>5659</v>
      </c>
      <c r="E223" s="799" t="s">
        <v>3652</v>
      </c>
      <c r="F223" s="799" t="s">
        <v>3653</v>
      </c>
      <c r="G223" s="802">
        <v>2</v>
      </c>
      <c r="H223" s="795">
        <v>54000</v>
      </c>
      <c r="I223" s="796">
        <f t="shared" si="16"/>
        <v>108000</v>
      </c>
      <c r="K223" s="796">
        <f t="shared" si="17"/>
        <v>108000</v>
      </c>
      <c r="N223" s="171">
        <f t="shared" si="18"/>
        <v>108000</v>
      </c>
      <c r="O223" s="138" t="s">
        <v>23</v>
      </c>
      <c r="P223" s="23"/>
      <c r="Q223" s="138" t="s">
        <v>54</v>
      </c>
    </row>
    <row r="224" spans="1:19" s="797" customFormat="1" ht="15.6">
      <c r="A224" s="137">
        <v>44424</v>
      </c>
      <c r="B224" s="138" t="s">
        <v>23</v>
      </c>
      <c r="C224" s="146" t="s">
        <v>5658</v>
      </c>
      <c r="D224" s="793" t="s">
        <v>5659</v>
      </c>
      <c r="E224" s="799" t="s">
        <v>5669</v>
      </c>
      <c r="F224" s="799" t="s">
        <v>5670</v>
      </c>
      <c r="G224" s="141">
        <v>2</v>
      </c>
      <c r="H224" s="795">
        <v>227000</v>
      </c>
      <c r="I224" s="796">
        <f t="shared" si="16"/>
        <v>454000</v>
      </c>
      <c r="K224" s="796">
        <f t="shared" si="17"/>
        <v>454000</v>
      </c>
      <c r="N224" s="171">
        <f t="shared" si="18"/>
        <v>454000</v>
      </c>
      <c r="O224" s="138" t="s">
        <v>23</v>
      </c>
      <c r="P224" s="36"/>
      <c r="Q224" s="138" t="s">
        <v>54</v>
      </c>
    </row>
    <row r="225" spans="1:17" s="797" customFormat="1" ht="15.6">
      <c r="A225" s="137">
        <v>44424</v>
      </c>
      <c r="B225" s="138" t="s">
        <v>23</v>
      </c>
      <c r="C225" s="146" t="s">
        <v>5658</v>
      </c>
      <c r="D225" s="793" t="s">
        <v>5659</v>
      </c>
      <c r="E225" s="799" t="s">
        <v>5671</v>
      </c>
      <c r="F225" s="799" t="s">
        <v>5672</v>
      </c>
      <c r="G225" s="141">
        <v>2</v>
      </c>
      <c r="H225" s="795">
        <v>126000</v>
      </c>
      <c r="I225" s="796">
        <f t="shared" si="16"/>
        <v>252000</v>
      </c>
      <c r="K225" s="796">
        <f t="shared" si="17"/>
        <v>252000</v>
      </c>
      <c r="N225" s="171">
        <f t="shared" si="18"/>
        <v>252000</v>
      </c>
      <c r="O225" s="138" t="s">
        <v>23</v>
      </c>
      <c r="P225" s="36"/>
      <c r="Q225" s="138" t="s">
        <v>54</v>
      </c>
    </row>
    <row r="226" spans="1:17" s="797" customFormat="1" ht="15.6">
      <c r="A226" s="137">
        <v>44424</v>
      </c>
      <c r="B226" s="138" t="s">
        <v>23</v>
      </c>
      <c r="C226" s="146" t="s">
        <v>5658</v>
      </c>
      <c r="D226" s="793" t="s">
        <v>5659</v>
      </c>
      <c r="E226" s="799" t="s">
        <v>5673</v>
      </c>
      <c r="F226" s="799" t="s">
        <v>5674</v>
      </c>
      <c r="G226" s="141">
        <v>2</v>
      </c>
      <c r="H226" s="795">
        <v>93000</v>
      </c>
      <c r="I226" s="796">
        <f t="shared" si="16"/>
        <v>186000</v>
      </c>
      <c r="K226" s="796">
        <f t="shared" si="17"/>
        <v>186000</v>
      </c>
      <c r="N226" s="171">
        <f t="shared" si="18"/>
        <v>186000</v>
      </c>
      <c r="O226" s="138" t="s">
        <v>23</v>
      </c>
      <c r="P226" s="36"/>
      <c r="Q226" s="138" t="s">
        <v>54</v>
      </c>
    </row>
    <row r="227" spans="1:17" s="797" customFormat="1" ht="15.6">
      <c r="A227" s="137">
        <v>44424</v>
      </c>
      <c r="B227" s="138" t="s">
        <v>23</v>
      </c>
      <c r="C227" s="146" t="s">
        <v>5658</v>
      </c>
      <c r="D227" s="793" t="s">
        <v>5659</v>
      </c>
      <c r="E227" s="801" t="s">
        <v>201</v>
      </c>
      <c r="F227" s="801" t="s">
        <v>202</v>
      </c>
      <c r="G227" s="141">
        <v>2</v>
      </c>
      <c r="H227" s="795">
        <v>131000</v>
      </c>
      <c r="I227" s="796">
        <f t="shared" si="16"/>
        <v>262000</v>
      </c>
      <c r="K227" s="796">
        <f t="shared" si="17"/>
        <v>262000</v>
      </c>
      <c r="N227" s="171">
        <f t="shared" si="18"/>
        <v>262000</v>
      </c>
      <c r="O227" s="138" t="s">
        <v>23</v>
      </c>
      <c r="P227" s="36"/>
      <c r="Q227" s="138" t="s">
        <v>54</v>
      </c>
    </row>
    <row r="228" spans="1:17" s="797" customFormat="1" ht="15.6">
      <c r="A228" s="137">
        <v>44424</v>
      </c>
      <c r="B228" s="138" t="s">
        <v>23</v>
      </c>
      <c r="C228" s="146" t="s">
        <v>5658</v>
      </c>
      <c r="D228" s="793" t="s">
        <v>5659</v>
      </c>
      <c r="E228" s="801" t="s">
        <v>5675</v>
      </c>
      <c r="F228" s="801" t="s">
        <v>5676</v>
      </c>
      <c r="G228" s="141">
        <v>2</v>
      </c>
      <c r="H228" s="795">
        <v>170500</v>
      </c>
      <c r="I228" s="796">
        <f t="shared" si="16"/>
        <v>341000</v>
      </c>
      <c r="K228" s="796">
        <f t="shared" si="17"/>
        <v>341000</v>
      </c>
      <c r="N228" s="171">
        <f t="shared" si="18"/>
        <v>341000</v>
      </c>
      <c r="O228" s="138" t="s">
        <v>23</v>
      </c>
      <c r="P228" s="36"/>
      <c r="Q228" s="138" t="s">
        <v>54</v>
      </c>
    </row>
    <row r="229" spans="1:17" s="797" customFormat="1" ht="15.6">
      <c r="A229" s="137">
        <v>44424</v>
      </c>
      <c r="B229" s="138" t="s">
        <v>23</v>
      </c>
      <c r="C229" s="146" t="s">
        <v>5658</v>
      </c>
      <c r="D229" s="793" t="s">
        <v>5659</v>
      </c>
      <c r="E229" s="801" t="s">
        <v>5677</v>
      </c>
      <c r="F229" s="801" t="s">
        <v>5678</v>
      </c>
      <c r="G229" s="141">
        <v>2</v>
      </c>
      <c r="H229" s="795">
        <v>98000</v>
      </c>
      <c r="I229" s="796">
        <f t="shared" si="16"/>
        <v>196000</v>
      </c>
      <c r="K229" s="796">
        <f t="shared" si="17"/>
        <v>196000</v>
      </c>
      <c r="N229" s="171">
        <f t="shared" si="18"/>
        <v>196000</v>
      </c>
      <c r="O229" s="138" t="s">
        <v>23</v>
      </c>
      <c r="P229" s="36"/>
      <c r="Q229" s="138" t="s">
        <v>54</v>
      </c>
    </row>
    <row r="230" spans="1:17" s="797" customFormat="1" ht="15.6">
      <c r="A230" s="137">
        <v>44424</v>
      </c>
      <c r="B230" s="138" t="s">
        <v>23</v>
      </c>
      <c r="C230" s="146" t="s">
        <v>5658</v>
      </c>
      <c r="D230" s="793" t="s">
        <v>5659</v>
      </c>
      <c r="E230" s="801" t="s">
        <v>5679</v>
      </c>
      <c r="F230" s="801" t="s">
        <v>5680</v>
      </c>
      <c r="G230" s="141">
        <v>2</v>
      </c>
      <c r="H230" s="795">
        <v>203000</v>
      </c>
      <c r="I230" s="796">
        <f t="shared" si="16"/>
        <v>406000</v>
      </c>
      <c r="K230" s="796">
        <f t="shared" si="17"/>
        <v>406000</v>
      </c>
      <c r="N230" s="171">
        <f t="shared" si="18"/>
        <v>406000</v>
      </c>
      <c r="O230" s="138" t="s">
        <v>23</v>
      </c>
      <c r="P230" s="36"/>
      <c r="Q230" s="138" t="s">
        <v>54</v>
      </c>
    </row>
    <row r="231" spans="1:17" s="797" customFormat="1" ht="15.6">
      <c r="A231" s="137">
        <v>44424</v>
      </c>
      <c r="B231" s="138" t="s">
        <v>23</v>
      </c>
      <c r="C231" s="146" t="s">
        <v>5658</v>
      </c>
      <c r="D231" s="793" t="s">
        <v>5659</v>
      </c>
      <c r="E231" s="801" t="s">
        <v>4414</v>
      </c>
      <c r="F231" s="801" t="s">
        <v>4415</v>
      </c>
      <c r="G231" s="141">
        <v>2</v>
      </c>
      <c r="H231" s="795">
        <v>75500</v>
      </c>
      <c r="I231" s="796">
        <f t="shared" si="16"/>
        <v>151000</v>
      </c>
      <c r="K231" s="796">
        <f t="shared" si="17"/>
        <v>151000</v>
      </c>
      <c r="N231" s="171">
        <f t="shared" si="18"/>
        <v>151000</v>
      </c>
      <c r="O231" s="138" t="s">
        <v>23</v>
      </c>
      <c r="P231" s="36"/>
      <c r="Q231" s="138" t="s">
        <v>54</v>
      </c>
    </row>
    <row r="232" spans="1:17" s="797" customFormat="1" ht="15.6">
      <c r="A232" s="137">
        <v>44424</v>
      </c>
      <c r="B232" s="138" t="s">
        <v>23</v>
      </c>
      <c r="C232" s="146" t="s">
        <v>5658</v>
      </c>
      <c r="D232" s="793" t="s">
        <v>5659</v>
      </c>
      <c r="E232" s="799" t="s">
        <v>5681</v>
      </c>
      <c r="F232" s="799" t="s">
        <v>3481</v>
      </c>
      <c r="G232" s="141">
        <v>2</v>
      </c>
      <c r="H232" s="795">
        <v>289000</v>
      </c>
      <c r="I232" s="796">
        <f t="shared" si="16"/>
        <v>578000</v>
      </c>
      <c r="K232" s="796">
        <f t="shared" si="17"/>
        <v>578000</v>
      </c>
      <c r="N232" s="171">
        <f t="shared" si="18"/>
        <v>578000</v>
      </c>
      <c r="O232" s="138" t="s">
        <v>23</v>
      </c>
      <c r="P232" s="36"/>
      <c r="Q232" s="138" t="s">
        <v>54</v>
      </c>
    </row>
    <row r="233" spans="1:17" s="797" customFormat="1" ht="15.6">
      <c r="A233" s="137">
        <v>44424</v>
      </c>
      <c r="B233" s="138" t="s">
        <v>23</v>
      </c>
      <c r="C233" s="146" t="s">
        <v>5682</v>
      </c>
      <c r="D233" s="793" t="s">
        <v>5683</v>
      </c>
      <c r="E233" s="794" t="s">
        <v>2655</v>
      </c>
      <c r="F233" s="794" t="s">
        <v>2656</v>
      </c>
      <c r="G233" s="141">
        <v>1</v>
      </c>
      <c r="H233" s="795">
        <v>85000</v>
      </c>
      <c r="I233" s="796">
        <f t="shared" si="16"/>
        <v>85000</v>
      </c>
      <c r="K233" s="796">
        <f t="shared" si="17"/>
        <v>85000</v>
      </c>
      <c r="L233" s="797">
        <v>17000</v>
      </c>
      <c r="N233" s="171">
        <f t="shared" si="18"/>
        <v>102000</v>
      </c>
      <c r="O233" s="138" t="s">
        <v>23</v>
      </c>
      <c r="P233" s="36"/>
      <c r="Q233" s="138" t="s">
        <v>40</v>
      </c>
    </row>
    <row r="234" spans="1:17" s="797" customFormat="1" ht="15.6" hidden="1">
      <c r="A234" s="137">
        <v>44424</v>
      </c>
      <c r="B234" s="138" t="s">
        <v>313</v>
      </c>
      <c r="C234" s="146" t="s">
        <v>5684</v>
      </c>
      <c r="D234" s="793" t="s">
        <v>5685</v>
      </c>
      <c r="E234" s="794" t="s">
        <v>5686</v>
      </c>
      <c r="F234" s="794" t="s">
        <v>5687</v>
      </c>
      <c r="G234" s="141">
        <v>1</v>
      </c>
      <c r="H234" s="795">
        <v>101000</v>
      </c>
      <c r="I234" s="796">
        <f t="shared" si="16"/>
        <v>101000</v>
      </c>
      <c r="K234" s="796">
        <f t="shared" si="17"/>
        <v>101000</v>
      </c>
      <c r="L234" s="797">
        <v>8046</v>
      </c>
      <c r="N234" s="171">
        <f t="shared" si="18"/>
        <v>109046</v>
      </c>
      <c r="O234" s="138" t="s">
        <v>313</v>
      </c>
      <c r="P234" s="36"/>
      <c r="Q234" s="138" t="s">
        <v>28</v>
      </c>
    </row>
    <row r="235" spans="1:17" s="797" customFormat="1" ht="15.6">
      <c r="A235" s="137">
        <v>44424</v>
      </c>
      <c r="B235" s="138" t="s">
        <v>23</v>
      </c>
      <c r="C235" s="138" t="s">
        <v>5688</v>
      </c>
      <c r="D235" s="793" t="s">
        <v>5689</v>
      </c>
      <c r="E235" s="798" t="s">
        <v>5690</v>
      </c>
      <c r="F235" s="798" t="s">
        <v>5691</v>
      </c>
      <c r="G235" s="692">
        <v>1</v>
      </c>
      <c r="H235" s="795">
        <v>70000</v>
      </c>
      <c r="I235" s="796">
        <f t="shared" si="16"/>
        <v>70000</v>
      </c>
      <c r="K235" s="796">
        <f t="shared" si="17"/>
        <v>70000</v>
      </c>
      <c r="L235" s="797">
        <v>128000</v>
      </c>
      <c r="N235" s="171">
        <f t="shared" si="18"/>
        <v>198000</v>
      </c>
      <c r="O235" s="138" t="s">
        <v>23</v>
      </c>
      <c r="P235" s="36"/>
      <c r="Q235" s="138" t="s">
        <v>40</v>
      </c>
    </row>
    <row r="236" spans="1:17" s="797" customFormat="1" ht="15.6">
      <c r="A236" s="137">
        <v>44424</v>
      </c>
      <c r="B236" s="138" t="s">
        <v>23</v>
      </c>
      <c r="C236" s="138" t="s">
        <v>862</v>
      </c>
      <c r="D236" s="793" t="s">
        <v>5692</v>
      </c>
      <c r="E236" s="794" t="s">
        <v>3775</v>
      </c>
      <c r="F236" s="794" t="s">
        <v>4255</v>
      </c>
      <c r="G236" s="141">
        <v>1</v>
      </c>
      <c r="H236" s="795">
        <v>115500</v>
      </c>
      <c r="I236" s="796">
        <f t="shared" si="16"/>
        <v>115500</v>
      </c>
      <c r="K236" s="796">
        <f t="shared" si="17"/>
        <v>115500</v>
      </c>
      <c r="L236" s="797">
        <v>55000</v>
      </c>
      <c r="N236" s="171">
        <f t="shared" si="18"/>
        <v>170500</v>
      </c>
      <c r="O236" s="138" t="s">
        <v>23</v>
      </c>
      <c r="P236" s="23"/>
      <c r="Q236" s="138" t="s">
        <v>40</v>
      </c>
    </row>
    <row r="237" spans="1:17" s="797" customFormat="1" ht="15.6">
      <c r="A237" s="137">
        <v>44424</v>
      </c>
      <c r="B237" s="138" t="s">
        <v>23</v>
      </c>
      <c r="C237" s="146" t="s">
        <v>5693</v>
      </c>
      <c r="D237" s="793" t="s">
        <v>5694</v>
      </c>
      <c r="E237" s="803" t="s">
        <v>4726</v>
      </c>
      <c r="F237" s="803" t="s">
        <v>4727</v>
      </c>
      <c r="G237" s="141">
        <v>1</v>
      </c>
      <c r="H237" s="795">
        <v>59500</v>
      </c>
      <c r="I237" s="796">
        <f t="shared" si="16"/>
        <v>59500</v>
      </c>
      <c r="K237" s="796">
        <f t="shared" si="17"/>
        <v>59500</v>
      </c>
      <c r="L237" s="797">
        <v>19037</v>
      </c>
      <c r="N237" s="171">
        <f t="shared" si="18"/>
        <v>78537</v>
      </c>
      <c r="O237" s="138" t="s">
        <v>23</v>
      </c>
      <c r="P237" s="36"/>
      <c r="Q237" s="138" t="s">
        <v>40</v>
      </c>
    </row>
    <row r="238" spans="1:17" s="797" customFormat="1" ht="15.6">
      <c r="A238" s="137">
        <v>44424</v>
      </c>
      <c r="B238" s="138" t="s">
        <v>23</v>
      </c>
      <c r="C238" s="146" t="s">
        <v>5693</v>
      </c>
      <c r="D238" s="793" t="s">
        <v>5695</v>
      </c>
      <c r="E238" s="804" t="s">
        <v>5696</v>
      </c>
      <c r="F238" s="804" t="s">
        <v>5697</v>
      </c>
      <c r="G238" s="141">
        <v>1</v>
      </c>
      <c r="H238" s="795">
        <v>60000</v>
      </c>
      <c r="I238" s="796">
        <f t="shared" si="16"/>
        <v>60000</v>
      </c>
      <c r="K238" s="796">
        <f t="shared" si="17"/>
        <v>60000</v>
      </c>
      <c r="N238" s="171">
        <f t="shared" si="18"/>
        <v>60000</v>
      </c>
      <c r="O238" s="138" t="s">
        <v>23</v>
      </c>
      <c r="P238" s="23"/>
      <c r="Q238" s="138" t="s">
        <v>40</v>
      </c>
    </row>
    <row r="239" spans="1:17" s="797" customFormat="1" ht="15.6" hidden="1">
      <c r="A239" s="137">
        <v>44424</v>
      </c>
      <c r="B239" s="138" t="s">
        <v>313</v>
      </c>
      <c r="C239" s="146" t="s">
        <v>2304</v>
      </c>
      <c r="D239" s="793" t="s">
        <v>5698</v>
      </c>
      <c r="E239" s="805" t="s">
        <v>5699</v>
      </c>
      <c r="F239" s="805" t="s">
        <v>2311</v>
      </c>
      <c r="G239" s="141">
        <v>1</v>
      </c>
      <c r="H239" s="795">
        <v>76000</v>
      </c>
      <c r="I239" s="796">
        <f t="shared" si="16"/>
        <v>76000</v>
      </c>
      <c r="K239" s="796">
        <f t="shared" si="17"/>
        <v>76000</v>
      </c>
      <c r="L239" s="797">
        <v>33004</v>
      </c>
      <c r="N239" s="171">
        <f t="shared" si="18"/>
        <v>109004</v>
      </c>
      <c r="O239" s="138" t="s">
        <v>313</v>
      </c>
      <c r="P239" s="23"/>
      <c r="Q239" s="138" t="s">
        <v>40</v>
      </c>
    </row>
    <row r="240" spans="1:17" s="797" customFormat="1" ht="15.6" hidden="1">
      <c r="A240" s="137">
        <v>44424</v>
      </c>
      <c r="B240" s="138" t="s">
        <v>313</v>
      </c>
      <c r="C240" s="146" t="s">
        <v>2304</v>
      </c>
      <c r="D240" s="793" t="s">
        <v>5700</v>
      </c>
      <c r="E240" s="805" t="s">
        <v>5701</v>
      </c>
      <c r="F240" s="805" t="s">
        <v>2095</v>
      </c>
      <c r="G240" s="141">
        <v>1</v>
      </c>
      <c r="H240" s="795">
        <v>78500</v>
      </c>
      <c r="I240" s="796">
        <f t="shared" si="16"/>
        <v>78500</v>
      </c>
      <c r="K240" s="796">
        <f t="shared" si="17"/>
        <v>78500</v>
      </c>
      <c r="N240" s="171">
        <f t="shared" si="18"/>
        <v>78500</v>
      </c>
      <c r="O240" s="138" t="s">
        <v>313</v>
      </c>
      <c r="P240" s="36"/>
      <c r="Q240" s="138" t="s">
        <v>40</v>
      </c>
    </row>
    <row r="241" spans="1:17" s="797" customFormat="1" ht="15.6" hidden="1">
      <c r="A241" s="137">
        <v>44424</v>
      </c>
      <c r="B241" s="138" t="s">
        <v>313</v>
      </c>
      <c r="C241" s="146" t="s">
        <v>2304</v>
      </c>
      <c r="D241" s="793" t="s">
        <v>5702</v>
      </c>
      <c r="E241" s="805" t="s">
        <v>2094</v>
      </c>
      <c r="F241" s="805" t="s">
        <v>2095</v>
      </c>
      <c r="G241" s="141">
        <v>1</v>
      </c>
      <c r="H241" s="795">
        <v>74000</v>
      </c>
      <c r="I241" s="796">
        <f t="shared" si="16"/>
        <v>74000</v>
      </c>
      <c r="K241" s="796">
        <f t="shared" si="17"/>
        <v>74000</v>
      </c>
      <c r="N241" s="171">
        <f t="shared" si="18"/>
        <v>74000</v>
      </c>
      <c r="O241" s="138" t="s">
        <v>313</v>
      </c>
      <c r="P241" s="23"/>
      <c r="Q241" s="138" t="s">
        <v>40</v>
      </c>
    </row>
    <row r="242" spans="1:17" s="797" customFormat="1" ht="15.6" hidden="1">
      <c r="A242" s="137">
        <v>44424</v>
      </c>
      <c r="B242" s="138" t="s">
        <v>313</v>
      </c>
      <c r="C242" s="146" t="s">
        <v>2304</v>
      </c>
      <c r="D242" s="793" t="s">
        <v>5703</v>
      </c>
      <c r="E242" s="805" t="s">
        <v>4065</v>
      </c>
      <c r="F242" s="805" t="s">
        <v>4066</v>
      </c>
      <c r="G242" s="141">
        <v>1</v>
      </c>
      <c r="H242" s="795">
        <v>64000</v>
      </c>
      <c r="I242" s="796">
        <f t="shared" si="16"/>
        <v>64000</v>
      </c>
      <c r="K242" s="796">
        <f t="shared" si="17"/>
        <v>64000</v>
      </c>
      <c r="N242" s="171">
        <f t="shared" si="18"/>
        <v>64000</v>
      </c>
      <c r="O242" s="138" t="s">
        <v>313</v>
      </c>
      <c r="P242" s="23"/>
      <c r="Q242" s="138" t="s">
        <v>40</v>
      </c>
    </row>
    <row r="243" spans="1:17" s="797" customFormat="1" ht="15.6" hidden="1">
      <c r="A243" s="137">
        <v>44424</v>
      </c>
      <c r="B243" s="138" t="s">
        <v>313</v>
      </c>
      <c r="C243" s="146" t="s">
        <v>2304</v>
      </c>
      <c r="D243" s="793" t="s">
        <v>5704</v>
      </c>
      <c r="E243" s="805" t="s">
        <v>781</v>
      </c>
      <c r="F243" s="805" t="s">
        <v>782</v>
      </c>
      <c r="G243" s="141">
        <v>1</v>
      </c>
      <c r="H243" s="795">
        <v>57500</v>
      </c>
      <c r="I243" s="796">
        <f t="shared" si="16"/>
        <v>57500</v>
      </c>
      <c r="K243" s="796">
        <f t="shared" si="17"/>
        <v>57500</v>
      </c>
      <c r="N243" s="171">
        <f t="shared" si="18"/>
        <v>57500</v>
      </c>
      <c r="O243" s="138" t="s">
        <v>313</v>
      </c>
      <c r="P243" s="793"/>
      <c r="Q243" s="138" t="s">
        <v>40</v>
      </c>
    </row>
    <row r="244" spans="1:17" s="797" customFormat="1" ht="15.6" hidden="1">
      <c r="A244" s="137">
        <v>44424</v>
      </c>
      <c r="B244" s="138" t="s">
        <v>313</v>
      </c>
      <c r="C244" s="146" t="s">
        <v>2304</v>
      </c>
      <c r="D244" s="793" t="s">
        <v>5705</v>
      </c>
      <c r="E244" s="805" t="s">
        <v>3024</v>
      </c>
      <c r="F244" s="805" t="s">
        <v>4256</v>
      </c>
      <c r="G244" s="141">
        <v>1</v>
      </c>
      <c r="H244" s="795">
        <v>85000</v>
      </c>
      <c r="I244" s="796">
        <f t="shared" si="16"/>
        <v>85000</v>
      </c>
      <c r="K244" s="796">
        <f t="shared" si="17"/>
        <v>85000</v>
      </c>
      <c r="N244" s="171">
        <f t="shared" si="18"/>
        <v>85000</v>
      </c>
      <c r="O244" s="138" t="s">
        <v>313</v>
      </c>
      <c r="P244" s="36"/>
      <c r="Q244" s="138" t="s">
        <v>40</v>
      </c>
    </row>
    <row r="245" spans="1:17" s="797" customFormat="1" ht="15.6" hidden="1">
      <c r="A245" s="137">
        <v>44424</v>
      </c>
      <c r="B245" s="138" t="s">
        <v>313</v>
      </c>
      <c r="C245" s="146" t="s">
        <v>2304</v>
      </c>
      <c r="D245" s="793" t="s">
        <v>5706</v>
      </c>
      <c r="E245" s="805" t="s">
        <v>4644</v>
      </c>
      <c r="F245" s="805" t="s">
        <v>4645</v>
      </c>
      <c r="G245" s="141">
        <v>1</v>
      </c>
      <c r="H245" s="795">
        <v>78000</v>
      </c>
      <c r="I245" s="796">
        <f t="shared" si="16"/>
        <v>78000</v>
      </c>
      <c r="K245" s="796">
        <f t="shared" si="17"/>
        <v>78000</v>
      </c>
      <c r="N245" s="171">
        <f t="shared" si="18"/>
        <v>78000</v>
      </c>
      <c r="O245" s="138" t="s">
        <v>313</v>
      </c>
      <c r="P245" s="36"/>
      <c r="Q245" s="138" t="s">
        <v>40</v>
      </c>
    </row>
    <row r="246" spans="1:17" s="797" customFormat="1" ht="15.6" hidden="1">
      <c r="A246" s="137">
        <v>44424</v>
      </c>
      <c r="B246" s="138" t="s">
        <v>313</v>
      </c>
      <c r="C246" s="146" t="s">
        <v>2304</v>
      </c>
      <c r="D246" s="793" t="s">
        <v>5707</v>
      </c>
      <c r="E246" s="805" t="s">
        <v>5708</v>
      </c>
      <c r="F246" s="805" t="s">
        <v>5709</v>
      </c>
      <c r="G246" s="141">
        <v>1</v>
      </c>
      <c r="H246" s="795">
        <v>73500</v>
      </c>
      <c r="I246" s="796">
        <f t="shared" si="16"/>
        <v>73500</v>
      </c>
      <c r="K246" s="796">
        <f t="shared" si="17"/>
        <v>73500</v>
      </c>
      <c r="N246" s="171">
        <f t="shared" si="18"/>
        <v>73500</v>
      </c>
      <c r="O246" s="138" t="s">
        <v>313</v>
      </c>
      <c r="P246" s="36"/>
      <c r="Q246" s="138" t="s">
        <v>40</v>
      </c>
    </row>
    <row r="247" spans="1:17" s="797" customFormat="1" ht="15.6" hidden="1">
      <c r="A247" s="137">
        <v>44424</v>
      </c>
      <c r="B247" s="138" t="s">
        <v>313</v>
      </c>
      <c r="C247" s="146" t="s">
        <v>2304</v>
      </c>
      <c r="D247" s="793" t="s">
        <v>5710</v>
      </c>
      <c r="E247" s="805" t="s">
        <v>5711</v>
      </c>
      <c r="F247" s="805" t="s">
        <v>5712</v>
      </c>
      <c r="G247" s="141">
        <v>1</v>
      </c>
      <c r="H247" s="795">
        <v>59000</v>
      </c>
      <c r="I247" s="796">
        <f t="shared" si="16"/>
        <v>59000</v>
      </c>
      <c r="K247" s="796">
        <f t="shared" si="17"/>
        <v>59000</v>
      </c>
      <c r="N247" s="171">
        <f t="shared" si="18"/>
        <v>59000</v>
      </c>
      <c r="O247" s="138" t="s">
        <v>313</v>
      </c>
      <c r="P247" s="36"/>
      <c r="Q247" s="138" t="s">
        <v>40</v>
      </c>
    </row>
    <row r="248" spans="1:17" s="797" customFormat="1" ht="15.6" hidden="1">
      <c r="A248" s="137">
        <v>44424</v>
      </c>
      <c r="B248" s="138" t="s">
        <v>313</v>
      </c>
      <c r="C248" s="146" t="s">
        <v>2304</v>
      </c>
      <c r="D248" s="793" t="s">
        <v>5713</v>
      </c>
      <c r="E248" s="805" t="s">
        <v>2977</v>
      </c>
      <c r="F248" s="805" t="s">
        <v>5714</v>
      </c>
      <c r="G248" s="141">
        <v>1</v>
      </c>
      <c r="H248" s="795">
        <v>82000</v>
      </c>
      <c r="I248" s="796">
        <f t="shared" si="16"/>
        <v>82000</v>
      </c>
      <c r="K248" s="796">
        <f t="shared" si="17"/>
        <v>82000</v>
      </c>
      <c r="N248" s="171">
        <f t="shared" si="18"/>
        <v>82000</v>
      </c>
      <c r="O248" s="138" t="s">
        <v>313</v>
      </c>
      <c r="P248" s="36"/>
      <c r="Q248" s="138" t="s">
        <v>40</v>
      </c>
    </row>
    <row r="249" spans="1:17" s="797" customFormat="1" ht="15.6" hidden="1">
      <c r="A249" s="137">
        <v>44424</v>
      </c>
      <c r="B249" s="138" t="s">
        <v>313</v>
      </c>
      <c r="C249" s="146" t="s">
        <v>2304</v>
      </c>
      <c r="D249" s="793" t="s">
        <v>5715</v>
      </c>
      <c r="E249" s="806" t="s">
        <v>4932</v>
      </c>
      <c r="F249" s="806" t="s">
        <v>4933</v>
      </c>
      <c r="G249" s="141">
        <v>1</v>
      </c>
      <c r="H249" s="795">
        <v>117000</v>
      </c>
      <c r="I249" s="796">
        <f t="shared" si="16"/>
        <v>117000</v>
      </c>
      <c r="K249" s="796">
        <f t="shared" si="17"/>
        <v>117000</v>
      </c>
      <c r="N249" s="171">
        <f t="shared" si="18"/>
        <v>117000</v>
      </c>
      <c r="O249" s="138" t="s">
        <v>313</v>
      </c>
      <c r="P249" s="36"/>
      <c r="Q249" s="138" t="s">
        <v>40</v>
      </c>
    </row>
    <row r="250" spans="1:17" s="797" customFormat="1" ht="15.6">
      <c r="A250" s="137">
        <v>44424</v>
      </c>
      <c r="B250" s="138" t="s">
        <v>23</v>
      </c>
      <c r="C250" s="138" t="s">
        <v>431</v>
      </c>
      <c r="D250" s="793" t="s">
        <v>31</v>
      </c>
      <c r="E250" s="807" t="s">
        <v>2129</v>
      </c>
      <c r="F250" s="807" t="s">
        <v>2130</v>
      </c>
      <c r="G250" s="141">
        <v>1</v>
      </c>
      <c r="H250" s="795">
        <v>84000</v>
      </c>
      <c r="I250" s="796">
        <f t="shared" si="16"/>
        <v>84000</v>
      </c>
      <c r="J250" s="797">
        <f>I250*25%+40000</f>
        <v>61000</v>
      </c>
      <c r="K250" s="796">
        <f t="shared" si="17"/>
        <v>23000</v>
      </c>
      <c r="N250" s="171">
        <f t="shared" si="18"/>
        <v>23000</v>
      </c>
      <c r="O250" s="138" t="s">
        <v>23</v>
      </c>
      <c r="P250" s="793"/>
      <c r="Q250" s="138" t="s">
        <v>35</v>
      </c>
    </row>
    <row r="251" spans="1:17" s="797" customFormat="1" ht="15.6">
      <c r="A251" s="137">
        <v>44424</v>
      </c>
      <c r="B251" s="138" t="s">
        <v>23</v>
      </c>
      <c r="C251" s="138" t="s">
        <v>431</v>
      </c>
      <c r="D251" s="793" t="s">
        <v>31</v>
      </c>
      <c r="E251" s="807" t="s">
        <v>3729</v>
      </c>
      <c r="F251" s="807" t="s">
        <v>3730</v>
      </c>
      <c r="G251" s="141">
        <v>1</v>
      </c>
      <c r="H251" s="795">
        <v>84000</v>
      </c>
      <c r="I251" s="796">
        <f t="shared" si="16"/>
        <v>84000</v>
      </c>
      <c r="J251" s="797">
        <f t="shared" ref="J251:J252" si="19">I251*25%</f>
        <v>21000</v>
      </c>
      <c r="K251" s="796">
        <f t="shared" si="17"/>
        <v>63000</v>
      </c>
      <c r="N251" s="171">
        <f t="shared" si="18"/>
        <v>63000</v>
      </c>
      <c r="O251" s="138" t="s">
        <v>23</v>
      </c>
      <c r="P251" s="36"/>
      <c r="Q251" s="138" t="s">
        <v>35</v>
      </c>
    </row>
    <row r="252" spans="1:17" s="797" customFormat="1" ht="15.6">
      <c r="A252" s="137">
        <v>44424</v>
      </c>
      <c r="B252" s="138" t="s">
        <v>23</v>
      </c>
      <c r="C252" s="138" t="s">
        <v>431</v>
      </c>
      <c r="D252" s="793" t="s">
        <v>31</v>
      </c>
      <c r="E252" s="808" t="s">
        <v>3889</v>
      </c>
      <c r="F252" s="808" t="s">
        <v>3890</v>
      </c>
      <c r="G252" s="694">
        <v>1</v>
      </c>
      <c r="H252" s="795">
        <v>87000</v>
      </c>
      <c r="I252" s="796">
        <f t="shared" si="16"/>
        <v>87000</v>
      </c>
      <c r="J252" s="797">
        <f t="shared" si="19"/>
        <v>21750</v>
      </c>
      <c r="K252" s="796">
        <f t="shared" si="17"/>
        <v>65250</v>
      </c>
      <c r="N252" s="171">
        <f t="shared" si="18"/>
        <v>65250</v>
      </c>
      <c r="O252" s="138" t="s">
        <v>23</v>
      </c>
      <c r="P252" s="36"/>
      <c r="Q252" s="138" t="s">
        <v>35</v>
      </c>
    </row>
    <row r="253" spans="1:17" s="797" customFormat="1" ht="15.6" hidden="1">
      <c r="A253" s="137">
        <v>44426</v>
      </c>
      <c r="B253" s="138" t="s">
        <v>43</v>
      </c>
      <c r="C253" s="138" t="s">
        <v>5716</v>
      </c>
      <c r="D253" s="793" t="s">
        <v>5717</v>
      </c>
      <c r="E253" s="809" t="s">
        <v>4504</v>
      </c>
      <c r="F253" s="809" t="s">
        <v>3508</v>
      </c>
      <c r="G253" s="141">
        <v>1</v>
      </c>
      <c r="H253" s="795">
        <v>75000</v>
      </c>
      <c r="I253" s="796">
        <f t="shared" si="16"/>
        <v>75000</v>
      </c>
      <c r="K253" s="796">
        <f t="shared" si="17"/>
        <v>75000</v>
      </c>
      <c r="L253" s="797">
        <v>32000</v>
      </c>
      <c r="M253" s="797">
        <v>-9072</v>
      </c>
      <c r="N253" s="171">
        <f t="shared" si="18"/>
        <v>97928</v>
      </c>
      <c r="O253" s="138" t="s">
        <v>43</v>
      </c>
      <c r="P253" s="810"/>
      <c r="Q253" s="138" t="s">
        <v>54</v>
      </c>
    </row>
    <row r="254" spans="1:17" s="797" customFormat="1" ht="15.6" hidden="1">
      <c r="A254" s="137">
        <v>44426</v>
      </c>
      <c r="B254" s="138" t="s">
        <v>43</v>
      </c>
      <c r="C254" s="138" t="s">
        <v>5716</v>
      </c>
      <c r="D254" s="793" t="s">
        <v>5717</v>
      </c>
      <c r="E254" s="811" t="s">
        <v>5718</v>
      </c>
      <c r="F254" s="811" t="s">
        <v>5719</v>
      </c>
      <c r="G254" s="141">
        <v>1</v>
      </c>
      <c r="H254" s="795">
        <v>87000</v>
      </c>
      <c r="I254" s="796">
        <f t="shared" si="16"/>
        <v>87000</v>
      </c>
      <c r="K254" s="796">
        <f t="shared" si="17"/>
        <v>87000</v>
      </c>
      <c r="N254" s="171">
        <f t="shared" si="18"/>
        <v>87000</v>
      </c>
      <c r="O254" s="138" t="s">
        <v>43</v>
      </c>
      <c r="P254" s="810"/>
      <c r="Q254" s="138" t="s">
        <v>54</v>
      </c>
    </row>
    <row r="255" spans="1:17" s="797" customFormat="1" ht="15.6" hidden="1">
      <c r="A255" s="137">
        <v>44426</v>
      </c>
      <c r="B255" s="138" t="s">
        <v>43</v>
      </c>
      <c r="C255" s="146" t="s">
        <v>2020</v>
      </c>
      <c r="D255" s="793" t="s">
        <v>5720</v>
      </c>
      <c r="E255" s="798" t="s">
        <v>345</v>
      </c>
      <c r="F255" s="798" t="s">
        <v>1352</v>
      </c>
      <c r="G255" s="141">
        <v>1</v>
      </c>
      <c r="H255" s="795">
        <v>66000</v>
      </c>
      <c r="I255" s="796">
        <f t="shared" si="16"/>
        <v>66000</v>
      </c>
      <c r="J255" s="797">
        <f>I255*30%</f>
        <v>19800</v>
      </c>
      <c r="K255" s="796">
        <f t="shared" si="17"/>
        <v>46200</v>
      </c>
      <c r="L255" s="797">
        <v>8000</v>
      </c>
      <c r="M255" s="797">
        <v>-2587</v>
      </c>
      <c r="N255" s="171">
        <f t="shared" si="18"/>
        <v>51613</v>
      </c>
      <c r="O255" s="138" t="s">
        <v>43</v>
      </c>
      <c r="P255" s="810"/>
      <c r="Q255" s="138" t="s">
        <v>54</v>
      </c>
    </row>
    <row r="256" spans="1:17" s="797" customFormat="1" ht="15.6" hidden="1">
      <c r="A256" s="137">
        <v>44426</v>
      </c>
      <c r="B256" s="138" t="s">
        <v>43</v>
      </c>
      <c r="C256" s="146" t="s">
        <v>5721</v>
      </c>
      <c r="D256" s="793" t="s">
        <v>5722</v>
      </c>
      <c r="E256" s="794" t="s">
        <v>5723</v>
      </c>
      <c r="F256" s="794" t="s">
        <v>5724</v>
      </c>
      <c r="G256" s="141">
        <v>1</v>
      </c>
      <c r="H256" s="795">
        <v>89000</v>
      </c>
      <c r="I256" s="796">
        <f t="shared" si="16"/>
        <v>89000</v>
      </c>
      <c r="K256" s="796">
        <f t="shared" si="17"/>
        <v>89000</v>
      </c>
      <c r="L256" s="797">
        <v>14400</v>
      </c>
      <c r="M256" s="797">
        <v>-4984</v>
      </c>
      <c r="N256" s="171">
        <f t="shared" si="18"/>
        <v>98416</v>
      </c>
      <c r="O256" s="138" t="s">
        <v>43</v>
      </c>
      <c r="P256" s="810"/>
      <c r="Q256" s="138" t="s">
        <v>54</v>
      </c>
    </row>
    <row r="257" spans="1:19" s="797" customFormat="1" ht="15.6" hidden="1">
      <c r="A257" s="137">
        <v>44426</v>
      </c>
      <c r="B257" s="138" t="s">
        <v>206</v>
      </c>
      <c r="C257" s="146" t="s">
        <v>5725</v>
      </c>
      <c r="D257" s="793" t="s">
        <v>5726</v>
      </c>
      <c r="E257" s="798" t="s">
        <v>4734</v>
      </c>
      <c r="F257" s="798" t="s">
        <v>4735</v>
      </c>
      <c r="G257" s="141">
        <v>1</v>
      </c>
      <c r="H257" s="795">
        <v>43000</v>
      </c>
      <c r="I257" s="796">
        <f t="shared" si="16"/>
        <v>43000</v>
      </c>
      <c r="K257" s="796">
        <f t="shared" si="17"/>
        <v>43000</v>
      </c>
      <c r="L257" s="797">
        <v>72500</v>
      </c>
      <c r="N257" s="171">
        <f t="shared" si="18"/>
        <v>115500</v>
      </c>
      <c r="O257" s="138" t="s">
        <v>206</v>
      </c>
      <c r="P257" s="810"/>
      <c r="Q257" s="138" t="s">
        <v>40</v>
      </c>
    </row>
    <row r="258" spans="1:19" s="797" customFormat="1" ht="15.6" hidden="1">
      <c r="A258" s="137">
        <v>44426</v>
      </c>
      <c r="B258" s="138" t="s">
        <v>170</v>
      </c>
      <c r="C258" s="138" t="s">
        <v>5727</v>
      </c>
      <c r="D258" s="793" t="s">
        <v>5728</v>
      </c>
      <c r="E258" s="794" t="s">
        <v>1275</v>
      </c>
      <c r="F258" s="794" t="s">
        <v>68</v>
      </c>
      <c r="G258" s="141">
        <v>1</v>
      </c>
      <c r="H258" s="795">
        <v>65000</v>
      </c>
      <c r="I258" s="796">
        <f t="shared" si="16"/>
        <v>65000</v>
      </c>
      <c r="K258" s="796">
        <f t="shared" si="17"/>
        <v>65000</v>
      </c>
      <c r="L258" s="797">
        <f>20000-20000</f>
        <v>0</v>
      </c>
      <c r="N258" s="171">
        <f t="shared" si="18"/>
        <v>65000</v>
      </c>
      <c r="O258" s="138" t="s">
        <v>170</v>
      </c>
      <c r="P258" s="810"/>
      <c r="Q258" s="138" t="s">
        <v>54</v>
      </c>
    </row>
    <row r="259" spans="1:19" s="797" customFormat="1" ht="15.6" hidden="1">
      <c r="A259" s="137">
        <v>44426</v>
      </c>
      <c r="B259" s="138" t="s">
        <v>170</v>
      </c>
      <c r="C259" s="138" t="s">
        <v>5729</v>
      </c>
      <c r="D259" s="793" t="s">
        <v>5730</v>
      </c>
      <c r="E259" s="798" t="s">
        <v>5731</v>
      </c>
      <c r="F259" s="798" t="s">
        <v>5732</v>
      </c>
      <c r="G259" s="141">
        <v>1</v>
      </c>
      <c r="H259" s="795">
        <v>87000</v>
      </c>
      <c r="I259" s="796">
        <f t="shared" ref="I259:I285" si="20">H259*G259</f>
        <v>87000</v>
      </c>
      <c r="J259" s="797">
        <f>I259*20%</f>
        <v>17400</v>
      </c>
      <c r="K259" s="796">
        <f t="shared" ref="K259:K322" si="21">I259-J259</f>
        <v>69600</v>
      </c>
      <c r="L259" s="797">
        <v>7000</v>
      </c>
      <c r="N259" s="171">
        <f t="shared" ref="N259:N322" si="22">K259+L259+M259</f>
        <v>76600</v>
      </c>
      <c r="O259" s="138" t="s">
        <v>170</v>
      </c>
      <c r="P259" s="810"/>
      <c r="Q259" s="138" t="s">
        <v>28</v>
      </c>
    </row>
    <row r="260" spans="1:19" s="797" customFormat="1" ht="15.6" hidden="1">
      <c r="A260" s="137">
        <v>44426</v>
      </c>
      <c r="B260" s="138" t="s">
        <v>177</v>
      </c>
      <c r="C260" s="146" t="s">
        <v>5733</v>
      </c>
      <c r="D260" s="793" t="s">
        <v>5734</v>
      </c>
      <c r="E260" s="798" t="s">
        <v>1163</v>
      </c>
      <c r="F260" s="798" t="s">
        <v>1164</v>
      </c>
      <c r="G260" s="812">
        <v>1</v>
      </c>
      <c r="H260" s="795">
        <v>155000</v>
      </c>
      <c r="I260" s="796">
        <f t="shared" si="20"/>
        <v>155000</v>
      </c>
      <c r="K260" s="796">
        <f t="shared" si="21"/>
        <v>155000</v>
      </c>
      <c r="L260" s="797">
        <v>9500</v>
      </c>
      <c r="N260" s="171">
        <f t="shared" si="22"/>
        <v>164500</v>
      </c>
      <c r="O260" s="138" t="s">
        <v>177</v>
      </c>
      <c r="P260" s="810"/>
      <c r="Q260" s="138" t="s">
        <v>54</v>
      </c>
    </row>
    <row r="261" spans="1:19" s="797" customFormat="1" ht="15.6" hidden="1">
      <c r="A261" s="137">
        <v>44426</v>
      </c>
      <c r="B261" s="138" t="s">
        <v>177</v>
      </c>
      <c r="C261" s="146" t="s">
        <v>5735</v>
      </c>
      <c r="D261" s="793" t="s">
        <v>5736</v>
      </c>
      <c r="E261" s="798" t="s">
        <v>5099</v>
      </c>
      <c r="F261" s="798" t="s">
        <v>5100</v>
      </c>
      <c r="G261" s="141">
        <v>1</v>
      </c>
      <c r="H261" s="795">
        <v>83000</v>
      </c>
      <c r="I261" s="796">
        <f t="shared" si="20"/>
        <v>83000</v>
      </c>
      <c r="K261" s="796">
        <f t="shared" si="21"/>
        <v>83000</v>
      </c>
      <c r="L261" s="797">
        <v>3500</v>
      </c>
      <c r="N261" s="171">
        <f t="shared" si="22"/>
        <v>86500</v>
      </c>
      <c r="O261" s="138" t="s">
        <v>177</v>
      </c>
      <c r="P261" s="810"/>
      <c r="Q261" s="138" t="s">
        <v>54</v>
      </c>
    </row>
    <row r="262" spans="1:19" s="797" customFormat="1" ht="15.6" hidden="1">
      <c r="A262" s="137">
        <v>44426</v>
      </c>
      <c r="B262" s="138" t="s">
        <v>206</v>
      </c>
      <c r="C262" s="138" t="s">
        <v>5737</v>
      </c>
      <c r="D262" s="793" t="s">
        <v>5738</v>
      </c>
      <c r="E262" s="794" t="s">
        <v>3141</v>
      </c>
      <c r="F262" s="794" t="s">
        <v>3142</v>
      </c>
      <c r="G262" s="141">
        <v>1</v>
      </c>
      <c r="H262" s="795">
        <v>60500</v>
      </c>
      <c r="I262" s="796">
        <f t="shared" si="20"/>
        <v>60500</v>
      </c>
      <c r="K262" s="796">
        <f t="shared" si="21"/>
        <v>60500</v>
      </c>
      <c r="L262" s="797">
        <v>14000</v>
      </c>
      <c r="N262" s="171">
        <f t="shared" si="22"/>
        <v>74500</v>
      </c>
      <c r="O262" s="138" t="s">
        <v>206</v>
      </c>
      <c r="P262" s="810"/>
      <c r="Q262" s="138" t="s">
        <v>40</v>
      </c>
      <c r="S262" s="800"/>
    </row>
    <row r="263" spans="1:19" s="797" customFormat="1" ht="57.6">
      <c r="A263" s="137">
        <v>44426</v>
      </c>
      <c r="B263" s="138" t="s">
        <v>23</v>
      </c>
      <c r="C263" s="146" t="s">
        <v>5739</v>
      </c>
      <c r="D263" s="1100" t="s">
        <v>9434</v>
      </c>
      <c r="E263" s="801" t="s">
        <v>5740</v>
      </c>
      <c r="F263" s="801" t="s">
        <v>5741</v>
      </c>
      <c r="G263" s="141">
        <v>1</v>
      </c>
      <c r="H263" s="795">
        <v>82500</v>
      </c>
      <c r="I263" s="796">
        <f t="shared" si="20"/>
        <v>82500</v>
      </c>
      <c r="J263" s="797">
        <f>I263*30%</f>
        <v>24750</v>
      </c>
      <c r="K263" s="796">
        <f t="shared" si="21"/>
        <v>57750</v>
      </c>
      <c r="L263" s="797">
        <v>51000</v>
      </c>
      <c r="N263" s="171">
        <f t="shared" si="22"/>
        <v>108750</v>
      </c>
      <c r="O263" s="138" t="s">
        <v>23</v>
      </c>
      <c r="P263" s="810"/>
      <c r="Q263" s="138" t="s">
        <v>40</v>
      </c>
      <c r="S263" s="800"/>
    </row>
    <row r="264" spans="1:19" s="797" customFormat="1" ht="57.6">
      <c r="A264" s="137">
        <v>44426</v>
      </c>
      <c r="B264" s="138" t="s">
        <v>23</v>
      </c>
      <c r="C264" s="146" t="s">
        <v>5739</v>
      </c>
      <c r="D264" s="1100" t="s">
        <v>9434</v>
      </c>
      <c r="E264" s="799" t="s">
        <v>5575</v>
      </c>
      <c r="F264" s="799" t="s">
        <v>5576</v>
      </c>
      <c r="G264" s="141">
        <v>1</v>
      </c>
      <c r="H264" s="795">
        <v>160000</v>
      </c>
      <c r="I264" s="796">
        <f t="shared" si="20"/>
        <v>160000</v>
      </c>
      <c r="J264" s="797">
        <f t="shared" ref="J264:J270" si="23">I264*30%</f>
        <v>48000</v>
      </c>
      <c r="K264" s="796">
        <f t="shared" si="21"/>
        <v>112000</v>
      </c>
      <c r="N264" s="171">
        <f t="shared" si="22"/>
        <v>112000</v>
      </c>
      <c r="O264" s="138" t="s">
        <v>23</v>
      </c>
      <c r="P264" s="810"/>
      <c r="Q264" s="138" t="s">
        <v>40</v>
      </c>
      <c r="S264" s="800"/>
    </row>
    <row r="265" spans="1:19" s="797" customFormat="1" ht="57.6">
      <c r="A265" s="137">
        <v>44426</v>
      </c>
      <c r="B265" s="138" t="s">
        <v>23</v>
      </c>
      <c r="C265" s="146" t="s">
        <v>5739</v>
      </c>
      <c r="D265" s="1100" t="s">
        <v>9434</v>
      </c>
      <c r="E265" s="801" t="s">
        <v>3729</v>
      </c>
      <c r="F265" s="801" t="s">
        <v>3730</v>
      </c>
      <c r="G265" s="141">
        <v>1</v>
      </c>
      <c r="H265" s="795">
        <v>84000</v>
      </c>
      <c r="I265" s="796">
        <f t="shared" si="20"/>
        <v>84000</v>
      </c>
      <c r="J265" s="797">
        <f t="shared" si="23"/>
        <v>25200</v>
      </c>
      <c r="K265" s="796">
        <f t="shared" si="21"/>
        <v>58800</v>
      </c>
      <c r="N265" s="171">
        <f t="shared" si="22"/>
        <v>58800</v>
      </c>
      <c r="O265" s="138" t="s">
        <v>23</v>
      </c>
      <c r="P265" s="810"/>
      <c r="Q265" s="138" t="s">
        <v>40</v>
      </c>
      <c r="S265" s="800"/>
    </row>
    <row r="266" spans="1:19" s="797" customFormat="1" ht="57.6">
      <c r="A266" s="137">
        <v>44426</v>
      </c>
      <c r="B266" s="138" t="s">
        <v>23</v>
      </c>
      <c r="C266" s="146" t="s">
        <v>5739</v>
      </c>
      <c r="D266" s="1100" t="s">
        <v>9434</v>
      </c>
      <c r="E266" s="801" t="s">
        <v>3727</v>
      </c>
      <c r="F266" s="801" t="s">
        <v>3728</v>
      </c>
      <c r="G266" s="141">
        <v>1</v>
      </c>
      <c r="H266" s="795">
        <v>61000</v>
      </c>
      <c r="I266" s="796">
        <f t="shared" si="20"/>
        <v>61000</v>
      </c>
      <c r="J266" s="797">
        <f t="shared" si="23"/>
        <v>18300</v>
      </c>
      <c r="K266" s="796">
        <f t="shared" si="21"/>
        <v>42700</v>
      </c>
      <c r="N266" s="171">
        <f t="shared" si="22"/>
        <v>42700</v>
      </c>
      <c r="O266" s="138" t="s">
        <v>23</v>
      </c>
      <c r="P266" s="23"/>
      <c r="Q266" s="138" t="s">
        <v>40</v>
      </c>
    </row>
    <row r="267" spans="1:19" s="813" customFormat="1" ht="57.6">
      <c r="A267" s="137">
        <v>44426</v>
      </c>
      <c r="B267" s="138" t="s">
        <v>23</v>
      </c>
      <c r="C267" s="146" t="s">
        <v>5739</v>
      </c>
      <c r="D267" s="1100" t="s">
        <v>9434</v>
      </c>
      <c r="E267" s="801" t="s">
        <v>3451</v>
      </c>
      <c r="F267" s="801" t="s">
        <v>3452</v>
      </c>
      <c r="G267" s="141">
        <v>1</v>
      </c>
      <c r="H267" s="795">
        <v>86000</v>
      </c>
      <c r="I267" s="796">
        <f t="shared" si="20"/>
        <v>86000</v>
      </c>
      <c r="J267" s="797">
        <f t="shared" si="23"/>
        <v>25800</v>
      </c>
      <c r="K267" s="796">
        <f t="shared" si="21"/>
        <v>60200</v>
      </c>
      <c r="L267" s="797"/>
      <c r="M267" s="797"/>
      <c r="N267" s="171">
        <f t="shared" si="22"/>
        <v>60200</v>
      </c>
      <c r="O267" s="138" t="s">
        <v>23</v>
      </c>
      <c r="P267" s="23"/>
      <c r="Q267" s="138" t="s">
        <v>40</v>
      </c>
      <c r="R267" s="797"/>
      <c r="S267" s="797"/>
    </row>
    <row r="268" spans="1:19" s="813" customFormat="1" ht="57.6">
      <c r="A268" s="137">
        <v>44426</v>
      </c>
      <c r="B268" s="138" t="s">
        <v>23</v>
      </c>
      <c r="C268" s="146" t="s">
        <v>5739</v>
      </c>
      <c r="D268" s="1100" t="s">
        <v>9434</v>
      </c>
      <c r="E268" s="801" t="s">
        <v>5742</v>
      </c>
      <c r="F268" s="801" t="s">
        <v>5743</v>
      </c>
      <c r="G268" s="141">
        <v>1</v>
      </c>
      <c r="H268" s="795">
        <v>73500</v>
      </c>
      <c r="I268" s="796">
        <f t="shared" si="20"/>
        <v>73500</v>
      </c>
      <c r="J268" s="797">
        <f t="shared" si="23"/>
        <v>22050</v>
      </c>
      <c r="K268" s="796">
        <f t="shared" si="21"/>
        <v>51450</v>
      </c>
      <c r="L268" s="797"/>
      <c r="M268" s="797"/>
      <c r="N268" s="171">
        <f t="shared" si="22"/>
        <v>51450</v>
      </c>
      <c r="O268" s="138" t="s">
        <v>23</v>
      </c>
      <c r="P268" s="36"/>
      <c r="Q268" s="138" t="s">
        <v>40</v>
      </c>
      <c r="R268" s="797"/>
      <c r="S268" s="797"/>
    </row>
    <row r="269" spans="1:19" s="813" customFormat="1" ht="57.6">
      <c r="A269" s="137">
        <v>44426</v>
      </c>
      <c r="B269" s="138" t="s">
        <v>23</v>
      </c>
      <c r="C269" s="146" t="s">
        <v>5739</v>
      </c>
      <c r="D269" s="1100" t="s">
        <v>9434</v>
      </c>
      <c r="E269" s="801" t="s">
        <v>5744</v>
      </c>
      <c r="F269" s="801" t="s">
        <v>3734</v>
      </c>
      <c r="G269" s="141">
        <v>1</v>
      </c>
      <c r="H269" s="795">
        <v>99000</v>
      </c>
      <c r="I269" s="796">
        <f t="shared" si="20"/>
        <v>99000</v>
      </c>
      <c r="J269" s="797">
        <f t="shared" si="23"/>
        <v>29700</v>
      </c>
      <c r="K269" s="796">
        <f t="shared" si="21"/>
        <v>69300</v>
      </c>
      <c r="L269" s="797"/>
      <c r="M269" s="797"/>
      <c r="N269" s="171">
        <f t="shared" si="22"/>
        <v>69300</v>
      </c>
      <c r="O269" s="138" t="s">
        <v>23</v>
      </c>
      <c r="P269" s="23"/>
      <c r="Q269" s="138" t="s">
        <v>40</v>
      </c>
      <c r="R269" s="797"/>
      <c r="S269" s="797"/>
    </row>
    <row r="270" spans="1:19" s="813" customFormat="1" ht="57.6">
      <c r="A270" s="137">
        <v>44426</v>
      </c>
      <c r="B270" s="138" t="s">
        <v>23</v>
      </c>
      <c r="C270" s="146" t="s">
        <v>5739</v>
      </c>
      <c r="D270" s="1100" t="s">
        <v>9434</v>
      </c>
      <c r="E270" s="799" t="s">
        <v>5745</v>
      </c>
      <c r="F270" s="799" t="s">
        <v>2101</v>
      </c>
      <c r="G270" s="141">
        <v>1</v>
      </c>
      <c r="H270" s="795">
        <v>180000</v>
      </c>
      <c r="I270" s="796">
        <f t="shared" si="20"/>
        <v>180000</v>
      </c>
      <c r="J270" s="797">
        <f t="shared" si="23"/>
        <v>54000</v>
      </c>
      <c r="K270" s="796">
        <f t="shared" si="21"/>
        <v>126000</v>
      </c>
      <c r="L270" s="797"/>
      <c r="M270" s="797"/>
      <c r="N270" s="171">
        <f t="shared" si="22"/>
        <v>126000</v>
      </c>
      <c r="O270" s="138" t="s">
        <v>23</v>
      </c>
      <c r="P270" s="36"/>
      <c r="Q270" s="138" t="s">
        <v>40</v>
      </c>
      <c r="R270" s="797"/>
      <c r="S270" s="797"/>
    </row>
    <row r="271" spans="1:19" s="813" customFormat="1" ht="15.6" hidden="1">
      <c r="A271" s="137">
        <v>44426</v>
      </c>
      <c r="B271" s="138" t="s">
        <v>313</v>
      </c>
      <c r="C271" s="146" t="s">
        <v>5746</v>
      </c>
      <c r="D271" s="794" t="s">
        <v>5747</v>
      </c>
      <c r="E271" s="794" t="s">
        <v>5748</v>
      </c>
      <c r="F271" s="794" t="s">
        <v>5749</v>
      </c>
      <c r="G271" s="141">
        <v>1</v>
      </c>
      <c r="H271" s="795">
        <v>138000</v>
      </c>
      <c r="I271" s="796">
        <f t="shared" si="20"/>
        <v>138000</v>
      </c>
      <c r="K271" s="796">
        <f t="shared" si="21"/>
        <v>138000</v>
      </c>
      <c r="L271" s="797">
        <v>44056</v>
      </c>
      <c r="M271" s="797"/>
      <c r="N271" s="171">
        <f t="shared" si="22"/>
        <v>182056</v>
      </c>
      <c r="O271" s="138" t="s">
        <v>23</v>
      </c>
      <c r="P271" s="36"/>
      <c r="Q271" s="138" t="s">
        <v>54</v>
      </c>
      <c r="R271" s="797"/>
      <c r="S271" s="800"/>
    </row>
    <row r="272" spans="1:19" s="813" customFormat="1" ht="15.6">
      <c r="A272" s="137">
        <v>44426</v>
      </c>
      <c r="B272" s="138" t="s">
        <v>23</v>
      </c>
      <c r="C272" s="146" t="s">
        <v>5750</v>
      </c>
      <c r="D272" s="794" t="s">
        <v>5751</v>
      </c>
      <c r="E272" s="794" t="s">
        <v>5752</v>
      </c>
      <c r="F272" s="794" t="s">
        <v>5753</v>
      </c>
      <c r="G272" s="141">
        <v>1</v>
      </c>
      <c r="H272" s="795">
        <v>107000</v>
      </c>
      <c r="I272" s="796">
        <f t="shared" si="20"/>
        <v>107000</v>
      </c>
      <c r="K272" s="796">
        <f t="shared" si="21"/>
        <v>107000</v>
      </c>
      <c r="L272" s="797">
        <v>69000</v>
      </c>
      <c r="M272" s="797"/>
      <c r="N272" s="171">
        <f t="shared" si="22"/>
        <v>176000</v>
      </c>
      <c r="O272" s="138" t="s">
        <v>23</v>
      </c>
      <c r="P272" s="36"/>
      <c r="Q272" s="138" t="s">
        <v>54</v>
      </c>
      <c r="R272" s="797"/>
      <c r="S272" s="797"/>
    </row>
    <row r="273" spans="1:19" s="813" customFormat="1">
      <c r="A273" s="137">
        <v>44426</v>
      </c>
      <c r="B273" s="138" t="s">
        <v>23</v>
      </c>
      <c r="C273" s="138" t="s">
        <v>431</v>
      </c>
      <c r="D273" s="793" t="s">
        <v>31</v>
      </c>
      <c r="E273" s="811" t="s">
        <v>3881</v>
      </c>
      <c r="F273" s="811" t="s">
        <v>3882</v>
      </c>
      <c r="G273" s="141">
        <v>1</v>
      </c>
      <c r="H273" s="814">
        <v>59000</v>
      </c>
      <c r="I273" s="796">
        <f t="shared" si="20"/>
        <v>59000</v>
      </c>
      <c r="J273" s="813">
        <f>I273*25%+40000</f>
        <v>54750</v>
      </c>
      <c r="K273" s="796">
        <f t="shared" si="21"/>
        <v>4250</v>
      </c>
      <c r="L273" s="797"/>
      <c r="M273" s="797"/>
      <c r="N273" s="171">
        <f t="shared" si="22"/>
        <v>4250</v>
      </c>
      <c r="O273" s="138" t="s">
        <v>23</v>
      </c>
      <c r="P273" s="36"/>
      <c r="Q273" s="138" t="s">
        <v>35</v>
      </c>
      <c r="R273" s="797"/>
      <c r="S273" s="797"/>
    </row>
    <row r="274" spans="1:19" s="813" customFormat="1">
      <c r="A274" s="137">
        <v>44426</v>
      </c>
      <c r="B274" s="138" t="s">
        <v>23</v>
      </c>
      <c r="C274" s="138" t="s">
        <v>431</v>
      </c>
      <c r="D274" s="793" t="s">
        <v>31</v>
      </c>
      <c r="E274" s="809" t="s">
        <v>5619</v>
      </c>
      <c r="F274" s="809" t="s">
        <v>5620</v>
      </c>
      <c r="G274" s="141">
        <v>1</v>
      </c>
      <c r="H274" s="814">
        <v>74000</v>
      </c>
      <c r="I274" s="796">
        <f t="shared" si="20"/>
        <v>74000</v>
      </c>
      <c r="J274" s="813">
        <f t="shared" ref="J274:J278" si="24">I274*25%</f>
        <v>18500</v>
      </c>
      <c r="K274" s="796">
        <f t="shared" si="21"/>
        <v>55500</v>
      </c>
      <c r="L274" s="797"/>
      <c r="M274" s="797"/>
      <c r="N274" s="171">
        <f t="shared" si="22"/>
        <v>55500</v>
      </c>
      <c r="O274" s="138" t="s">
        <v>23</v>
      </c>
      <c r="P274" s="36"/>
      <c r="Q274" s="138" t="s">
        <v>35</v>
      </c>
      <c r="R274" s="797"/>
      <c r="S274" s="797"/>
    </row>
    <row r="275" spans="1:19" s="813" customFormat="1">
      <c r="A275" s="137">
        <v>44426</v>
      </c>
      <c r="B275" s="138" t="s">
        <v>23</v>
      </c>
      <c r="C275" s="138" t="s">
        <v>431</v>
      </c>
      <c r="D275" s="793" t="s">
        <v>31</v>
      </c>
      <c r="E275" s="809" t="s">
        <v>5312</v>
      </c>
      <c r="F275" s="809" t="s">
        <v>5313</v>
      </c>
      <c r="G275" s="141">
        <v>1</v>
      </c>
      <c r="H275" s="814">
        <v>68500</v>
      </c>
      <c r="I275" s="796">
        <f t="shared" si="20"/>
        <v>68500</v>
      </c>
      <c r="J275" s="813">
        <f t="shared" si="24"/>
        <v>17125</v>
      </c>
      <c r="K275" s="796">
        <f t="shared" si="21"/>
        <v>51375</v>
      </c>
      <c r="L275" s="797"/>
      <c r="M275" s="797"/>
      <c r="N275" s="171">
        <f t="shared" si="22"/>
        <v>51375</v>
      </c>
      <c r="O275" s="138" t="s">
        <v>23</v>
      </c>
      <c r="P275" s="23"/>
      <c r="Q275" s="138" t="s">
        <v>35</v>
      </c>
      <c r="R275" s="797"/>
      <c r="S275" s="797"/>
    </row>
    <row r="276" spans="1:19" s="815" customFormat="1">
      <c r="A276" s="137">
        <v>44426</v>
      </c>
      <c r="B276" s="138" t="s">
        <v>23</v>
      </c>
      <c r="C276" s="138" t="s">
        <v>431</v>
      </c>
      <c r="D276" s="793" t="s">
        <v>31</v>
      </c>
      <c r="E276" s="811" t="s">
        <v>4610</v>
      </c>
      <c r="F276" s="811" t="s">
        <v>4611</v>
      </c>
      <c r="G276" s="141">
        <v>1</v>
      </c>
      <c r="H276" s="814">
        <v>110000</v>
      </c>
      <c r="I276" s="796">
        <f t="shared" si="20"/>
        <v>110000</v>
      </c>
      <c r="J276" s="813">
        <f t="shared" si="24"/>
        <v>27500</v>
      </c>
      <c r="K276" s="796">
        <f t="shared" si="21"/>
        <v>82500</v>
      </c>
      <c r="N276" s="171">
        <f t="shared" si="22"/>
        <v>82500</v>
      </c>
      <c r="O276" s="138" t="s">
        <v>23</v>
      </c>
      <c r="P276" s="816"/>
      <c r="Q276" s="138" t="s">
        <v>35</v>
      </c>
    </row>
    <row r="277" spans="1:19" s="813" customFormat="1">
      <c r="A277" s="137">
        <v>44426</v>
      </c>
      <c r="B277" s="138" t="s">
        <v>23</v>
      </c>
      <c r="C277" s="138" t="s">
        <v>431</v>
      </c>
      <c r="D277" s="793" t="s">
        <v>31</v>
      </c>
      <c r="E277" s="811" t="s">
        <v>4186</v>
      </c>
      <c r="F277" s="811" t="s">
        <v>4187</v>
      </c>
      <c r="G277" s="141">
        <v>1</v>
      </c>
      <c r="H277" s="814">
        <v>118000</v>
      </c>
      <c r="I277" s="796">
        <f t="shared" si="20"/>
        <v>118000</v>
      </c>
      <c r="J277" s="813">
        <f t="shared" si="24"/>
        <v>29500</v>
      </c>
      <c r="K277" s="796">
        <f t="shared" si="21"/>
        <v>88500</v>
      </c>
      <c r="L277" s="797"/>
      <c r="M277" s="797"/>
      <c r="N277" s="171">
        <f t="shared" si="22"/>
        <v>88500</v>
      </c>
      <c r="O277" s="138" t="s">
        <v>23</v>
      </c>
      <c r="P277" s="36"/>
      <c r="Q277" s="138" t="s">
        <v>35</v>
      </c>
      <c r="R277" s="797"/>
      <c r="S277" s="797"/>
    </row>
    <row r="278" spans="1:19" s="813" customFormat="1">
      <c r="A278" s="137">
        <v>44426</v>
      </c>
      <c r="B278" s="138" t="s">
        <v>23</v>
      </c>
      <c r="C278" s="138" t="s">
        <v>431</v>
      </c>
      <c r="D278" s="793" t="s">
        <v>31</v>
      </c>
      <c r="E278" s="811" t="s">
        <v>5754</v>
      </c>
      <c r="F278" s="811" t="s">
        <v>1981</v>
      </c>
      <c r="G278" s="141">
        <v>1</v>
      </c>
      <c r="H278" s="817">
        <v>233000</v>
      </c>
      <c r="I278" s="796">
        <f t="shared" si="20"/>
        <v>233000</v>
      </c>
      <c r="J278" s="813">
        <f t="shared" si="24"/>
        <v>58250</v>
      </c>
      <c r="K278" s="796">
        <f t="shared" si="21"/>
        <v>174750</v>
      </c>
      <c r="L278" s="797"/>
      <c r="M278" s="797"/>
      <c r="N278" s="171">
        <f t="shared" si="22"/>
        <v>174750</v>
      </c>
      <c r="O278" s="138" t="s">
        <v>23</v>
      </c>
      <c r="P278" s="36"/>
      <c r="Q278" s="138" t="s">
        <v>35</v>
      </c>
      <c r="R278" s="797"/>
      <c r="S278" s="797"/>
    </row>
    <row r="279" spans="1:19" s="813" customFormat="1" hidden="1">
      <c r="A279" s="137">
        <v>44427</v>
      </c>
      <c r="B279" s="138" t="s">
        <v>206</v>
      </c>
      <c r="C279" s="146" t="s">
        <v>5755</v>
      </c>
      <c r="D279" s="794" t="s">
        <v>5756</v>
      </c>
      <c r="E279" s="798" t="s">
        <v>607</v>
      </c>
      <c r="F279" s="798" t="s">
        <v>608</v>
      </c>
      <c r="G279" s="141">
        <v>1</v>
      </c>
      <c r="H279" s="817">
        <v>90000</v>
      </c>
      <c r="I279" s="796">
        <f t="shared" si="20"/>
        <v>90000</v>
      </c>
      <c r="J279" s="797"/>
      <c r="K279" s="796">
        <f t="shared" si="21"/>
        <v>90000</v>
      </c>
      <c r="L279" s="797">
        <v>18500</v>
      </c>
      <c r="M279" s="797"/>
      <c r="N279" s="171">
        <f t="shared" si="22"/>
        <v>108500</v>
      </c>
      <c r="O279" s="138" t="s">
        <v>206</v>
      </c>
      <c r="P279" s="36"/>
      <c r="Q279" s="138" t="s">
        <v>54</v>
      </c>
      <c r="R279" s="797"/>
      <c r="S279" s="797"/>
    </row>
    <row r="280" spans="1:19" s="813" customFormat="1" hidden="1">
      <c r="A280" s="137">
        <v>44427</v>
      </c>
      <c r="B280" s="138" t="s">
        <v>43</v>
      </c>
      <c r="C280" s="138" t="s">
        <v>5757</v>
      </c>
      <c r="D280" s="793" t="s">
        <v>5758</v>
      </c>
      <c r="E280" s="794" t="s">
        <v>4546</v>
      </c>
      <c r="F280" s="794" t="s">
        <v>4547</v>
      </c>
      <c r="G280" s="141">
        <v>1</v>
      </c>
      <c r="H280" s="817">
        <v>78000</v>
      </c>
      <c r="I280" s="796">
        <f t="shared" si="20"/>
        <v>78000</v>
      </c>
      <c r="J280" s="797">
        <f>I280*30%</f>
        <v>23400</v>
      </c>
      <c r="K280" s="796">
        <f t="shared" si="21"/>
        <v>54600</v>
      </c>
      <c r="L280" s="797"/>
      <c r="M280" s="797">
        <v>-3058</v>
      </c>
      <c r="N280" s="171">
        <f t="shared" si="22"/>
        <v>51542</v>
      </c>
      <c r="O280" s="138" t="s">
        <v>43</v>
      </c>
      <c r="P280" s="36"/>
      <c r="Q280" s="138" t="s">
        <v>54</v>
      </c>
      <c r="R280" s="797"/>
      <c r="S280" s="797"/>
    </row>
    <row r="281" spans="1:19" s="813" customFormat="1" hidden="1">
      <c r="A281" s="137">
        <v>44427</v>
      </c>
      <c r="B281" s="138" t="s">
        <v>43</v>
      </c>
      <c r="C281" s="138" t="s">
        <v>5759</v>
      </c>
      <c r="D281" s="794" t="s">
        <v>5760</v>
      </c>
      <c r="E281" s="798" t="s">
        <v>4766</v>
      </c>
      <c r="F281" s="798" t="s">
        <v>4767</v>
      </c>
      <c r="G281" s="141">
        <v>1</v>
      </c>
      <c r="H281" s="817">
        <v>187000</v>
      </c>
      <c r="I281" s="796">
        <f t="shared" si="20"/>
        <v>187000</v>
      </c>
      <c r="J281" s="813">
        <f>I281*30%</f>
        <v>56100</v>
      </c>
      <c r="K281" s="796">
        <f t="shared" si="21"/>
        <v>130900</v>
      </c>
      <c r="L281" s="797"/>
      <c r="M281" s="797">
        <v>-7330</v>
      </c>
      <c r="N281" s="171">
        <f t="shared" si="22"/>
        <v>123570</v>
      </c>
      <c r="O281" s="138" t="s">
        <v>43</v>
      </c>
      <c r="P281" s="23"/>
      <c r="Q281" s="138" t="s">
        <v>54</v>
      </c>
      <c r="R281" s="797"/>
      <c r="S281" s="797"/>
    </row>
    <row r="282" spans="1:19" s="813" customFormat="1" hidden="1">
      <c r="A282" s="137">
        <v>44427</v>
      </c>
      <c r="B282" s="138" t="s">
        <v>43</v>
      </c>
      <c r="C282" s="138" t="s">
        <v>5761</v>
      </c>
      <c r="D282" s="794" t="s">
        <v>5762</v>
      </c>
      <c r="E282" s="794" t="s">
        <v>5763</v>
      </c>
      <c r="F282" s="794" t="s">
        <v>5764</v>
      </c>
      <c r="G282" s="141">
        <v>1</v>
      </c>
      <c r="H282" s="817">
        <v>108500</v>
      </c>
      <c r="I282" s="796">
        <f t="shared" si="20"/>
        <v>108500</v>
      </c>
      <c r="J282" s="813">
        <f>I282*30%</f>
        <v>32550</v>
      </c>
      <c r="K282" s="796">
        <f t="shared" si="21"/>
        <v>75950</v>
      </c>
      <c r="L282" s="797"/>
      <c r="M282" s="797">
        <v>-4253</v>
      </c>
      <c r="N282" s="171">
        <f t="shared" si="22"/>
        <v>71697</v>
      </c>
      <c r="O282" s="138" t="s">
        <v>43</v>
      </c>
      <c r="P282" s="36"/>
      <c r="Q282" s="138" t="s">
        <v>54</v>
      </c>
      <c r="R282" s="797"/>
      <c r="S282" s="797"/>
    </row>
    <row r="283" spans="1:19" s="797" customFormat="1" hidden="1">
      <c r="A283" s="137">
        <v>44427</v>
      </c>
      <c r="B283" s="138" t="s">
        <v>313</v>
      </c>
      <c r="C283" s="138" t="s">
        <v>5765</v>
      </c>
      <c r="D283" s="793" t="s">
        <v>5766</v>
      </c>
      <c r="E283" s="798" t="s">
        <v>5767</v>
      </c>
      <c r="F283" s="798" t="s">
        <v>5768</v>
      </c>
      <c r="G283" s="141">
        <v>1</v>
      </c>
      <c r="H283" s="817">
        <v>128000</v>
      </c>
      <c r="I283" s="796">
        <f t="shared" si="20"/>
        <v>128000</v>
      </c>
      <c r="K283" s="796">
        <f t="shared" si="21"/>
        <v>128000</v>
      </c>
      <c r="L283" s="797">
        <v>17001</v>
      </c>
      <c r="N283" s="171">
        <f t="shared" si="22"/>
        <v>145001</v>
      </c>
      <c r="O283" s="138" t="s">
        <v>313</v>
      </c>
      <c r="P283" s="23"/>
      <c r="Q283" s="138" t="s">
        <v>40</v>
      </c>
    </row>
    <row r="284" spans="1:19" s="797" customFormat="1">
      <c r="A284" s="137">
        <v>44427</v>
      </c>
      <c r="B284" s="138" t="s">
        <v>23</v>
      </c>
      <c r="C284" s="146" t="s">
        <v>5769</v>
      </c>
      <c r="D284" s="793" t="s">
        <v>5770</v>
      </c>
      <c r="E284" s="794" t="s">
        <v>5699</v>
      </c>
      <c r="F284" s="794" t="s">
        <v>2311</v>
      </c>
      <c r="G284" s="141">
        <v>1</v>
      </c>
      <c r="H284" s="817">
        <v>76000</v>
      </c>
      <c r="I284" s="796">
        <f t="shared" si="20"/>
        <v>76000</v>
      </c>
      <c r="K284" s="796">
        <f t="shared" si="21"/>
        <v>76000</v>
      </c>
      <c r="L284" s="797">
        <v>16000</v>
      </c>
      <c r="N284" s="171">
        <f t="shared" si="22"/>
        <v>92000</v>
      </c>
      <c r="O284" s="138" t="s">
        <v>23</v>
      </c>
      <c r="P284" s="23"/>
      <c r="Q284" s="138" t="s">
        <v>40</v>
      </c>
    </row>
    <row r="285" spans="1:19" s="797" customFormat="1">
      <c r="A285" s="137">
        <v>44427</v>
      </c>
      <c r="B285" s="138" t="s">
        <v>23</v>
      </c>
      <c r="C285" s="146" t="s">
        <v>5771</v>
      </c>
      <c r="D285" s="793" t="s">
        <v>5772</v>
      </c>
      <c r="E285" s="798" t="s">
        <v>5773</v>
      </c>
      <c r="F285" s="798" t="s">
        <v>1313</v>
      </c>
      <c r="G285" s="141">
        <v>1</v>
      </c>
      <c r="H285" s="817">
        <v>88000</v>
      </c>
      <c r="I285" s="796">
        <f t="shared" si="20"/>
        <v>88000</v>
      </c>
      <c r="J285" s="797">
        <f>I285*30%</f>
        <v>26400</v>
      </c>
      <c r="K285" s="796">
        <f t="shared" si="21"/>
        <v>61600</v>
      </c>
      <c r="L285" s="797">
        <v>45000</v>
      </c>
      <c r="N285" s="171">
        <f t="shared" si="22"/>
        <v>106600</v>
      </c>
      <c r="O285" s="138" t="s">
        <v>23</v>
      </c>
      <c r="P285" s="23"/>
      <c r="Q285" s="138" t="s">
        <v>40</v>
      </c>
    </row>
    <row r="286" spans="1:19" s="797" customFormat="1">
      <c r="A286" s="137">
        <v>44427</v>
      </c>
      <c r="B286" s="138" t="s">
        <v>23</v>
      </c>
      <c r="C286" s="138" t="s">
        <v>431</v>
      </c>
      <c r="D286" s="793" t="s">
        <v>31</v>
      </c>
      <c r="E286" s="811" t="s">
        <v>4653</v>
      </c>
      <c r="F286" s="811" t="s">
        <v>4654</v>
      </c>
      <c r="G286" s="141">
        <v>1</v>
      </c>
      <c r="H286" s="817">
        <v>107000</v>
      </c>
      <c r="I286" s="796">
        <f t="shared" ref="I286:I296" si="25">H286*G287</f>
        <v>107000</v>
      </c>
      <c r="J286" s="797">
        <f>I286*30%+40000</f>
        <v>72100</v>
      </c>
      <c r="K286" s="796">
        <f t="shared" si="21"/>
        <v>34900</v>
      </c>
      <c r="N286" s="171">
        <f t="shared" si="22"/>
        <v>34900</v>
      </c>
      <c r="O286" s="138" t="s">
        <v>23</v>
      </c>
      <c r="P286" s="36"/>
      <c r="Q286" s="138" t="s">
        <v>35</v>
      </c>
    </row>
    <row r="287" spans="1:19" s="797" customFormat="1">
      <c r="A287" s="137">
        <v>44427</v>
      </c>
      <c r="B287" s="138" t="s">
        <v>23</v>
      </c>
      <c r="C287" s="138" t="s">
        <v>431</v>
      </c>
      <c r="D287" s="793" t="s">
        <v>31</v>
      </c>
      <c r="E287" s="809" t="s">
        <v>5774</v>
      </c>
      <c r="F287" s="809" t="s">
        <v>5419</v>
      </c>
      <c r="G287" s="141">
        <v>1</v>
      </c>
      <c r="H287" s="817">
        <v>115500</v>
      </c>
      <c r="I287" s="796">
        <f t="shared" si="25"/>
        <v>115500</v>
      </c>
      <c r="J287" s="797">
        <f t="shared" ref="J287:J298" si="26">I287*30%</f>
        <v>34650</v>
      </c>
      <c r="K287" s="796">
        <f t="shared" si="21"/>
        <v>80850</v>
      </c>
      <c r="N287" s="171">
        <f t="shared" si="22"/>
        <v>80850</v>
      </c>
      <c r="O287" s="138" t="s">
        <v>23</v>
      </c>
      <c r="P287" s="793"/>
      <c r="Q287" s="138" t="s">
        <v>35</v>
      </c>
    </row>
    <row r="288" spans="1:19" s="797" customFormat="1">
      <c r="A288" s="137">
        <v>44427</v>
      </c>
      <c r="B288" s="138" t="s">
        <v>23</v>
      </c>
      <c r="C288" s="138" t="s">
        <v>431</v>
      </c>
      <c r="D288" s="793" t="s">
        <v>31</v>
      </c>
      <c r="E288" s="811" t="s">
        <v>5343</v>
      </c>
      <c r="F288" s="811" t="s">
        <v>5344</v>
      </c>
      <c r="G288" s="141">
        <v>1</v>
      </c>
      <c r="H288" s="817">
        <v>190000</v>
      </c>
      <c r="I288" s="796">
        <f t="shared" si="25"/>
        <v>190000</v>
      </c>
      <c r="J288" s="797">
        <f t="shared" si="26"/>
        <v>57000</v>
      </c>
      <c r="K288" s="796">
        <f t="shared" si="21"/>
        <v>133000</v>
      </c>
      <c r="N288" s="171">
        <f t="shared" si="22"/>
        <v>133000</v>
      </c>
      <c r="O288" s="138" t="s">
        <v>23</v>
      </c>
      <c r="P288" s="23"/>
      <c r="Q288" s="138" t="s">
        <v>35</v>
      </c>
    </row>
    <row r="289" spans="1:19" s="797" customFormat="1">
      <c r="A289" s="137">
        <v>44427</v>
      </c>
      <c r="B289" s="138" t="s">
        <v>23</v>
      </c>
      <c r="C289" s="138" t="s">
        <v>431</v>
      </c>
      <c r="D289" s="793" t="s">
        <v>31</v>
      </c>
      <c r="E289" s="811" t="s">
        <v>4186</v>
      </c>
      <c r="F289" s="811" t="s">
        <v>4187</v>
      </c>
      <c r="G289" s="141">
        <v>1</v>
      </c>
      <c r="H289" s="817">
        <v>118000</v>
      </c>
      <c r="I289" s="796">
        <f t="shared" si="25"/>
        <v>118000</v>
      </c>
      <c r="J289" s="797">
        <f t="shared" si="26"/>
        <v>35400</v>
      </c>
      <c r="K289" s="796">
        <f t="shared" si="21"/>
        <v>82600</v>
      </c>
      <c r="N289" s="171">
        <f t="shared" si="22"/>
        <v>82600</v>
      </c>
      <c r="O289" s="138" t="s">
        <v>23</v>
      </c>
      <c r="P289" s="36"/>
      <c r="Q289" s="138" t="s">
        <v>35</v>
      </c>
    </row>
    <row r="290" spans="1:19" s="797" customFormat="1">
      <c r="A290" s="137">
        <v>44427</v>
      </c>
      <c r="B290" s="138" t="s">
        <v>23</v>
      </c>
      <c r="C290" s="138" t="s">
        <v>431</v>
      </c>
      <c r="D290" s="793" t="s">
        <v>31</v>
      </c>
      <c r="E290" s="809" t="s">
        <v>1853</v>
      </c>
      <c r="F290" s="809" t="s">
        <v>1854</v>
      </c>
      <c r="G290" s="141">
        <v>1</v>
      </c>
      <c r="H290" s="817">
        <v>103000</v>
      </c>
      <c r="I290" s="796">
        <f t="shared" si="25"/>
        <v>103000</v>
      </c>
      <c r="J290" s="797">
        <f t="shared" si="26"/>
        <v>30900</v>
      </c>
      <c r="K290" s="796">
        <f t="shared" si="21"/>
        <v>72100</v>
      </c>
      <c r="N290" s="171">
        <f t="shared" si="22"/>
        <v>72100</v>
      </c>
      <c r="O290" s="138" t="s">
        <v>23</v>
      </c>
      <c r="P290" s="23"/>
      <c r="Q290" s="138" t="s">
        <v>35</v>
      </c>
    </row>
    <row r="291" spans="1:19" s="797" customFormat="1">
      <c r="A291" s="137">
        <v>44427</v>
      </c>
      <c r="B291" s="138" t="s">
        <v>23</v>
      </c>
      <c r="C291" s="138" t="s">
        <v>431</v>
      </c>
      <c r="D291" s="793" t="s">
        <v>31</v>
      </c>
      <c r="E291" s="811" t="s">
        <v>4610</v>
      </c>
      <c r="F291" s="811" t="s">
        <v>4611</v>
      </c>
      <c r="G291" s="141">
        <v>1</v>
      </c>
      <c r="H291" s="817">
        <v>110000</v>
      </c>
      <c r="I291" s="796">
        <f t="shared" si="25"/>
        <v>110000</v>
      </c>
      <c r="J291" s="797">
        <f t="shared" si="26"/>
        <v>33000</v>
      </c>
      <c r="K291" s="796">
        <f t="shared" si="21"/>
        <v>77000</v>
      </c>
      <c r="N291" s="171">
        <f t="shared" si="22"/>
        <v>77000</v>
      </c>
      <c r="O291" s="138" t="s">
        <v>23</v>
      </c>
      <c r="P291" s="36"/>
      <c r="Q291" s="138" t="s">
        <v>35</v>
      </c>
    </row>
    <row r="292" spans="1:19" s="797" customFormat="1">
      <c r="A292" s="137">
        <v>44427</v>
      </c>
      <c r="B292" s="138" t="s">
        <v>23</v>
      </c>
      <c r="C292" s="138" t="s">
        <v>431</v>
      </c>
      <c r="D292" s="793" t="s">
        <v>31</v>
      </c>
      <c r="E292" s="811" t="s">
        <v>5532</v>
      </c>
      <c r="F292" s="811" t="s">
        <v>5775</v>
      </c>
      <c r="G292" s="141">
        <v>1</v>
      </c>
      <c r="H292" s="817">
        <v>233000</v>
      </c>
      <c r="I292" s="796">
        <f t="shared" si="25"/>
        <v>233000</v>
      </c>
      <c r="J292" s="797">
        <f t="shared" si="26"/>
        <v>69900</v>
      </c>
      <c r="K292" s="796">
        <f t="shared" si="21"/>
        <v>163100</v>
      </c>
      <c r="N292" s="171">
        <f t="shared" si="22"/>
        <v>163100</v>
      </c>
      <c r="O292" s="138" t="s">
        <v>23</v>
      </c>
      <c r="P292" s="23"/>
      <c r="Q292" s="138" t="s">
        <v>35</v>
      </c>
    </row>
    <row r="293" spans="1:19" s="797" customFormat="1">
      <c r="A293" s="137">
        <v>44427</v>
      </c>
      <c r="B293" s="138" t="s">
        <v>23</v>
      </c>
      <c r="C293" s="138" t="s">
        <v>431</v>
      </c>
      <c r="D293" s="793" t="s">
        <v>31</v>
      </c>
      <c r="E293" s="809" t="s">
        <v>5312</v>
      </c>
      <c r="F293" s="809" t="s">
        <v>5313</v>
      </c>
      <c r="G293" s="141">
        <v>1</v>
      </c>
      <c r="H293" s="817">
        <v>68500</v>
      </c>
      <c r="I293" s="796">
        <f t="shared" si="25"/>
        <v>68500</v>
      </c>
      <c r="J293" s="797">
        <f t="shared" si="26"/>
        <v>20550</v>
      </c>
      <c r="K293" s="796">
        <f t="shared" si="21"/>
        <v>47950</v>
      </c>
      <c r="N293" s="171">
        <f t="shared" si="22"/>
        <v>47950</v>
      </c>
      <c r="O293" s="138" t="s">
        <v>23</v>
      </c>
      <c r="P293" s="36"/>
      <c r="Q293" s="138" t="s">
        <v>35</v>
      </c>
    </row>
    <row r="294" spans="1:19" s="797" customFormat="1">
      <c r="A294" s="137">
        <v>44427</v>
      </c>
      <c r="B294" s="138" t="s">
        <v>23</v>
      </c>
      <c r="C294" s="138" t="s">
        <v>431</v>
      </c>
      <c r="D294" s="793" t="s">
        <v>31</v>
      </c>
      <c r="E294" s="809" t="s">
        <v>5776</v>
      </c>
      <c r="F294" s="809" t="s">
        <v>5777</v>
      </c>
      <c r="G294" s="141">
        <v>1</v>
      </c>
      <c r="H294" s="817">
        <v>105000</v>
      </c>
      <c r="I294" s="796">
        <f t="shared" si="25"/>
        <v>105000</v>
      </c>
      <c r="J294" s="797">
        <f t="shared" si="26"/>
        <v>31500</v>
      </c>
      <c r="K294" s="796">
        <f t="shared" si="21"/>
        <v>73500</v>
      </c>
      <c r="N294" s="171">
        <f t="shared" si="22"/>
        <v>73500</v>
      </c>
      <c r="O294" s="138" t="s">
        <v>23</v>
      </c>
      <c r="P294" s="23"/>
      <c r="Q294" s="138" t="s">
        <v>35</v>
      </c>
    </row>
    <row r="295" spans="1:19" s="797" customFormat="1">
      <c r="A295" s="137">
        <v>44427</v>
      </c>
      <c r="B295" s="138" t="s">
        <v>23</v>
      </c>
      <c r="C295" s="138" t="s">
        <v>431</v>
      </c>
      <c r="D295" s="793" t="s">
        <v>31</v>
      </c>
      <c r="E295" s="809" t="s">
        <v>2422</v>
      </c>
      <c r="F295" s="809" t="s">
        <v>2423</v>
      </c>
      <c r="G295" s="141">
        <v>1</v>
      </c>
      <c r="H295" s="817">
        <v>83000</v>
      </c>
      <c r="I295" s="796">
        <f t="shared" si="25"/>
        <v>83000</v>
      </c>
      <c r="J295" s="797">
        <f t="shared" si="26"/>
        <v>24900</v>
      </c>
      <c r="K295" s="796">
        <f t="shared" si="21"/>
        <v>58100</v>
      </c>
      <c r="N295" s="171">
        <f t="shared" si="22"/>
        <v>58100</v>
      </c>
      <c r="O295" s="138" t="s">
        <v>23</v>
      </c>
      <c r="P295" s="36"/>
      <c r="Q295" s="138" t="s">
        <v>35</v>
      </c>
    </row>
    <row r="296" spans="1:19" s="797" customFormat="1">
      <c r="A296" s="137">
        <v>44427</v>
      </c>
      <c r="B296" s="138" t="s">
        <v>23</v>
      </c>
      <c r="C296" s="138" t="s">
        <v>431</v>
      </c>
      <c r="D296" s="793" t="s">
        <v>31</v>
      </c>
      <c r="E296" s="809" t="s">
        <v>5778</v>
      </c>
      <c r="F296" s="809" t="s">
        <v>5779</v>
      </c>
      <c r="G296" s="141">
        <v>1</v>
      </c>
      <c r="H296" s="817">
        <v>90000</v>
      </c>
      <c r="I296" s="796">
        <f t="shared" si="25"/>
        <v>90000</v>
      </c>
      <c r="J296" s="797">
        <f t="shared" si="26"/>
        <v>27000</v>
      </c>
      <c r="K296" s="796">
        <f t="shared" si="21"/>
        <v>63000</v>
      </c>
      <c r="N296" s="171">
        <f t="shared" si="22"/>
        <v>63000</v>
      </c>
      <c r="O296" s="138" t="s">
        <v>23</v>
      </c>
      <c r="P296" s="36"/>
      <c r="Q296" s="138" t="s">
        <v>35</v>
      </c>
    </row>
    <row r="297" spans="1:19" s="797" customFormat="1">
      <c r="A297" s="137">
        <v>44427</v>
      </c>
      <c r="B297" s="138" t="s">
        <v>23</v>
      </c>
      <c r="C297" s="138" t="s">
        <v>431</v>
      </c>
      <c r="D297" s="793" t="s">
        <v>31</v>
      </c>
      <c r="E297" s="811" t="s">
        <v>4655</v>
      </c>
      <c r="F297" s="811" t="s">
        <v>4656</v>
      </c>
      <c r="G297" s="141">
        <v>1</v>
      </c>
      <c r="H297" s="817">
        <v>200000</v>
      </c>
      <c r="I297" s="796">
        <f t="shared" ref="I297" si="27">H297*G298</f>
        <v>200000</v>
      </c>
      <c r="J297" s="797">
        <f t="shared" si="26"/>
        <v>60000</v>
      </c>
      <c r="K297" s="796">
        <f t="shared" si="21"/>
        <v>140000</v>
      </c>
      <c r="N297" s="171">
        <f t="shared" si="22"/>
        <v>140000</v>
      </c>
      <c r="O297" s="138" t="s">
        <v>23</v>
      </c>
      <c r="P297" s="36"/>
      <c r="Q297" s="138" t="s">
        <v>35</v>
      </c>
    </row>
    <row r="298" spans="1:19" s="797" customFormat="1">
      <c r="A298" s="137">
        <v>44427</v>
      </c>
      <c r="B298" s="138" t="s">
        <v>23</v>
      </c>
      <c r="C298" s="138" t="s">
        <v>431</v>
      </c>
      <c r="D298" s="793" t="s">
        <v>31</v>
      </c>
      <c r="E298" s="818" t="s">
        <v>5780</v>
      </c>
      <c r="F298" s="818" t="s">
        <v>5781</v>
      </c>
      <c r="G298" s="141">
        <v>1</v>
      </c>
      <c r="H298" s="817">
        <v>93000</v>
      </c>
      <c r="I298" s="796">
        <f>H298*G298</f>
        <v>93000</v>
      </c>
      <c r="J298" s="797">
        <f t="shared" si="26"/>
        <v>27900</v>
      </c>
      <c r="K298" s="796">
        <f t="shared" si="21"/>
        <v>65100</v>
      </c>
      <c r="N298" s="171">
        <f t="shared" si="22"/>
        <v>65100</v>
      </c>
      <c r="O298" s="138" t="s">
        <v>23</v>
      </c>
      <c r="P298" s="36"/>
      <c r="Q298" s="138" t="s">
        <v>35</v>
      </c>
    </row>
    <row r="299" spans="1:19" s="797" customFormat="1">
      <c r="A299" s="137">
        <v>44428</v>
      </c>
      <c r="B299" s="138" t="s">
        <v>23</v>
      </c>
      <c r="C299" s="146" t="s">
        <v>5782</v>
      </c>
      <c r="D299" s="793" t="s">
        <v>5783</v>
      </c>
      <c r="E299" s="794" t="s">
        <v>724</v>
      </c>
      <c r="F299" s="794" t="s">
        <v>5784</v>
      </c>
      <c r="G299" s="141">
        <v>1</v>
      </c>
      <c r="H299" s="817">
        <v>56000</v>
      </c>
      <c r="I299" s="796">
        <f>H299*G299</f>
        <v>56000</v>
      </c>
      <c r="J299" s="797">
        <f>I299*30%</f>
        <v>16800</v>
      </c>
      <c r="K299" s="796">
        <f t="shared" si="21"/>
        <v>39200</v>
      </c>
      <c r="L299" s="797">
        <v>86000</v>
      </c>
      <c r="N299" s="171">
        <f t="shared" si="22"/>
        <v>125200</v>
      </c>
      <c r="O299" s="138" t="s">
        <v>23</v>
      </c>
      <c r="P299" s="36"/>
      <c r="Q299" s="138" t="s">
        <v>40</v>
      </c>
      <c r="S299" s="800"/>
    </row>
    <row r="300" spans="1:19" s="797" customFormat="1">
      <c r="A300" s="137">
        <v>44428</v>
      </c>
      <c r="B300" s="138" t="s">
        <v>23</v>
      </c>
      <c r="C300" s="146" t="s">
        <v>5785</v>
      </c>
      <c r="D300" s="793" t="s">
        <v>5786</v>
      </c>
      <c r="E300" s="809" t="s">
        <v>2172</v>
      </c>
      <c r="F300" s="809" t="s">
        <v>2173</v>
      </c>
      <c r="G300" s="141">
        <v>1</v>
      </c>
      <c r="H300" s="817">
        <v>177000</v>
      </c>
      <c r="I300" s="796">
        <f t="shared" ref="I300:I330" si="28">H300*G300</f>
        <v>177000</v>
      </c>
      <c r="J300" s="797">
        <f>I300*30%</f>
        <v>53100</v>
      </c>
      <c r="K300" s="796">
        <f t="shared" si="21"/>
        <v>123900</v>
      </c>
      <c r="L300" s="797">
        <v>49000</v>
      </c>
      <c r="N300" s="171">
        <f t="shared" si="22"/>
        <v>172900</v>
      </c>
      <c r="O300" s="138" t="s">
        <v>23</v>
      </c>
      <c r="P300" s="36"/>
      <c r="Q300" s="138" t="s">
        <v>40</v>
      </c>
    </row>
    <row r="301" spans="1:19" s="797" customFormat="1">
      <c r="A301" s="137">
        <v>44428</v>
      </c>
      <c r="B301" s="138" t="s">
        <v>23</v>
      </c>
      <c r="C301" s="146" t="s">
        <v>5785</v>
      </c>
      <c r="D301" s="793" t="s">
        <v>5786</v>
      </c>
      <c r="E301" s="811" t="s">
        <v>5787</v>
      </c>
      <c r="F301" s="811" t="s">
        <v>5788</v>
      </c>
      <c r="G301" s="141">
        <v>1</v>
      </c>
      <c r="H301" s="817">
        <v>122000</v>
      </c>
      <c r="I301" s="796">
        <f t="shared" si="28"/>
        <v>122000</v>
      </c>
      <c r="J301" s="797">
        <f>I301*30%</f>
        <v>36600</v>
      </c>
      <c r="K301" s="796">
        <f t="shared" si="21"/>
        <v>85400</v>
      </c>
      <c r="N301" s="171">
        <f t="shared" si="22"/>
        <v>85400</v>
      </c>
      <c r="O301" s="138" t="s">
        <v>23</v>
      </c>
      <c r="P301" s="36"/>
      <c r="Q301" s="138" t="s">
        <v>40</v>
      </c>
    </row>
    <row r="302" spans="1:19" s="797" customFormat="1">
      <c r="A302" s="137">
        <v>44428</v>
      </c>
      <c r="B302" s="138" t="s">
        <v>23</v>
      </c>
      <c r="C302" s="146" t="s">
        <v>5789</v>
      </c>
      <c r="D302" s="793" t="s">
        <v>5790</v>
      </c>
      <c r="E302" s="794" t="s">
        <v>2743</v>
      </c>
      <c r="F302" s="794" t="s">
        <v>2744</v>
      </c>
      <c r="G302" s="141">
        <v>1</v>
      </c>
      <c r="H302" s="817">
        <v>118000</v>
      </c>
      <c r="I302" s="796">
        <f t="shared" si="28"/>
        <v>118000</v>
      </c>
      <c r="K302" s="796">
        <f t="shared" si="21"/>
        <v>118000</v>
      </c>
      <c r="L302" s="797">
        <v>10000</v>
      </c>
      <c r="N302" s="171">
        <f t="shared" si="22"/>
        <v>128000</v>
      </c>
      <c r="O302" s="138" t="s">
        <v>23</v>
      </c>
      <c r="P302" s="23"/>
      <c r="Q302" s="138" t="s">
        <v>40</v>
      </c>
    </row>
    <row r="303" spans="1:19" s="797" customFormat="1" hidden="1">
      <c r="A303" s="137">
        <v>44428</v>
      </c>
      <c r="B303" s="138" t="s">
        <v>170</v>
      </c>
      <c r="C303" s="146" t="s">
        <v>5791</v>
      </c>
      <c r="D303" s="793" t="s">
        <v>5792</v>
      </c>
      <c r="E303" s="794" t="s">
        <v>5569</v>
      </c>
      <c r="F303" s="794" t="s">
        <v>5570</v>
      </c>
      <c r="G303" s="694">
        <v>1</v>
      </c>
      <c r="H303" s="817">
        <v>97000</v>
      </c>
      <c r="I303" s="796">
        <f t="shared" si="28"/>
        <v>97000</v>
      </c>
      <c r="K303" s="796">
        <f t="shared" si="21"/>
        <v>97000</v>
      </c>
      <c r="L303" s="797">
        <f>34000-34000</f>
        <v>0</v>
      </c>
      <c r="N303" s="171">
        <f t="shared" si="22"/>
        <v>97000</v>
      </c>
      <c r="O303" s="138" t="s">
        <v>170</v>
      </c>
      <c r="P303" s="23"/>
      <c r="Q303" s="138" t="s">
        <v>54</v>
      </c>
    </row>
    <row r="304" spans="1:19" s="797" customFormat="1">
      <c r="A304" s="137">
        <v>44428</v>
      </c>
      <c r="B304" s="138" t="s">
        <v>23</v>
      </c>
      <c r="C304" s="146" t="s">
        <v>5793</v>
      </c>
      <c r="D304" s="793" t="s">
        <v>5794</v>
      </c>
      <c r="E304" s="794" t="s">
        <v>5426</v>
      </c>
      <c r="F304" s="794" t="s">
        <v>5427</v>
      </c>
      <c r="G304" s="141">
        <v>1</v>
      </c>
      <c r="H304" s="817">
        <v>105000</v>
      </c>
      <c r="I304" s="796">
        <f t="shared" si="28"/>
        <v>105000</v>
      </c>
      <c r="K304" s="796">
        <f t="shared" si="21"/>
        <v>105000</v>
      </c>
      <c r="L304" s="797">
        <v>16000</v>
      </c>
      <c r="N304" s="171">
        <f t="shared" si="22"/>
        <v>121000</v>
      </c>
      <c r="O304" s="138" t="s">
        <v>23</v>
      </c>
      <c r="P304" s="23"/>
      <c r="Q304" s="138" t="s">
        <v>40</v>
      </c>
    </row>
    <row r="305" spans="1:19" s="797" customFormat="1" hidden="1">
      <c r="A305" s="137">
        <v>44428</v>
      </c>
      <c r="B305" s="138" t="s">
        <v>177</v>
      </c>
      <c r="C305" s="146" t="s">
        <v>5795</v>
      </c>
      <c r="D305" s="793" t="s">
        <v>5796</v>
      </c>
      <c r="E305" s="798" t="s">
        <v>1387</v>
      </c>
      <c r="F305" s="798" t="s">
        <v>1388</v>
      </c>
      <c r="G305" s="141">
        <v>1</v>
      </c>
      <c r="H305" s="817">
        <v>79000</v>
      </c>
      <c r="I305" s="796">
        <f t="shared" si="28"/>
        <v>79000</v>
      </c>
      <c r="K305" s="796">
        <f t="shared" si="21"/>
        <v>79000</v>
      </c>
      <c r="L305" s="797">
        <v>5000</v>
      </c>
      <c r="N305" s="171">
        <f t="shared" si="22"/>
        <v>84000</v>
      </c>
      <c r="O305" s="138" t="s">
        <v>177</v>
      </c>
      <c r="P305" s="23"/>
      <c r="Q305" s="138" t="s">
        <v>54</v>
      </c>
    </row>
    <row r="306" spans="1:19" s="797" customFormat="1">
      <c r="A306" s="137">
        <v>44428</v>
      </c>
      <c r="B306" s="138" t="s">
        <v>23</v>
      </c>
      <c r="C306" s="146" t="s">
        <v>5797</v>
      </c>
      <c r="D306" s="793" t="s">
        <v>5798</v>
      </c>
      <c r="E306" s="798" t="s">
        <v>471</v>
      </c>
      <c r="F306" s="798" t="s">
        <v>472</v>
      </c>
      <c r="G306" s="819">
        <v>5</v>
      </c>
      <c r="H306" s="817">
        <v>111000</v>
      </c>
      <c r="I306" s="796">
        <f t="shared" si="28"/>
        <v>555000</v>
      </c>
      <c r="J306" s="797">
        <f>I306*30%</f>
        <v>166500</v>
      </c>
      <c r="K306" s="796">
        <f t="shared" si="21"/>
        <v>388500</v>
      </c>
      <c r="L306" s="797">
        <v>5000</v>
      </c>
      <c r="N306" s="171">
        <f t="shared" si="22"/>
        <v>393500</v>
      </c>
      <c r="O306" s="138" t="s">
        <v>23</v>
      </c>
      <c r="P306" s="23"/>
      <c r="Q306" s="138" t="s">
        <v>54</v>
      </c>
    </row>
    <row r="307" spans="1:19" s="797" customFormat="1">
      <c r="A307" s="137">
        <v>44428</v>
      </c>
      <c r="B307" s="138" t="s">
        <v>23</v>
      </c>
      <c r="C307" s="138" t="s">
        <v>5799</v>
      </c>
      <c r="D307" s="793" t="s">
        <v>5800</v>
      </c>
      <c r="E307" s="798" t="s">
        <v>971</v>
      </c>
      <c r="F307" s="798" t="s">
        <v>972</v>
      </c>
      <c r="G307" s="141">
        <v>1</v>
      </c>
      <c r="H307" s="817">
        <v>39000</v>
      </c>
      <c r="I307" s="796">
        <f t="shared" si="28"/>
        <v>39000</v>
      </c>
      <c r="K307" s="796">
        <f t="shared" si="21"/>
        <v>39000</v>
      </c>
      <c r="L307" s="797">
        <v>37000</v>
      </c>
      <c r="N307" s="171">
        <f t="shared" si="22"/>
        <v>76000</v>
      </c>
      <c r="O307" s="138" t="s">
        <v>23</v>
      </c>
      <c r="P307" s="36"/>
      <c r="Q307" s="138" t="s">
        <v>40</v>
      </c>
    </row>
    <row r="308" spans="1:19" s="797" customFormat="1">
      <c r="A308" s="137">
        <v>44428</v>
      </c>
      <c r="B308" s="138" t="s">
        <v>23</v>
      </c>
      <c r="C308" s="146" t="s">
        <v>5621</v>
      </c>
      <c r="D308" s="793" t="s">
        <v>5622</v>
      </c>
      <c r="E308" s="820" t="s">
        <v>2054</v>
      </c>
      <c r="F308" s="820" t="s">
        <v>2055</v>
      </c>
      <c r="G308" s="141">
        <v>1</v>
      </c>
      <c r="H308" s="817">
        <v>43000</v>
      </c>
      <c r="I308" s="796">
        <f t="shared" si="28"/>
        <v>43000</v>
      </c>
      <c r="J308" s="797">
        <f>I308*20%</f>
        <v>8600</v>
      </c>
      <c r="K308" s="796">
        <f t="shared" si="21"/>
        <v>34400</v>
      </c>
      <c r="L308" s="797">
        <v>60000</v>
      </c>
      <c r="N308" s="171">
        <f t="shared" si="22"/>
        <v>94400</v>
      </c>
      <c r="O308" s="138" t="s">
        <v>23</v>
      </c>
      <c r="P308" s="36"/>
      <c r="Q308" s="138" t="s">
        <v>40</v>
      </c>
      <c r="S308" s="800"/>
    </row>
    <row r="309" spans="1:19" s="797" customFormat="1">
      <c r="A309" s="137">
        <v>44428</v>
      </c>
      <c r="B309" s="138" t="s">
        <v>23</v>
      </c>
      <c r="C309" s="146" t="s">
        <v>5621</v>
      </c>
      <c r="D309" s="793" t="s">
        <v>5622</v>
      </c>
      <c r="E309" s="820" t="s">
        <v>1428</v>
      </c>
      <c r="F309" s="820" t="s">
        <v>1429</v>
      </c>
      <c r="G309" s="141">
        <v>3</v>
      </c>
      <c r="H309" s="817">
        <v>41000</v>
      </c>
      <c r="I309" s="796">
        <f t="shared" si="28"/>
        <v>123000</v>
      </c>
      <c r="J309" s="797">
        <f t="shared" ref="J309:J313" si="29">I309*20%</f>
        <v>24600</v>
      </c>
      <c r="K309" s="796">
        <f t="shared" si="21"/>
        <v>98400</v>
      </c>
      <c r="N309" s="171">
        <f t="shared" si="22"/>
        <v>98400</v>
      </c>
      <c r="O309" s="138" t="s">
        <v>23</v>
      </c>
      <c r="P309" s="36"/>
      <c r="Q309" s="138" t="s">
        <v>40</v>
      </c>
    </row>
    <row r="310" spans="1:19" s="797" customFormat="1">
      <c r="A310" s="137">
        <v>44428</v>
      </c>
      <c r="B310" s="138" t="s">
        <v>23</v>
      </c>
      <c r="C310" s="146" t="s">
        <v>5621</v>
      </c>
      <c r="D310" s="793" t="s">
        <v>5622</v>
      </c>
      <c r="E310" s="821" t="s">
        <v>5801</v>
      </c>
      <c r="F310" s="821" t="s">
        <v>5802</v>
      </c>
      <c r="G310" s="141">
        <v>1</v>
      </c>
      <c r="H310" s="817">
        <v>67000</v>
      </c>
      <c r="I310" s="796">
        <f t="shared" si="28"/>
        <v>67000</v>
      </c>
      <c r="J310" s="797">
        <f t="shared" si="29"/>
        <v>13400</v>
      </c>
      <c r="K310" s="796">
        <f t="shared" si="21"/>
        <v>53600</v>
      </c>
      <c r="N310" s="171">
        <f t="shared" si="22"/>
        <v>53600</v>
      </c>
      <c r="O310" s="138" t="s">
        <v>23</v>
      </c>
      <c r="P310" s="36"/>
      <c r="Q310" s="138" t="s">
        <v>40</v>
      </c>
    </row>
    <row r="311" spans="1:19" s="797" customFormat="1">
      <c r="A311" s="137">
        <v>44428</v>
      </c>
      <c r="B311" s="138" t="s">
        <v>23</v>
      </c>
      <c r="C311" s="146" t="s">
        <v>5621</v>
      </c>
      <c r="D311" s="793" t="s">
        <v>5622</v>
      </c>
      <c r="E311" s="820" t="s">
        <v>5803</v>
      </c>
      <c r="F311" s="820" t="s">
        <v>5804</v>
      </c>
      <c r="G311" s="141">
        <v>1</v>
      </c>
      <c r="H311" s="817">
        <v>82500</v>
      </c>
      <c r="I311" s="796">
        <f t="shared" si="28"/>
        <v>82500</v>
      </c>
      <c r="J311" s="797">
        <f t="shared" si="29"/>
        <v>16500</v>
      </c>
      <c r="K311" s="796">
        <f t="shared" si="21"/>
        <v>66000</v>
      </c>
      <c r="N311" s="171">
        <f t="shared" si="22"/>
        <v>66000</v>
      </c>
      <c r="O311" s="138" t="s">
        <v>23</v>
      </c>
      <c r="P311" s="36"/>
      <c r="Q311" s="138" t="s">
        <v>40</v>
      </c>
    </row>
    <row r="312" spans="1:19" s="797" customFormat="1">
      <c r="A312" s="137">
        <v>44428</v>
      </c>
      <c r="B312" s="138" t="s">
        <v>23</v>
      </c>
      <c r="C312" s="146" t="s">
        <v>5621</v>
      </c>
      <c r="D312" s="793" t="s">
        <v>5622</v>
      </c>
      <c r="E312" s="821" t="s">
        <v>3392</v>
      </c>
      <c r="F312" s="821" t="s">
        <v>5805</v>
      </c>
      <c r="G312" s="141">
        <v>1</v>
      </c>
      <c r="H312" s="817">
        <v>107000</v>
      </c>
      <c r="I312" s="796">
        <f t="shared" si="28"/>
        <v>107000</v>
      </c>
      <c r="J312" s="797">
        <f t="shared" si="29"/>
        <v>21400</v>
      </c>
      <c r="K312" s="796">
        <f t="shared" si="21"/>
        <v>85600</v>
      </c>
      <c r="N312" s="171">
        <f t="shared" si="22"/>
        <v>85600</v>
      </c>
      <c r="O312" s="138" t="s">
        <v>23</v>
      </c>
      <c r="P312" s="23"/>
      <c r="Q312" s="138" t="s">
        <v>40</v>
      </c>
    </row>
    <row r="313" spans="1:19" s="797" customFormat="1">
      <c r="A313" s="137">
        <v>44428</v>
      </c>
      <c r="B313" s="138" t="s">
        <v>23</v>
      </c>
      <c r="C313" s="146" t="s">
        <v>5621</v>
      </c>
      <c r="D313" s="793" t="s">
        <v>5622</v>
      </c>
      <c r="E313" s="822" t="s">
        <v>5806</v>
      </c>
      <c r="F313" s="822" t="s">
        <v>5807</v>
      </c>
      <c r="G313" s="141">
        <v>1</v>
      </c>
      <c r="H313" s="817">
        <v>95000</v>
      </c>
      <c r="I313" s="796">
        <f t="shared" si="28"/>
        <v>95000</v>
      </c>
      <c r="J313" s="797">
        <f t="shared" si="29"/>
        <v>19000</v>
      </c>
      <c r="K313" s="796">
        <f t="shared" si="21"/>
        <v>76000</v>
      </c>
      <c r="N313" s="171">
        <f t="shared" si="22"/>
        <v>76000</v>
      </c>
      <c r="O313" s="138" t="s">
        <v>23</v>
      </c>
      <c r="P313" s="23"/>
      <c r="Q313" s="138" t="s">
        <v>40</v>
      </c>
    </row>
    <row r="314" spans="1:19" s="797" customFormat="1" hidden="1">
      <c r="A314" s="137">
        <v>44428</v>
      </c>
      <c r="B314" s="138" t="s">
        <v>43</v>
      </c>
      <c r="C314" s="146" t="s">
        <v>5808</v>
      </c>
      <c r="D314" s="793" t="s">
        <v>5809</v>
      </c>
      <c r="E314" s="794" t="s">
        <v>403</v>
      </c>
      <c r="F314" s="794" t="s">
        <v>404</v>
      </c>
      <c r="G314" s="141">
        <v>1</v>
      </c>
      <c r="H314" s="817">
        <v>101500</v>
      </c>
      <c r="I314" s="796">
        <f t="shared" si="28"/>
        <v>101500</v>
      </c>
      <c r="J314" s="797">
        <f>I314*30%</f>
        <v>30450</v>
      </c>
      <c r="K314" s="796">
        <f t="shared" si="21"/>
        <v>71050</v>
      </c>
      <c r="L314" s="797">
        <v>8000</v>
      </c>
      <c r="M314" s="797">
        <v>-3979</v>
      </c>
      <c r="N314" s="171">
        <f t="shared" si="22"/>
        <v>75071</v>
      </c>
      <c r="O314" s="138" t="s">
        <v>43</v>
      </c>
      <c r="P314" s="23"/>
      <c r="Q314" s="138" t="s">
        <v>54</v>
      </c>
    </row>
    <row r="315" spans="1:19" s="797" customFormat="1" hidden="1">
      <c r="A315" s="137">
        <v>44428</v>
      </c>
      <c r="B315" s="138" t="s">
        <v>43</v>
      </c>
      <c r="C315" s="138" t="s">
        <v>5810</v>
      </c>
      <c r="D315" s="793" t="s">
        <v>5811</v>
      </c>
      <c r="E315" s="823" t="s">
        <v>339</v>
      </c>
      <c r="F315" s="823" t="s">
        <v>340</v>
      </c>
      <c r="G315" s="141">
        <v>1</v>
      </c>
      <c r="H315" s="817">
        <v>58500</v>
      </c>
      <c r="I315" s="796">
        <f t="shared" si="28"/>
        <v>58500</v>
      </c>
      <c r="J315" s="797">
        <f>I315*30%</f>
        <v>17550</v>
      </c>
      <c r="K315" s="796">
        <f t="shared" si="21"/>
        <v>40950</v>
      </c>
      <c r="M315" s="797">
        <v>-10290</v>
      </c>
      <c r="N315" s="171">
        <f t="shared" si="22"/>
        <v>30660</v>
      </c>
      <c r="O315" s="138" t="s">
        <v>43</v>
      </c>
      <c r="P315" s="23"/>
      <c r="Q315" s="138" t="s">
        <v>54</v>
      </c>
    </row>
    <row r="316" spans="1:19" s="797" customFormat="1" hidden="1">
      <c r="A316" s="137">
        <v>44428</v>
      </c>
      <c r="B316" s="138" t="s">
        <v>43</v>
      </c>
      <c r="C316" s="138" t="s">
        <v>5810</v>
      </c>
      <c r="D316" s="793" t="s">
        <v>5811</v>
      </c>
      <c r="E316" s="824" t="s">
        <v>5812</v>
      </c>
      <c r="F316" s="824" t="s">
        <v>5813</v>
      </c>
      <c r="G316" s="141">
        <v>1</v>
      </c>
      <c r="H316" s="817">
        <v>37000</v>
      </c>
      <c r="I316" s="796">
        <f t="shared" si="28"/>
        <v>37000</v>
      </c>
      <c r="J316" s="797">
        <f t="shared" ref="J316:J319" si="30">I316*30%</f>
        <v>11100</v>
      </c>
      <c r="K316" s="796">
        <f t="shared" si="21"/>
        <v>25900</v>
      </c>
      <c r="N316" s="171">
        <f t="shared" si="22"/>
        <v>25900</v>
      </c>
      <c r="O316" s="138" t="s">
        <v>43</v>
      </c>
      <c r="P316" s="23"/>
      <c r="Q316" s="138" t="s">
        <v>54</v>
      </c>
    </row>
    <row r="317" spans="1:19" s="797" customFormat="1" hidden="1">
      <c r="A317" s="137">
        <v>44428</v>
      </c>
      <c r="B317" s="138" t="s">
        <v>43</v>
      </c>
      <c r="C317" s="138" t="s">
        <v>5810</v>
      </c>
      <c r="D317" s="793" t="s">
        <v>5811</v>
      </c>
      <c r="E317" s="824" t="s">
        <v>4172</v>
      </c>
      <c r="F317" s="824" t="s">
        <v>4173</v>
      </c>
      <c r="G317" s="141">
        <v>1</v>
      </c>
      <c r="H317" s="817">
        <v>72000</v>
      </c>
      <c r="I317" s="796">
        <f t="shared" si="28"/>
        <v>72000</v>
      </c>
      <c r="J317" s="797">
        <f t="shared" si="30"/>
        <v>21600</v>
      </c>
      <c r="K317" s="796">
        <f t="shared" si="21"/>
        <v>50400</v>
      </c>
      <c r="N317" s="171">
        <f t="shared" si="22"/>
        <v>50400</v>
      </c>
      <c r="O317" s="138" t="s">
        <v>43</v>
      </c>
      <c r="P317" s="23"/>
      <c r="Q317" s="138" t="s">
        <v>54</v>
      </c>
    </row>
    <row r="318" spans="1:19" s="797" customFormat="1" hidden="1">
      <c r="A318" s="137">
        <v>44428</v>
      </c>
      <c r="B318" s="138" t="s">
        <v>43</v>
      </c>
      <c r="C318" s="138" t="s">
        <v>5810</v>
      </c>
      <c r="D318" s="793" t="s">
        <v>5811</v>
      </c>
      <c r="E318" s="823" t="s">
        <v>4485</v>
      </c>
      <c r="F318" s="823" t="s">
        <v>4486</v>
      </c>
      <c r="G318" s="141">
        <v>1</v>
      </c>
      <c r="H318" s="817">
        <v>56000</v>
      </c>
      <c r="I318" s="796">
        <f t="shared" si="28"/>
        <v>56000</v>
      </c>
      <c r="J318" s="797">
        <f t="shared" si="30"/>
        <v>16800</v>
      </c>
      <c r="K318" s="796">
        <f t="shared" si="21"/>
        <v>39200</v>
      </c>
      <c r="N318" s="171">
        <f t="shared" si="22"/>
        <v>39200</v>
      </c>
      <c r="O318" s="138" t="s">
        <v>43</v>
      </c>
      <c r="P318" s="36"/>
      <c r="Q318" s="138" t="s">
        <v>54</v>
      </c>
    </row>
    <row r="319" spans="1:19" s="797" customFormat="1" hidden="1">
      <c r="A319" s="137">
        <v>44428</v>
      </c>
      <c r="B319" s="138" t="s">
        <v>43</v>
      </c>
      <c r="C319" s="138" t="s">
        <v>5810</v>
      </c>
      <c r="D319" s="793" t="s">
        <v>5811</v>
      </c>
      <c r="E319" s="824" t="s">
        <v>5814</v>
      </c>
      <c r="F319" s="824" t="s">
        <v>5815</v>
      </c>
      <c r="G319" s="141">
        <v>1</v>
      </c>
      <c r="H319" s="817">
        <v>39000</v>
      </c>
      <c r="I319" s="796">
        <f t="shared" si="28"/>
        <v>39000</v>
      </c>
      <c r="J319" s="797">
        <f t="shared" si="30"/>
        <v>11700</v>
      </c>
      <c r="K319" s="796">
        <f t="shared" si="21"/>
        <v>27300</v>
      </c>
      <c r="N319" s="171">
        <f t="shared" si="22"/>
        <v>27300</v>
      </c>
      <c r="O319" s="138" t="s">
        <v>43</v>
      </c>
      <c r="P319" s="36"/>
      <c r="Q319" s="138" t="s">
        <v>54</v>
      </c>
    </row>
    <row r="320" spans="1:19" s="797" customFormat="1" hidden="1">
      <c r="A320" s="137">
        <v>44428</v>
      </c>
      <c r="B320" s="138" t="s">
        <v>170</v>
      </c>
      <c r="C320" s="146" t="s">
        <v>5816</v>
      </c>
      <c r="D320" s="793" t="s">
        <v>5792</v>
      </c>
      <c r="E320" s="798" t="s">
        <v>5817</v>
      </c>
      <c r="F320" s="798" t="s">
        <v>5818</v>
      </c>
      <c r="G320" s="141">
        <v>5</v>
      </c>
      <c r="H320" s="817">
        <v>68000</v>
      </c>
      <c r="I320" s="796">
        <f t="shared" si="28"/>
        <v>340000</v>
      </c>
      <c r="K320" s="796">
        <f t="shared" si="21"/>
        <v>340000</v>
      </c>
      <c r="L320" s="797">
        <f>34000-34000</f>
        <v>0</v>
      </c>
      <c r="N320" s="171">
        <f t="shared" si="22"/>
        <v>340000</v>
      </c>
      <c r="O320" s="138" t="s">
        <v>170</v>
      </c>
      <c r="P320" s="23"/>
      <c r="Q320" s="138" t="s">
        <v>40</v>
      </c>
    </row>
    <row r="321" spans="1:19" s="797" customFormat="1">
      <c r="A321" s="137">
        <v>44428</v>
      </c>
      <c r="B321" s="138" t="s">
        <v>23</v>
      </c>
      <c r="C321" s="146" t="s">
        <v>5819</v>
      </c>
      <c r="D321" s="793" t="s">
        <v>5820</v>
      </c>
      <c r="E321" s="794" t="s">
        <v>5821</v>
      </c>
      <c r="F321" s="794" t="s">
        <v>5822</v>
      </c>
      <c r="G321" s="141">
        <v>1</v>
      </c>
      <c r="H321" s="817">
        <v>107000</v>
      </c>
      <c r="I321" s="796">
        <f t="shared" si="28"/>
        <v>107000</v>
      </c>
      <c r="J321" s="797">
        <f>I321*30%</f>
        <v>32100</v>
      </c>
      <c r="K321" s="796">
        <f t="shared" si="21"/>
        <v>74900</v>
      </c>
      <c r="L321" s="797">
        <v>37000</v>
      </c>
      <c r="N321" s="171">
        <f t="shared" si="22"/>
        <v>111900</v>
      </c>
      <c r="O321" s="138" t="s">
        <v>23</v>
      </c>
      <c r="P321" s="23"/>
      <c r="Q321" s="138" t="s">
        <v>5823</v>
      </c>
    </row>
    <row r="322" spans="1:19" s="797" customFormat="1">
      <c r="A322" s="137">
        <v>44428</v>
      </c>
      <c r="B322" s="138" t="s">
        <v>23</v>
      </c>
      <c r="C322" s="146" t="s">
        <v>5824</v>
      </c>
      <c r="D322" s="793" t="s">
        <v>5825</v>
      </c>
      <c r="E322" s="809" t="s">
        <v>5826</v>
      </c>
      <c r="F322" s="809" t="s">
        <v>5827</v>
      </c>
      <c r="G322" s="141">
        <v>1</v>
      </c>
      <c r="H322" s="817">
        <v>78500</v>
      </c>
      <c r="I322" s="796">
        <f t="shared" si="28"/>
        <v>78500</v>
      </c>
      <c r="K322" s="796">
        <f t="shared" si="21"/>
        <v>78500</v>
      </c>
      <c r="L322" s="797">
        <v>19000</v>
      </c>
      <c r="N322" s="171">
        <f t="shared" si="22"/>
        <v>97500</v>
      </c>
      <c r="O322" s="138" t="s">
        <v>23</v>
      </c>
      <c r="P322" s="36"/>
      <c r="Q322" s="138" t="s">
        <v>40</v>
      </c>
    </row>
    <row r="323" spans="1:19" s="797" customFormat="1">
      <c r="A323" s="137">
        <v>44428</v>
      </c>
      <c r="B323" s="138" t="s">
        <v>23</v>
      </c>
      <c r="C323" s="146" t="s">
        <v>5824</v>
      </c>
      <c r="D323" s="793" t="s">
        <v>5825</v>
      </c>
      <c r="E323" s="809" t="s">
        <v>2114</v>
      </c>
      <c r="F323" s="809" t="s">
        <v>1858</v>
      </c>
      <c r="G323" s="141">
        <v>1</v>
      </c>
      <c r="H323" s="817">
        <v>58000</v>
      </c>
      <c r="I323" s="796">
        <f t="shared" si="28"/>
        <v>58000</v>
      </c>
      <c r="K323" s="796">
        <f t="shared" ref="K323:K330" si="31">I323-J323</f>
        <v>58000</v>
      </c>
      <c r="N323" s="171">
        <f t="shared" ref="N323:N330" si="32">K323+L323+M323</f>
        <v>58000</v>
      </c>
      <c r="O323" s="138" t="s">
        <v>23</v>
      </c>
      <c r="P323" s="36"/>
      <c r="Q323" s="138" t="s">
        <v>40</v>
      </c>
      <c r="S323" s="26"/>
    </row>
    <row r="324" spans="1:19" s="797" customFormat="1" hidden="1">
      <c r="A324" s="137">
        <v>44428</v>
      </c>
      <c r="B324" s="138" t="s">
        <v>170</v>
      </c>
      <c r="C324" s="825" t="s">
        <v>5828</v>
      </c>
      <c r="D324" s="26" t="s">
        <v>5829</v>
      </c>
      <c r="E324" s="794" t="s">
        <v>5830</v>
      </c>
      <c r="F324" s="794" t="s">
        <v>5831</v>
      </c>
      <c r="G324" s="141">
        <v>1</v>
      </c>
      <c r="H324" s="817">
        <v>86000</v>
      </c>
      <c r="I324" s="796">
        <f t="shared" si="28"/>
        <v>86000</v>
      </c>
      <c r="J324" s="797">
        <f>I324*20%</f>
        <v>17200</v>
      </c>
      <c r="K324" s="796">
        <f t="shared" si="31"/>
        <v>68800</v>
      </c>
      <c r="L324" s="797">
        <f>12000-12000</f>
        <v>0</v>
      </c>
      <c r="M324" s="797">
        <v>-344</v>
      </c>
      <c r="N324" s="171">
        <f t="shared" si="32"/>
        <v>68456</v>
      </c>
      <c r="O324" s="138" t="s">
        <v>170</v>
      </c>
      <c r="P324" s="36"/>
      <c r="Q324" s="138" t="s">
        <v>176</v>
      </c>
    </row>
    <row r="325" spans="1:19" s="797" customFormat="1" hidden="1">
      <c r="A325" s="137">
        <v>44431</v>
      </c>
      <c r="B325" s="138" t="s">
        <v>170</v>
      </c>
      <c r="C325" s="146" t="s">
        <v>5832</v>
      </c>
      <c r="D325" s="793" t="s">
        <v>5833</v>
      </c>
      <c r="E325" s="794" t="s">
        <v>1889</v>
      </c>
      <c r="F325" s="794" t="s">
        <v>1890</v>
      </c>
      <c r="G325" s="141">
        <v>1</v>
      </c>
      <c r="H325" s="817">
        <v>155000</v>
      </c>
      <c r="I325" s="796">
        <f t="shared" si="28"/>
        <v>155000</v>
      </c>
      <c r="J325" s="797">
        <f>I325*20%</f>
        <v>31000</v>
      </c>
      <c r="K325" s="796">
        <f t="shared" si="31"/>
        <v>124000</v>
      </c>
      <c r="L325" s="797">
        <f>69000-69000</f>
        <v>0</v>
      </c>
      <c r="N325" s="171">
        <f t="shared" si="32"/>
        <v>124000</v>
      </c>
      <c r="O325" s="138" t="s">
        <v>170</v>
      </c>
      <c r="P325" s="26"/>
      <c r="Q325" s="138" t="s">
        <v>176</v>
      </c>
      <c r="S325" s="26"/>
    </row>
    <row r="326" spans="1:19" s="797" customFormat="1" hidden="1">
      <c r="A326" s="137">
        <v>44431</v>
      </c>
      <c r="B326" s="138" t="s">
        <v>170</v>
      </c>
      <c r="C326" s="138" t="s">
        <v>5834</v>
      </c>
      <c r="D326" s="793" t="s">
        <v>5835</v>
      </c>
      <c r="E326" s="798" t="s">
        <v>325</v>
      </c>
      <c r="F326" s="798" t="s">
        <v>326</v>
      </c>
      <c r="G326" s="141">
        <v>1</v>
      </c>
      <c r="H326" s="817">
        <v>129000</v>
      </c>
      <c r="I326" s="796">
        <f t="shared" si="28"/>
        <v>129000</v>
      </c>
      <c r="J326" s="797">
        <f>I326*20%</f>
        <v>25800</v>
      </c>
      <c r="K326" s="796">
        <f t="shared" si="31"/>
        <v>103200</v>
      </c>
      <c r="L326" s="797">
        <f>25000-25000</f>
        <v>0</v>
      </c>
      <c r="N326" s="171">
        <f t="shared" si="32"/>
        <v>103200</v>
      </c>
      <c r="O326" s="138" t="s">
        <v>170</v>
      </c>
      <c r="P326" s="26"/>
      <c r="Q326" s="138" t="s">
        <v>176</v>
      </c>
      <c r="S326" s="26"/>
    </row>
    <row r="327" spans="1:19" s="797" customFormat="1" hidden="1">
      <c r="A327" s="137">
        <v>44431</v>
      </c>
      <c r="B327" s="138" t="s">
        <v>43</v>
      </c>
      <c r="C327" s="146" t="s">
        <v>5836</v>
      </c>
      <c r="D327" s="793" t="s">
        <v>5837</v>
      </c>
      <c r="E327" s="798" t="s">
        <v>3694</v>
      </c>
      <c r="F327" s="798" t="s">
        <v>1227</v>
      </c>
      <c r="G327" s="141">
        <v>1</v>
      </c>
      <c r="H327" s="817">
        <v>79000</v>
      </c>
      <c r="I327" s="796">
        <f t="shared" si="28"/>
        <v>79000</v>
      </c>
      <c r="J327" s="797">
        <f>I327*20%</f>
        <v>15800</v>
      </c>
      <c r="K327" s="796">
        <f t="shared" si="31"/>
        <v>63200</v>
      </c>
      <c r="L327" s="797">
        <v>1000</v>
      </c>
      <c r="M327" s="797">
        <v>-3539</v>
      </c>
      <c r="N327" s="171">
        <f t="shared" si="32"/>
        <v>60661</v>
      </c>
      <c r="O327" s="138" t="s">
        <v>43</v>
      </c>
      <c r="P327" s="36"/>
      <c r="Q327" s="138" t="s">
        <v>54</v>
      </c>
    </row>
    <row r="328" spans="1:19" s="797" customFormat="1" hidden="1">
      <c r="A328" s="137">
        <v>44431</v>
      </c>
      <c r="B328" s="138" t="s">
        <v>43</v>
      </c>
      <c r="C328" s="138" t="s">
        <v>5838</v>
      </c>
      <c r="D328" s="793" t="s">
        <v>5839</v>
      </c>
      <c r="E328" s="794" t="s">
        <v>5840</v>
      </c>
      <c r="F328" s="794" t="s">
        <v>5841</v>
      </c>
      <c r="G328" s="141">
        <v>1</v>
      </c>
      <c r="H328" s="817">
        <v>86000</v>
      </c>
      <c r="I328" s="796">
        <f t="shared" si="28"/>
        <v>86000</v>
      </c>
      <c r="J328" s="797">
        <f>I328*20%</f>
        <v>17200</v>
      </c>
      <c r="K328" s="796">
        <f t="shared" si="31"/>
        <v>68800</v>
      </c>
      <c r="M328" s="797">
        <v>-3853</v>
      </c>
      <c r="N328" s="171">
        <f t="shared" si="32"/>
        <v>64947</v>
      </c>
      <c r="O328" s="138" t="s">
        <v>43</v>
      </c>
      <c r="P328" s="36"/>
      <c r="Q328" s="138" t="s">
        <v>54</v>
      </c>
    </row>
    <row r="329" spans="1:19" s="797" customFormat="1" hidden="1">
      <c r="A329" s="137">
        <v>44431</v>
      </c>
      <c r="B329" s="138" t="s">
        <v>43</v>
      </c>
      <c r="C329" s="138" t="s">
        <v>5842</v>
      </c>
      <c r="D329" s="793" t="s">
        <v>5843</v>
      </c>
      <c r="E329" s="794" t="s">
        <v>2084</v>
      </c>
      <c r="F329" s="794" t="s">
        <v>2085</v>
      </c>
      <c r="G329" s="141">
        <v>1</v>
      </c>
      <c r="H329" s="817">
        <v>105000</v>
      </c>
      <c r="I329" s="796">
        <f t="shared" si="28"/>
        <v>105000</v>
      </c>
      <c r="K329" s="796">
        <f t="shared" si="31"/>
        <v>105000</v>
      </c>
      <c r="L329" s="797">
        <v>6000</v>
      </c>
      <c r="M329" s="797">
        <v>-5880</v>
      </c>
      <c r="N329" s="171">
        <f t="shared" si="32"/>
        <v>105120</v>
      </c>
      <c r="O329" s="138" t="s">
        <v>43</v>
      </c>
      <c r="P329" s="36"/>
      <c r="Q329" s="138" t="s">
        <v>54</v>
      </c>
    </row>
    <row r="330" spans="1:19" s="797" customFormat="1" hidden="1">
      <c r="A330" s="137">
        <v>44431</v>
      </c>
      <c r="B330" s="138" t="s">
        <v>313</v>
      </c>
      <c r="C330" s="138" t="s">
        <v>5844</v>
      </c>
      <c r="D330" s="793" t="s">
        <v>5845</v>
      </c>
      <c r="E330" s="794" t="s">
        <v>5846</v>
      </c>
      <c r="F330" s="794" t="s">
        <v>5847</v>
      </c>
      <c r="G330" s="141">
        <v>5</v>
      </c>
      <c r="H330" s="817">
        <v>101000</v>
      </c>
      <c r="I330" s="796">
        <f t="shared" si="28"/>
        <v>505000</v>
      </c>
      <c r="K330" s="796">
        <f t="shared" si="31"/>
        <v>505000</v>
      </c>
      <c r="L330" s="797">
        <v>17005</v>
      </c>
      <c r="N330" s="171">
        <f t="shared" si="32"/>
        <v>522005</v>
      </c>
      <c r="O330" s="138" t="s">
        <v>313</v>
      </c>
      <c r="P330" s="36"/>
      <c r="Q330" s="138" t="s">
        <v>28</v>
      </c>
    </row>
    <row r="331" spans="1:19" hidden="1">
      <c r="G331">
        <f>SUM(G2:G330)</f>
        <v>436</v>
      </c>
      <c r="K331" s="796">
        <f>SUM(K2:K330)</f>
        <v>37431750</v>
      </c>
    </row>
  </sheetData>
  <autoFilter ref="A1:W331" xr:uid="{00000000-0009-0000-0000-000007000000}">
    <filterColumn colId="1">
      <filters>
        <filter val="wa"/>
      </filters>
    </filterColumn>
  </autoFilter>
  <dataValidations count="1">
    <dataValidation type="list" allowBlank="1" showErrorMessage="1" sqref="Q1" xr:uid="{00000000-0002-0000-0700-000000000000}">
      <formula1>#REF!</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481"/>
  <sheetViews>
    <sheetView topLeftCell="A184" workbookViewId="0">
      <selection activeCell="D186" sqref="D186"/>
    </sheetView>
  </sheetViews>
  <sheetFormatPr defaultRowHeight="14.4"/>
  <cols>
    <col min="1" max="1" width="10.5546875" bestFit="1" customWidth="1"/>
  </cols>
  <sheetData>
    <row r="1" spans="1:23" s="826" customFormat="1" ht="14.25" customHeight="1">
      <c r="A1" s="411" t="s">
        <v>0</v>
      </c>
      <c r="B1" s="412" t="s">
        <v>4666</v>
      </c>
      <c r="C1" s="412" t="s">
        <v>4667</v>
      </c>
      <c r="D1" s="412" t="s">
        <v>3</v>
      </c>
      <c r="E1" s="412" t="s">
        <v>4</v>
      </c>
      <c r="F1" s="412" t="s">
        <v>5</v>
      </c>
      <c r="G1" s="414" t="s">
        <v>4668</v>
      </c>
      <c r="H1" s="416" t="s">
        <v>6</v>
      </c>
      <c r="I1" s="735" t="s">
        <v>8</v>
      </c>
      <c r="J1" s="416" t="s">
        <v>9</v>
      </c>
      <c r="K1" s="416" t="s">
        <v>10</v>
      </c>
      <c r="L1" s="416" t="s">
        <v>11</v>
      </c>
      <c r="M1" s="416" t="s">
        <v>12</v>
      </c>
      <c r="N1" s="416" t="s">
        <v>13</v>
      </c>
      <c r="O1" s="418" t="s">
        <v>14</v>
      </c>
      <c r="P1" s="419" t="s">
        <v>15</v>
      </c>
      <c r="Q1" s="412" t="s">
        <v>16</v>
      </c>
      <c r="R1" s="412" t="s">
        <v>17</v>
      </c>
      <c r="S1" s="414" t="s">
        <v>18</v>
      </c>
      <c r="T1" s="416" t="s">
        <v>19</v>
      </c>
      <c r="U1" s="416" t="s">
        <v>20</v>
      </c>
      <c r="V1" s="416" t="s">
        <v>21</v>
      </c>
      <c r="W1" s="418" t="s">
        <v>22</v>
      </c>
    </row>
    <row r="2" spans="1:23" s="20" customFormat="1" ht="14.25" customHeight="1">
      <c r="A2" s="9">
        <v>44432</v>
      </c>
      <c r="B2" s="91" t="s">
        <v>43</v>
      </c>
      <c r="C2" s="123" t="s">
        <v>5848</v>
      </c>
      <c r="D2" s="92" t="s">
        <v>5849</v>
      </c>
      <c r="E2" s="740" t="s">
        <v>5850</v>
      </c>
      <c r="F2" s="740" t="s">
        <v>5851</v>
      </c>
      <c r="G2" s="56">
        <v>1</v>
      </c>
      <c r="H2" s="17">
        <v>87000</v>
      </c>
      <c r="I2" s="17">
        <f t="shared" ref="I2:I65" si="0">H2*G2</f>
        <v>87000</v>
      </c>
      <c r="J2" s="17">
        <f>I2*20%</f>
        <v>17400</v>
      </c>
      <c r="K2" s="17">
        <f t="shared" ref="K2:K65" si="1">I2-J2</f>
        <v>69600</v>
      </c>
      <c r="L2" s="17"/>
      <c r="M2" s="17">
        <v>-3898</v>
      </c>
      <c r="N2" s="17">
        <f t="shared" ref="N2:N65" si="2">K2+L2+M2</f>
        <v>65702</v>
      </c>
      <c r="O2" s="91" t="s">
        <v>43</v>
      </c>
      <c r="P2" s="183"/>
      <c r="Q2" s="91" t="s">
        <v>54</v>
      </c>
      <c r="R2" s="17"/>
      <c r="S2" s="17"/>
      <c r="T2" s="17"/>
      <c r="U2" s="17"/>
      <c r="V2" s="17"/>
      <c r="W2" s="17"/>
    </row>
    <row r="3" spans="1:23" s="20" customFormat="1" ht="14.25" customHeight="1">
      <c r="A3" s="9">
        <v>44432</v>
      </c>
      <c r="B3" s="91" t="s">
        <v>43</v>
      </c>
      <c r="C3" s="91" t="s">
        <v>5852</v>
      </c>
      <c r="D3" s="92" t="s">
        <v>5853</v>
      </c>
      <c r="E3" s="740" t="s">
        <v>5854</v>
      </c>
      <c r="F3" s="740" t="s">
        <v>5855</v>
      </c>
      <c r="G3" s="56">
        <v>1</v>
      </c>
      <c r="H3" s="17">
        <v>64500</v>
      </c>
      <c r="I3" s="17">
        <f t="shared" si="0"/>
        <v>64500</v>
      </c>
      <c r="J3" s="17"/>
      <c r="K3" s="17">
        <f t="shared" si="1"/>
        <v>64500</v>
      </c>
      <c r="L3" s="17"/>
      <c r="M3" s="17">
        <v>-3612</v>
      </c>
      <c r="N3" s="17">
        <f t="shared" si="2"/>
        <v>60888</v>
      </c>
      <c r="O3" s="91" t="s">
        <v>43</v>
      </c>
      <c r="P3" s="72"/>
      <c r="Q3" s="91" t="s">
        <v>176</v>
      </c>
      <c r="R3" s="17"/>
      <c r="S3" s="17"/>
      <c r="T3" s="17"/>
      <c r="U3" s="17"/>
      <c r="V3" s="17"/>
      <c r="W3" s="17"/>
    </row>
    <row r="4" spans="1:23" s="20" customFormat="1" ht="14.25" customHeight="1">
      <c r="A4" s="9">
        <v>44432</v>
      </c>
      <c r="B4" s="91" t="s">
        <v>43</v>
      </c>
      <c r="C4" s="123" t="s">
        <v>5856</v>
      </c>
      <c r="D4" s="92" t="s">
        <v>5857</v>
      </c>
      <c r="E4" s="740" t="s">
        <v>5858</v>
      </c>
      <c r="F4" s="740" t="s">
        <v>5859</v>
      </c>
      <c r="G4" s="56">
        <v>1</v>
      </c>
      <c r="H4" s="17">
        <v>62000</v>
      </c>
      <c r="I4" s="17">
        <f t="shared" si="0"/>
        <v>62000</v>
      </c>
      <c r="J4" s="17">
        <f>I4*20%</f>
        <v>12400</v>
      </c>
      <c r="K4" s="17">
        <f t="shared" si="1"/>
        <v>49600</v>
      </c>
      <c r="L4" s="17"/>
      <c r="M4" s="17">
        <v>-2744</v>
      </c>
      <c r="N4" s="17">
        <f t="shared" si="2"/>
        <v>46856</v>
      </c>
      <c r="O4" s="91" t="s">
        <v>43</v>
      </c>
      <c r="P4" s="72"/>
      <c r="Q4" s="91" t="s">
        <v>54</v>
      </c>
      <c r="R4" s="17"/>
      <c r="S4" s="17"/>
      <c r="T4" s="17"/>
      <c r="U4" s="17"/>
      <c r="V4" s="17"/>
      <c r="W4" s="17"/>
    </row>
    <row r="5" spans="1:23" s="20" customFormat="1" ht="14.25" customHeight="1">
      <c r="A5" s="9">
        <v>44432</v>
      </c>
      <c r="B5" s="91" t="s">
        <v>206</v>
      </c>
      <c r="C5" s="123" t="s">
        <v>5860</v>
      </c>
      <c r="D5" s="92" t="s">
        <v>5861</v>
      </c>
      <c r="E5" s="758" t="s">
        <v>325</v>
      </c>
      <c r="F5" s="758" t="s">
        <v>326</v>
      </c>
      <c r="G5" s="56">
        <v>1</v>
      </c>
      <c r="H5" s="17">
        <v>129000</v>
      </c>
      <c r="I5" s="17">
        <f t="shared" si="0"/>
        <v>129000</v>
      </c>
      <c r="J5" s="17"/>
      <c r="K5" s="17">
        <f t="shared" si="1"/>
        <v>129000</v>
      </c>
      <c r="L5" s="17">
        <v>5600</v>
      </c>
      <c r="M5" s="17"/>
      <c r="N5" s="17">
        <f t="shared" si="2"/>
        <v>134600</v>
      </c>
      <c r="O5" s="91" t="s">
        <v>206</v>
      </c>
      <c r="P5" s="72"/>
      <c r="Q5" s="91" t="s">
        <v>176</v>
      </c>
      <c r="R5" s="17"/>
      <c r="S5" s="13"/>
      <c r="T5" s="17"/>
      <c r="U5" s="17"/>
      <c r="V5" s="17"/>
      <c r="W5" s="17"/>
    </row>
    <row r="6" spans="1:23" s="20" customFormat="1" ht="14.25" customHeight="1">
      <c r="A6" s="9">
        <v>44432</v>
      </c>
      <c r="B6" s="91" t="s">
        <v>206</v>
      </c>
      <c r="C6" s="123" t="s">
        <v>5862</v>
      </c>
      <c r="D6" s="92" t="s">
        <v>5863</v>
      </c>
      <c r="E6" s="828" t="s">
        <v>4904</v>
      </c>
      <c r="F6" s="828" t="s">
        <v>5864</v>
      </c>
      <c r="G6" s="56">
        <v>1</v>
      </c>
      <c r="H6" s="17">
        <v>74000</v>
      </c>
      <c r="I6" s="17">
        <f t="shared" si="0"/>
        <v>74000</v>
      </c>
      <c r="J6" s="17">
        <v>30000</v>
      </c>
      <c r="K6" s="17">
        <f t="shared" si="1"/>
        <v>44000</v>
      </c>
      <c r="L6" s="17">
        <v>8400</v>
      </c>
      <c r="M6" s="17"/>
      <c r="N6" s="17">
        <f t="shared" si="2"/>
        <v>52400</v>
      </c>
      <c r="O6" s="91" t="s">
        <v>206</v>
      </c>
      <c r="P6" s="72"/>
      <c r="Q6" s="91" t="s">
        <v>28</v>
      </c>
      <c r="R6" s="17"/>
      <c r="S6" s="17"/>
      <c r="T6" s="17"/>
      <c r="U6" s="17"/>
      <c r="V6" s="17"/>
      <c r="W6" s="17"/>
    </row>
    <row r="7" spans="1:23" s="20" customFormat="1" ht="14.25" customHeight="1">
      <c r="A7" s="9">
        <v>44432</v>
      </c>
      <c r="B7" s="91" t="s">
        <v>206</v>
      </c>
      <c r="C7" s="123" t="s">
        <v>5862</v>
      </c>
      <c r="D7" s="92" t="s">
        <v>5863</v>
      </c>
      <c r="E7" s="828" t="s">
        <v>5865</v>
      </c>
      <c r="F7" s="828" t="s">
        <v>5866</v>
      </c>
      <c r="G7" s="56">
        <v>1</v>
      </c>
      <c r="H7" s="17">
        <v>132000</v>
      </c>
      <c r="I7" s="17">
        <f t="shared" si="0"/>
        <v>132000</v>
      </c>
      <c r="J7" s="17"/>
      <c r="K7" s="17">
        <f t="shared" si="1"/>
        <v>132000</v>
      </c>
      <c r="L7" s="17"/>
      <c r="M7" s="17"/>
      <c r="N7" s="17">
        <f t="shared" si="2"/>
        <v>132000</v>
      </c>
      <c r="O7" s="91" t="s">
        <v>206</v>
      </c>
      <c r="P7" s="72"/>
      <c r="Q7" s="91" t="s">
        <v>28</v>
      </c>
      <c r="R7" s="17"/>
      <c r="S7" s="17"/>
      <c r="T7" s="17"/>
      <c r="U7" s="17"/>
      <c r="V7" s="17"/>
      <c r="W7" s="17"/>
    </row>
    <row r="8" spans="1:23" s="20" customFormat="1" ht="14.25" customHeight="1">
      <c r="A8" s="9">
        <v>44432</v>
      </c>
      <c r="B8" s="91" t="s">
        <v>206</v>
      </c>
      <c r="C8" s="123" t="s">
        <v>5862</v>
      </c>
      <c r="D8" s="92" t="s">
        <v>5863</v>
      </c>
      <c r="E8" s="828" t="s">
        <v>5867</v>
      </c>
      <c r="F8" s="828" t="s">
        <v>2353</v>
      </c>
      <c r="G8" s="56">
        <v>1</v>
      </c>
      <c r="H8" s="17">
        <v>116000</v>
      </c>
      <c r="I8" s="17">
        <f t="shared" si="0"/>
        <v>116000</v>
      </c>
      <c r="J8" s="17"/>
      <c r="K8" s="17">
        <f t="shared" si="1"/>
        <v>116000</v>
      </c>
      <c r="L8" s="17"/>
      <c r="M8" s="17"/>
      <c r="N8" s="17">
        <f t="shared" si="2"/>
        <v>116000</v>
      </c>
      <c r="O8" s="91" t="s">
        <v>206</v>
      </c>
      <c r="P8" s="72"/>
      <c r="Q8" s="91" t="s">
        <v>28</v>
      </c>
      <c r="R8" s="17"/>
      <c r="S8" s="17"/>
      <c r="T8" s="17"/>
      <c r="U8" s="17"/>
      <c r="V8" s="17"/>
      <c r="W8" s="17"/>
    </row>
    <row r="9" spans="1:23" s="20" customFormat="1" ht="14.25" customHeight="1">
      <c r="A9" s="9">
        <v>44432</v>
      </c>
      <c r="B9" s="91" t="s">
        <v>177</v>
      </c>
      <c r="C9" s="196">
        <v>81365345492</v>
      </c>
      <c r="D9" s="92" t="s">
        <v>5868</v>
      </c>
      <c r="E9" s="758" t="s">
        <v>1163</v>
      </c>
      <c r="F9" s="758" t="s">
        <v>1164</v>
      </c>
      <c r="G9" s="56">
        <v>1</v>
      </c>
      <c r="H9" s="17">
        <v>155000</v>
      </c>
      <c r="I9" s="17">
        <f t="shared" si="0"/>
        <v>155000</v>
      </c>
      <c r="J9" s="17">
        <f>I9*20%</f>
        <v>31000</v>
      </c>
      <c r="K9" s="17">
        <f t="shared" si="1"/>
        <v>124000</v>
      </c>
      <c r="L9" s="17">
        <v>44200</v>
      </c>
      <c r="M9" s="17"/>
      <c r="N9" s="17">
        <f t="shared" si="2"/>
        <v>168200</v>
      </c>
      <c r="O9" s="91" t="s">
        <v>177</v>
      </c>
      <c r="P9" s="72"/>
      <c r="Q9" s="91" t="s">
        <v>54</v>
      </c>
      <c r="R9" s="17"/>
      <c r="S9" s="17"/>
      <c r="T9" s="17"/>
      <c r="U9" s="17"/>
      <c r="V9" s="17"/>
      <c r="W9" s="17"/>
    </row>
    <row r="10" spans="1:23" s="20" customFormat="1" ht="14.25" customHeight="1">
      <c r="A10" s="9">
        <v>44432</v>
      </c>
      <c r="B10" s="91" t="s">
        <v>23</v>
      </c>
      <c r="C10" s="91" t="s">
        <v>5869</v>
      </c>
      <c r="D10" s="92" t="s">
        <v>5870</v>
      </c>
      <c r="E10" s="758" t="s">
        <v>5871</v>
      </c>
      <c r="F10" s="758" t="s">
        <v>1526</v>
      </c>
      <c r="G10" s="56">
        <v>1</v>
      </c>
      <c r="H10" s="17">
        <v>39000</v>
      </c>
      <c r="I10" s="17">
        <f t="shared" si="0"/>
        <v>39000</v>
      </c>
      <c r="J10" s="17">
        <f>I10*20%</f>
        <v>7800</v>
      </c>
      <c r="K10" s="17">
        <f t="shared" si="1"/>
        <v>31200</v>
      </c>
      <c r="L10" s="17">
        <v>16000</v>
      </c>
      <c r="M10" s="17"/>
      <c r="N10" s="17">
        <f t="shared" si="2"/>
        <v>47200</v>
      </c>
      <c r="O10" s="91" t="s">
        <v>23</v>
      </c>
      <c r="P10" s="72"/>
      <c r="Q10" s="91" t="s">
        <v>40</v>
      </c>
      <c r="R10" s="17"/>
      <c r="S10" s="17"/>
      <c r="T10" s="17"/>
      <c r="U10" s="17"/>
      <c r="V10" s="17"/>
      <c r="W10" s="17"/>
    </row>
    <row r="11" spans="1:23" s="20" customFormat="1" ht="14.25" customHeight="1">
      <c r="A11" s="9">
        <v>44432</v>
      </c>
      <c r="B11" s="91" t="s">
        <v>23</v>
      </c>
      <c r="C11" s="123" t="s">
        <v>5872</v>
      </c>
      <c r="D11" s="92" t="s">
        <v>5873</v>
      </c>
      <c r="E11" s="740" t="s">
        <v>233</v>
      </c>
      <c r="F11" s="740" t="s">
        <v>234</v>
      </c>
      <c r="G11" s="56">
        <v>1</v>
      </c>
      <c r="H11" s="17">
        <v>83500</v>
      </c>
      <c r="I11" s="17">
        <f t="shared" si="0"/>
        <v>83500</v>
      </c>
      <c r="J11" s="17">
        <f>I11*20%</f>
        <v>16700</v>
      </c>
      <c r="K11" s="17">
        <f t="shared" si="1"/>
        <v>66800</v>
      </c>
      <c r="L11" s="17">
        <v>7000</v>
      </c>
      <c r="M11" s="17"/>
      <c r="N11" s="17">
        <f t="shared" si="2"/>
        <v>73800</v>
      </c>
      <c r="O11" s="91" t="s">
        <v>23</v>
      </c>
      <c r="P11" s="183"/>
      <c r="Q11" s="91" t="s">
        <v>28</v>
      </c>
      <c r="R11" s="17"/>
      <c r="S11" s="17"/>
      <c r="T11" s="17"/>
      <c r="U11" s="17"/>
      <c r="V11" s="17"/>
      <c r="W11" s="17"/>
    </row>
    <row r="12" spans="1:23" s="20" customFormat="1" ht="14.25" customHeight="1">
      <c r="A12" s="9">
        <v>44432</v>
      </c>
      <c r="B12" s="91" t="s">
        <v>23</v>
      </c>
      <c r="C12" s="123" t="s">
        <v>5874</v>
      </c>
      <c r="D12" s="92" t="s">
        <v>5875</v>
      </c>
      <c r="E12" s="829" t="s">
        <v>5876</v>
      </c>
      <c r="F12" s="829" t="s">
        <v>5877</v>
      </c>
      <c r="G12" s="56">
        <v>1</v>
      </c>
      <c r="H12" s="17">
        <v>68500</v>
      </c>
      <c r="I12" s="17">
        <f t="shared" si="0"/>
        <v>68500</v>
      </c>
      <c r="J12" s="17"/>
      <c r="K12" s="17">
        <f t="shared" si="1"/>
        <v>68500</v>
      </c>
      <c r="L12" s="17">
        <v>72040</v>
      </c>
      <c r="M12" s="17"/>
      <c r="N12" s="17">
        <f t="shared" si="2"/>
        <v>140540</v>
      </c>
      <c r="O12" s="91" t="s">
        <v>23</v>
      </c>
      <c r="P12" s="72"/>
      <c r="Q12" s="91" t="s">
        <v>28</v>
      </c>
      <c r="R12" s="17"/>
      <c r="S12" s="17"/>
      <c r="T12" s="17"/>
      <c r="U12" s="17"/>
      <c r="V12" s="17"/>
      <c r="W12" s="17"/>
    </row>
    <row r="13" spans="1:23" s="20" customFormat="1" ht="14.25" customHeight="1">
      <c r="A13" s="9">
        <v>44432</v>
      </c>
      <c r="B13" s="91" t="s">
        <v>23</v>
      </c>
      <c r="C13" s="123" t="s">
        <v>5874</v>
      </c>
      <c r="D13" s="92" t="s">
        <v>5875</v>
      </c>
      <c r="E13" s="830" t="s">
        <v>5081</v>
      </c>
      <c r="F13" s="830" t="s">
        <v>5082</v>
      </c>
      <c r="G13" s="56">
        <v>1</v>
      </c>
      <c r="H13" s="17">
        <v>24800</v>
      </c>
      <c r="I13" s="17">
        <f t="shared" si="0"/>
        <v>24800</v>
      </c>
      <c r="J13" s="17"/>
      <c r="K13" s="17">
        <f t="shared" si="1"/>
        <v>24800</v>
      </c>
      <c r="L13" s="17"/>
      <c r="M13" s="17"/>
      <c r="N13" s="17">
        <f t="shared" si="2"/>
        <v>24800</v>
      </c>
      <c r="O13" s="91" t="s">
        <v>23</v>
      </c>
      <c r="P13" s="183"/>
      <c r="Q13" s="91" t="s">
        <v>28</v>
      </c>
      <c r="R13" s="17"/>
      <c r="S13" s="13"/>
      <c r="T13" s="17"/>
      <c r="U13" s="17"/>
      <c r="V13" s="17"/>
      <c r="W13" s="17"/>
    </row>
    <row r="14" spans="1:23" s="20" customFormat="1" ht="14.25" customHeight="1">
      <c r="A14" s="9">
        <v>44432</v>
      </c>
      <c r="B14" s="91" t="s">
        <v>23</v>
      </c>
      <c r="C14" s="123" t="s">
        <v>5874</v>
      </c>
      <c r="D14" s="92" t="s">
        <v>5875</v>
      </c>
      <c r="E14" s="829" t="s">
        <v>5878</v>
      </c>
      <c r="F14" s="829" t="s">
        <v>905</v>
      </c>
      <c r="G14" s="56">
        <v>1</v>
      </c>
      <c r="H14" s="17">
        <v>81000</v>
      </c>
      <c r="I14" s="17">
        <f t="shared" si="0"/>
        <v>81000</v>
      </c>
      <c r="J14" s="17"/>
      <c r="K14" s="17">
        <f t="shared" si="1"/>
        <v>81000</v>
      </c>
      <c r="L14" s="17"/>
      <c r="M14" s="17"/>
      <c r="N14" s="17">
        <f t="shared" si="2"/>
        <v>81000</v>
      </c>
      <c r="O14" s="91" t="s">
        <v>23</v>
      </c>
      <c r="P14" s="183"/>
      <c r="Q14" s="91" t="s">
        <v>28</v>
      </c>
      <c r="R14" s="17"/>
      <c r="S14" s="13"/>
      <c r="T14" s="17"/>
      <c r="U14" s="17"/>
      <c r="V14" s="17"/>
      <c r="W14" s="17"/>
    </row>
    <row r="15" spans="1:23" s="20" customFormat="1" ht="14.25" customHeight="1">
      <c r="A15" s="9">
        <v>44432</v>
      </c>
      <c r="B15" s="91" t="s">
        <v>23</v>
      </c>
      <c r="C15" s="123" t="s">
        <v>5874</v>
      </c>
      <c r="D15" s="92" t="s">
        <v>5875</v>
      </c>
      <c r="E15" s="830" t="s">
        <v>5879</v>
      </c>
      <c r="F15" s="830" t="s">
        <v>5880</v>
      </c>
      <c r="G15" s="56">
        <v>1</v>
      </c>
      <c r="H15" s="17">
        <v>83000</v>
      </c>
      <c r="I15" s="17">
        <f t="shared" si="0"/>
        <v>83000</v>
      </c>
      <c r="J15" s="17"/>
      <c r="K15" s="17">
        <f t="shared" si="1"/>
        <v>83000</v>
      </c>
      <c r="L15" s="17"/>
      <c r="M15" s="17"/>
      <c r="N15" s="17">
        <f t="shared" si="2"/>
        <v>83000</v>
      </c>
      <c r="O15" s="91" t="s">
        <v>23</v>
      </c>
      <c r="P15" s="183"/>
      <c r="Q15" s="91" t="s">
        <v>28</v>
      </c>
      <c r="R15" s="17"/>
      <c r="S15" s="13"/>
      <c r="T15" s="17"/>
      <c r="U15" s="17"/>
      <c r="V15" s="17"/>
      <c r="W15" s="17"/>
    </row>
    <row r="16" spans="1:23" s="20" customFormat="1" ht="14.25" customHeight="1">
      <c r="A16" s="9">
        <v>44432</v>
      </c>
      <c r="B16" s="91" t="s">
        <v>23</v>
      </c>
      <c r="C16" s="123" t="s">
        <v>5874</v>
      </c>
      <c r="D16" s="92" t="s">
        <v>5875</v>
      </c>
      <c r="E16" s="829" t="s">
        <v>5881</v>
      </c>
      <c r="F16" s="829" t="s">
        <v>5882</v>
      </c>
      <c r="G16" s="56">
        <v>1</v>
      </c>
      <c r="H16" s="17">
        <v>66000</v>
      </c>
      <c r="I16" s="17">
        <f t="shared" si="0"/>
        <v>66000</v>
      </c>
      <c r="J16" s="17"/>
      <c r="K16" s="17">
        <f t="shared" si="1"/>
        <v>66000</v>
      </c>
      <c r="L16" s="17"/>
      <c r="M16" s="17"/>
      <c r="N16" s="17">
        <f t="shared" si="2"/>
        <v>66000</v>
      </c>
      <c r="O16" s="91" t="s">
        <v>23</v>
      </c>
      <c r="P16" s="72"/>
      <c r="Q16" s="91" t="s">
        <v>28</v>
      </c>
      <c r="R16" s="17"/>
      <c r="S16" s="17"/>
      <c r="T16" s="17"/>
      <c r="U16" s="17"/>
      <c r="V16" s="17"/>
      <c r="W16" s="17"/>
    </row>
    <row r="17" spans="1:23" s="20" customFormat="1" ht="14.25" customHeight="1">
      <c r="A17" s="9">
        <v>44432</v>
      </c>
      <c r="B17" s="91" t="s">
        <v>23</v>
      </c>
      <c r="C17" s="123" t="s">
        <v>5874</v>
      </c>
      <c r="D17" s="92" t="s">
        <v>5875</v>
      </c>
      <c r="E17" s="830" t="s">
        <v>5883</v>
      </c>
      <c r="F17" s="830" t="s">
        <v>5884</v>
      </c>
      <c r="G17" s="56">
        <v>1</v>
      </c>
      <c r="H17" s="17">
        <v>88000</v>
      </c>
      <c r="I17" s="17">
        <f t="shared" si="0"/>
        <v>88000</v>
      </c>
      <c r="J17" s="17"/>
      <c r="K17" s="17">
        <f t="shared" si="1"/>
        <v>88000</v>
      </c>
      <c r="L17" s="17"/>
      <c r="M17" s="17"/>
      <c r="N17" s="17">
        <f t="shared" si="2"/>
        <v>88000</v>
      </c>
      <c r="O17" s="91" t="s">
        <v>23</v>
      </c>
      <c r="P17" s="183"/>
      <c r="Q17" s="91" t="s">
        <v>28</v>
      </c>
      <c r="R17" s="17"/>
      <c r="S17" s="17"/>
      <c r="T17" s="17"/>
      <c r="U17" s="17"/>
      <c r="V17" s="17"/>
      <c r="W17" s="17"/>
    </row>
    <row r="18" spans="1:23" s="20" customFormat="1" ht="14.25" customHeight="1">
      <c r="A18" s="9">
        <v>44432</v>
      </c>
      <c r="B18" s="91" t="s">
        <v>23</v>
      </c>
      <c r="C18" s="123" t="s">
        <v>5874</v>
      </c>
      <c r="D18" s="92" t="s">
        <v>5875</v>
      </c>
      <c r="E18" s="830" t="s">
        <v>2810</v>
      </c>
      <c r="F18" s="830" t="s">
        <v>2811</v>
      </c>
      <c r="G18" s="56">
        <v>1</v>
      </c>
      <c r="H18" s="17">
        <v>105000</v>
      </c>
      <c r="I18" s="17">
        <f t="shared" si="0"/>
        <v>105000</v>
      </c>
      <c r="J18" s="17"/>
      <c r="K18" s="17">
        <f t="shared" si="1"/>
        <v>105000</v>
      </c>
      <c r="L18" s="17"/>
      <c r="M18" s="17"/>
      <c r="N18" s="17">
        <f t="shared" si="2"/>
        <v>105000</v>
      </c>
      <c r="O18" s="91" t="s">
        <v>23</v>
      </c>
      <c r="P18" s="183"/>
      <c r="Q18" s="91" t="s">
        <v>28</v>
      </c>
      <c r="R18" s="17"/>
      <c r="S18" s="17"/>
      <c r="T18" s="17"/>
      <c r="U18" s="17"/>
      <c r="V18" s="17"/>
      <c r="W18" s="17"/>
    </row>
    <row r="19" spans="1:23" s="20" customFormat="1" ht="14.25" customHeight="1">
      <c r="A19" s="9">
        <v>44432</v>
      </c>
      <c r="B19" s="91" t="s">
        <v>23</v>
      </c>
      <c r="C19" s="123" t="s">
        <v>5874</v>
      </c>
      <c r="D19" s="92" t="s">
        <v>5875</v>
      </c>
      <c r="E19" s="829" t="s">
        <v>5885</v>
      </c>
      <c r="F19" s="829" t="s">
        <v>5886</v>
      </c>
      <c r="G19" s="56">
        <v>1</v>
      </c>
      <c r="H19" s="17">
        <v>138000</v>
      </c>
      <c r="I19" s="17">
        <f t="shared" si="0"/>
        <v>138000</v>
      </c>
      <c r="J19" s="17"/>
      <c r="K19" s="17">
        <f t="shared" si="1"/>
        <v>138000</v>
      </c>
      <c r="L19" s="17"/>
      <c r="M19" s="17"/>
      <c r="N19" s="17">
        <f t="shared" si="2"/>
        <v>138000</v>
      </c>
      <c r="O19" s="91" t="s">
        <v>23</v>
      </c>
      <c r="P19" s="183"/>
      <c r="Q19" s="91" t="s">
        <v>28</v>
      </c>
      <c r="R19" s="17"/>
      <c r="S19" s="17"/>
      <c r="T19" s="17"/>
      <c r="U19" s="17"/>
      <c r="V19" s="17"/>
      <c r="W19" s="17"/>
    </row>
    <row r="20" spans="1:23" s="20" customFormat="1" ht="14.25" customHeight="1">
      <c r="A20" s="9">
        <v>44432</v>
      </c>
      <c r="B20" s="91" t="s">
        <v>23</v>
      </c>
      <c r="C20" s="123" t="s">
        <v>5874</v>
      </c>
      <c r="D20" s="92" t="s">
        <v>5875</v>
      </c>
      <c r="E20" s="830" t="s">
        <v>5887</v>
      </c>
      <c r="F20" s="830" t="s">
        <v>5888</v>
      </c>
      <c r="G20" s="56">
        <v>1</v>
      </c>
      <c r="H20" s="17">
        <v>85000</v>
      </c>
      <c r="I20" s="17">
        <f t="shared" si="0"/>
        <v>85000</v>
      </c>
      <c r="J20" s="17"/>
      <c r="K20" s="17">
        <f t="shared" si="1"/>
        <v>85000</v>
      </c>
      <c r="L20" s="17"/>
      <c r="M20" s="17"/>
      <c r="N20" s="17">
        <f t="shared" si="2"/>
        <v>85000</v>
      </c>
      <c r="O20" s="91" t="s">
        <v>23</v>
      </c>
      <c r="P20" s="183"/>
      <c r="Q20" s="91" t="s">
        <v>28</v>
      </c>
      <c r="R20" s="17"/>
      <c r="S20" s="17"/>
      <c r="T20" s="17"/>
      <c r="U20" s="17"/>
      <c r="V20" s="17"/>
      <c r="W20" s="17"/>
    </row>
    <row r="21" spans="1:23" s="20" customFormat="1" ht="14.25" customHeight="1">
      <c r="A21" s="9">
        <v>44432</v>
      </c>
      <c r="B21" s="91" t="s">
        <v>23</v>
      </c>
      <c r="C21" s="123" t="s">
        <v>5874</v>
      </c>
      <c r="D21" s="92" t="s">
        <v>5875</v>
      </c>
      <c r="E21" s="830" t="s">
        <v>5889</v>
      </c>
      <c r="F21" s="830" t="s">
        <v>5890</v>
      </c>
      <c r="G21" s="56">
        <v>1</v>
      </c>
      <c r="H21" s="17">
        <v>78000</v>
      </c>
      <c r="I21" s="17">
        <f t="shared" si="0"/>
        <v>78000</v>
      </c>
      <c r="J21" s="17"/>
      <c r="K21" s="17">
        <f t="shared" si="1"/>
        <v>78000</v>
      </c>
      <c r="L21" s="17"/>
      <c r="M21" s="17"/>
      <c r="N21" s="17">
        <f t="shared" si="2"/>
        <v>78000</v>
      </c>
      <c r="O21" s="91" t="s">
        <v>23</v>
      </c>
      <c r="P21" s="183"/>
      <c r="Q21" s="91" t="s">
        <v>28</v>
      </c>
      <c r="R21" s="17"/>
      <c r="S21" s="17"/>
      <c r="T21" s="17"/>
      <c r="U21" s="17"/>
      <c r="V21" s="17"/>
      <c r="W21" s="17"/>
    </row>
    <row r="22" spans="1:23" s="20" customFormat="1" ht="14.25" customHeight="1">
      <c r="A22" s="9">
        <v>44432</v>
      </c>
      <c r="B22" s="91" t="s">
        <v>23</v>
      </c>
      <c r="C22" s="123" t="s">
        <v>5874</v>
      </c>
      <c r="D22" s="92" t="s">
        <v>5875</v>
      </c>
      <c r="E22" s="830" t="s">
        <v>5891</v>
      </c>
      <c r="F22" s="830" t="s">
        <v>5892</v>
      </c>
      <c r="G22" s="56">
        <v>1</v>
      </c>
      <c r="H22" s="17">
        <v>156000</v>
      </c>
      <c r="I22" s="17">
        <f t="shared" si="0"/>
        <v>156000</v>
      </c>
      <c r="J22" s="17"/>
      <c r="K22" s="17">
        <f t="shared" si="1"/>
        <v>156000</v>
      </c>
      <c r="L22" s="17"/>
      <c r="M22" s="17"/>
      <c r="N22" s="17">
        <f t="shared" si="2"/>
        <v>156000</v>
      </c>
      <c r="O22" s="91" t="s">
        <v>23</v>
      </c>
      <c r="P22" s="183"/>
      <c r="Q22" s="91" t="s">
        <v>28</v>
      </c>
      <c r="R22" s="17"/>
      <c r="S22" s="17"/>
      <c r="T22" s="17"/>
      <c r="U22" s="17"/>
      <c r="V22" s="17"/>
      <c r="W22" s="17"/>
    </row>
    <row r="23" spans="1:23" s="20" customFormat="1" ht="14.25" customHeight="1">
      <c r="A23" s="9">
        <v>44432</v>
      </c>
      <c r="B23" s="91" t="s">
        <v>23</v>
      </c>
      <c r="C23" s="123" t="s">
        <v>5874</v>
      </c>
      <c r="D23" s="92" t="s">
        <v>5875</v>
      </c>
      <c r="E23" s="829" t="s">
        <v>5893</v>
      </c>
      <c r="F23" s="829" t="s">
        <v>5894</v>
      </c>
      <c r="G23" s="56">
        <v>1</v>
      </c>
      <c r="H23" s="17">
        <v>33500</v>
      </c>
      <c r="I23" s="17">
        <f t="shared" si="0"/>
        <v>33500</v>
      </c>
      <c r="J23" s="17"/>
      <c r="K23" s="17">
        <f t="shared" si="1"/>
        <v>33500</v>
      </c>
      <c r="L23" s="17"/>
      <c r="M23" s="17"/>
      <c r="N23" s="17">
        <f t="shared" si="2"/>
        <v>33500</v>
      </c>
      <c r="O23" s="91" t="s">
        <v>23</v>
      </c>
      <c r="P23" s="183"/>
      <c r="Q23" s="91" t="s">
        <v>28</v>
      </c>
      <c r="R23" s="17"/>
      <c r="S23" s="17"/>
      <c r="T23" s="17"/>
      <c r="U23" s="17"/>
      <c r="V23" s="17"/>
      <c r="W23" s="17"/>
    </row>
    <row r="24" spans="1:23" s="20" customFormat="1" ht="14.25" customHeight="1">
      <c r="A24" s="9">
        <v>44432</v>
      </c>
      <c r="B24" s="91" t="s">
        <v>23</v>
      </c>
      <c r="C24" s="123" t="s">
        <v>5874</v>
      </c>
      <c r="D24" s="92" t="s">
        <v>5875</v>
      </c>
      <c r="E24" s="829" t="s">
        <v>5895</v>
      </c>
      <c r="F24" s="829" t="s">
        <v>5896</v>
      </c>
      <c r="G24" s="56">
        <v>1</v>
      </c>
      <c r="H24" s="17">
        <v>105500</v>
      </c>
      <c r="I24" s="17">
        <f t="shared" si="0"/>
        <v>105500</v>
      </c>
      <c r="J24" s="17"/>
      <c r="K24" s="17">
        <f t="shared" si="1"/>
        <v>105500</v>
      </c>
      <c r="L24" s="17"/>
      <c r="M24" s="17"/>
      <c r="N24" s="17">
        <f t="shared" si="2"/>
        <v>105500</v>
      </c>
      <c r="O24" s="91" t="s">
        <v>23</v>
      </c>
      <c r="P24" s="183"/>
      <c r="Q24" s="91" t="s">
        <v>28</v>
      </c>
      <c r="R24" s="17"/>
      <c r="S24" s="17"/>
      <c r="T24" s="17"/>
      <c r="U24" s="17"/>
      <c r="V24" s="17"/>
      <c r="W24" s="17"/>
    </row>
    <row r="25" spans="1:23" s="20" customFormat="1" ht="14.25" customHeight="1">
      <c r="A25" s="9">
        <v>44432</v>
      </c>
      <c r="B25" s="91" t="s">
        <v>23</v>
      </c>
      <c r="C25" s="123" t="s">
        <v>5874</v>
      </c>
      <c r="D25" s="92" t="s">
        <v>5875</v>
      </c>
      <c r="E25" s="829" t="s">
        <v>5897</v>
      </c>
      <c r="F25" s="829" t="s">
        <v>5898</v>
      </c>
      <c r="G25" s="56">
        <v>1</v>
      </c>
      <c r="H25" s="17">
        <v>71000</v>
      </c>
      <c r="I25" s="17">
        <f t="shared" si="0"/>
        <v>71000</v>
      </c>
      <c r="J25" s="17"/>
      <c r="K25" s="17">
        <f t="shared" si="1"/>
        <v>71000</v>
      </c>
      <c r="L25" s="17"/>
      <c r="M25" s="17"/>
      <c r="N25" s="17">
        <f t="shared" si="2"/>
        <v>71000</v>
      </c>
      <c r="O25" s="91" t="s">
        <v>23</v>
      </c>
      <c r="P25" s="183"/>
      <c r="Q25" s="91" t="s">
        <v>28</v>
      </c>
      <c r="R25" s="17"/>
      <c r="S25" s="17"/>
      <c r="T25" s="17"/>
      <c r="U25" s="17"/>
      <c r="V25" s="17"/>
      <c r="W25" s="17"/>
    </row>
    <row r="26" spans="1:23" s="20" customFormat="1" ht="14.25" customHeight="1">
      <c r="A26" s="9">
        <v>44432</v>
      </c>
      <c r="B26" s="91" t="s">
        <v>23</v>
      </c>
      <c r="C26" s="123" t="s">
        <v>5874</v>
      </c>
      <c r="D26" s="92" t="s">
        <v>5875</v>
      </c>
      <c r="E26" s="829" t="s">
        <v>233</v>
      </c>
      <c r="F26" s="829" t="s">
        <v>234</v>
      </c>
      <c r="G26" s="56">
        <v>1</v>
      </c>
      <c r="H26" s="17">
        <v>83500</v>
      </c>
      <c r="I26" s="17">
        <f t="shared" si="0"/>
        <v>83500</v>
      </c>
      <c r="J26" s="17"/>
      <c r="K26" s="17">
        <f t="shared" si="1"/>
        <v>83500</v>
      </c>
      <c r="L26" s="17"/>
      <c r="M26" s="17"/>
      <c r="N26" s="17">
        <f t="shared" si="2"/>
        <v>83500</v>
      </c>
      <c r="O26" s="91" t="s">
        <v>23</v>
      </c>
      <c r="P26" s="183"/>
      <c r="Q26" s="91" t="s">
        <v>28</v>
      </c>
      <c r="R26" s="17"/>
      <c r="S26" s="17"/>
      <c r="T26" s="17"/>
      <c r="U26" s="17"/>
      <c r="V26" s="17"/>
      <c r="W26" s="17"/>
    </row>
    <row r="27" spans="1:23" s="20" customFormat="1" ht="14.25" customHeight="1">
      <c r="A27" s="9">
        <v>44432</v>
      </c>
      <c r="B27" s="91" t="s">
        <v>23</v>
      </c>
      <c r="C27" s="123" t="s">
        <v>5874</v>
      </c>
      <c r="D27" s="92" t="s">
        <v>5875</v>
      </c>
      <c r="E27" s="829" t="s">
        <v>5899</v>
      </c>
      <c r="F27" s="829" t="s">
        <v>5900</v>
      </c>
      <c r="G27" s="56">
        <v>1</v>
      </c>
      <c r="H27" s="17">
        <v>121000</v>
      </c>
      <c r="I27" s="17">
        <f t="shared" si="0"/>
        <v>121000</v>
      </c>
      <c r="J27" s="17"/>
      <c r="K27" s="17">
        <f t="shared" si="1"/>
        <v>121000</v>
      </c>
      <c r="L27" s="17"/>
      <c r="M27" s="17"/>
      <c r="N27" s="17">
        <f t="shared" si="2"/>
        <v>121000</v>
      </c>
      <c r="O27" s="91" t="s">
        <v>23</v>
      </c>
      <c r="P27" s="183"/>
      <c r="Q27" s="91" t="s">
        <v>28</v>
      </c>
      <c r="R27" s="17"/>
      <c r="S27" s="17"/>
      <c r="T27" s="17"/>
      <c r="U27" s="17"/>
      <c r="V27" s="17"/>
      <c r="W27" s="17"/>
    </row>
    <row r="28" spans="1:23" s="20" customFormat="1" ht="14.25" customHeight="1">
      <c r="A28" s="9">
        <v>44432</v>
      </c>
      <c r="B28" s="91" t="s">
        <v>23</v>
      </c>
      <c r="C28" s="123" t="s">
        <v>5874</v>
      </c>
      <c r="D28" s="92" t="s">
        <v>5875</v>
      </c>
      <c r="E28" s="829" t="s">
        <v>5901</v>
      </c>
      <c r="F28" s="829" t="s">
        <v>5902</v>
      </c>
      <c r="G28" s="56">
        <v>1</v>
      </c>
      <c r="H28" s="17">
        <v>66000</v>
      </c>
      <c r="I28" s="17">
        <f t="shared" si="0"/>
        <v>66000</v>
      </c>
      <c r="J28" s="17"/>
      <c r="K28" s="17">
        <f t="shared" si="1"/>
        <v>66000</v>
      </c>
      <c r="L28" s="17"/>
      <c r="M28" s="17"/>
      <c r="N28" s="17">
        <f t="shared" si="2"/>
        <v>66000</v>
      </c>
      <c r="O28" s="91" t="s">
        <v>23</v>
      </c>
      <c r="P28" s="282"/>
      <c r="Q28" s="91" t="s">
        <v>28</v>
      </c>
      <c r="R28" s="17"/>
      <c r="S28" s="17"/>
      <c r="T28" s="17"/>
      <c r="U28" s="17"/>
      <c r="V28" s="17"/>
      <c r="W28" s="17"/>
    </row>
    <row r="29" spans="1:23" s="20" customFormat="1" ht="14.25" customHeight="1">
      <c r="A29" s="9">
        <v>44432</v>
      </c>
      <c r="B29" s="91" t="s">
        <v>23</v>
      </c>
      <c r="C29" s="123" t="s">
        <v>5874</v>
      </c>
      <c r="D29" s="92" t="s">
        <v>5875</v>
      </c>
      <c r="E29" s="829" t="s">
        <v>5903</v>
      </c>
      <c r="F29" s="829" t="s">
        <v>5904</v>
      </c>
      <c r="G29" s="56">
        <v>1</v>
      </c>
      <c r="H29" s="17">
        <v>96000</v>
      </c>
      <c r="I29" s="17">
        <f t="shared" si="0"/>
        <v>96000</v>
      </c>
      <c r="J29" s="17"/>
      <c r="K29" s="17">
        <f t="shared" si="1"/>
        <v>96000</v>
      </c>
      <c r="L29" s="17"/>
      <c r="M29" s="17"/>
      <c r="N29" s="17">
        <f t="shared" si="2"/>
        <v>96000</v>
      </c>
      <c r="O29" s="91" t="s">
        <v>23</v>
      </c>
      <c r="P29" s="72"/>
      <c r="Q29" s="91" t="s">
        <v>28</v>
      </c>
      <c r="R29" s="17"/>
      <c r="S29" s="17"/>
      <c r="T29" s="17"/>
      <c r="U29" s="17"/>
      <c r="V29" s="17"/>
      <c r="W29" s="17"/>
    </row>
    <row r="30" spans="1:23" s="20" customFormat="1" ht="14.25" customHeight="1">
      <c r="A30" s="9">
        <v>44432</v>
      </c>
      <c r="B30" s="91" t="s">
        <v>23</v>
      </c>
      <c r="C30" s="123" t="s">
        <v>5874</v>
      </c>
      <c r="D30" s="92" t="s">
        <v>5875</v>
      </c>
      <c r="E30" s="829" t="s">
        <v>5367</v>
      </c>
      <c r="F30" s="829" t="s">
        <v>5368</v>
      </c>
      <c r="G30" s="56">
        <v>1</v>
      </c>
      <c r="H30" s="17">
        <v>85000</v>
      </c>
      <c r="I30" s="17">
        <f t="shared" si="0"/>
        <v>85000</v>
      </c>
      <c r="J30" s="17"/>
      <c r="K30" s="17">
        <f t="shared" si="1"/>
        <v>85000</v>
      </c>
      <c r="L30" s="17"/>
      <c r="M30" s="17"/>
      <c r="N30" s="17">
        <f t="shared" si="2"/>
        <v>85000</v>
      </c>
      <c r="O30" s="91" t="s">
        <v>23</v>
      </c>
      <c r="P30" s="72"/>
      <c r="Q30" s="91" t="s">
        <v>28</v>
      </c>
      <c r="R30" s="17"/>
      <c r="S30" s="17"/>
      <c r="T30" s="17"/>
      <c r="U30" s="17"/>
      <c r="V30" s="17"/>
      <c r="W30" s="17"/>
    </row>
    <row r="31" spans="1:23" s="20" customFormat="1" ht="14.25" customHeight="1">
      <c r="A31" s="9">
        <v>44432</v>
      </c>
      <c r="B31" s="91" t="s">
        <v>23</v>
      </c>
      <c r="C31" s="123" t="s">
        <v>5874</v>
      </c>
      <c r="D31" s="92" t="s">
        <v>5875</v>
      </c>
      <c r="E31" s="829" t="s">
        <v>5905</v>
      </c>
      <c r="F31" s="829" t="s">
        <v>5906</v>
      </c>
      <c r="G31" s="56">
        <v>1</v>
      </c>
      <c r="H31" s="17">
        <v>70500</v>
      </c>
      <c r="I31" s="17">
        <f t="shared" si="0"/>
        <v>70500</v>
      </c>
      <c r="J31" s="17"/>
      <c r="K31" s="17">
        <f t="shared" si="1"/>
        <v>70500</v>
      </c>
      <c r="L31" s="17"/>
      <c r="M31" s="17"/>
      <c r="N31" s="17">
        <f t="shared" si="2"/>
        <v>70500</v>
      </c>
      <c r="O31" s="91" t="s">
        <v>23</v>
      </c>
      <c r="P31" s="183"/>
      <c r="Q31" s="91" t="s">
        <v>28</v>
      </c>
      <c r="R31" s="17"/>
      <c r="S31" s="17"/>
      <c r="T31" s="17"/>
      <c r="U31" s="17"/>
      <c r="V31" s="17"/>
      <c r="W31" s="17"/>
    </row>
    <row r="32" spans="1:23" s="20" customFormat="1" ht="14.25" customHeight="1">
      <c r="A32" s="9">
        <v>44432</v>
      </c>
      <c r="B32" s="91" t="s">
        <v>23</v>
      </c>
      <c r="C32" s="123" t="s">
        <v>5874</v>
      </c>
      <c r="D32" s="92" t="s">
        <v>5875</v>
      </c>
      <c r="E32" s="829" t="s">
        <v>152</v>
      </c>
      <c r="F32" s="829" t="s">
        <v>153</v>
      </c>
      <c r="G32" s="56">
        <v>1</v>
      </c>
      <c r="H32" s="17">
        <v>62500</v>
      </c>
      <c r="I32" s="17">
        <f t="shared" si="0"/>
        <v>62500</v>
      </c>
      <c r="J32" s="17"/>
      <c r="K32" s="17">
        <f t="shared" si="1"/>
        <v>62500</v>
      </c>
      <c r="L32" s="17"/>
      <c r="M32" s="17"/>
      <c r="N32" s="17">
        <f t="shared" si="2"/>
        <v>62500</v>
      </c>
      <c r="O32" s="91" t="s">
        <v>23</v>
      </c>
      <c r="P32" s="72"/>
      <c r="Q32" s="91" t="s">
        <v>28</v>
      </c>
      <c r="R32" s="17"/>
      <c r="S32" s="17"/>
      <c r="T32" s="17"/>
      <c r="U32" s="17"/>
      <c r="V32" s="17"/>
      <c r="W32" s="17"/>
    </row>
    <row r="33" spans="1:23" s="20" customFormat="1" ht="14.25" customHeight="1">
      <c r="A33" s="9">
        <v>44432</v>
      </c>
      <c r="B33" s="91" t="s">
        <v>23</v>
      </c>
      <c r="C33" s="123" t="s">
        <v>5874</v>
      </c>
      <c r="D33" s="92" t="s">
        <v>5875</v>
      </c>
      <c r="E33" s="829" t="s">
        <v>197</v>
      </c>
      <c r="F33" s="829" t="s">
        <v>198</v>
      </c>
      <c r="G33" s="56">
        <v>1</v>
      </c>
      <c r="H33" s="17">
        <v>79000</v>
      </c>
      <c r="I33" s="17">
        <f t="shared" si="0"/>
        <v>79000</v>
      </c>
      <c r="J33" s="17"/>
      <c r="K33" s="17">
        <f t="shared" si="1"/>
        <v>79000</v>
      </c>
      <c r="L33" s="17"/>
      <c r="M33" s="17"/>
      <c r="N33" s="17">
        <f t="shared" si="2"/>
        <v>79000</v>
      </c>
      <c r="O33" s="91" t="s">
        <v>23</v>
      </c>
      <c r="P33" s="282"/>
      <c r="Q33" s="91" t="s">
        <v>28</v>
      </c>
      <c r="R33" s="17"/>
      <c r="S33" s="17"/>
      <c r="T33" s="17"/>
      <c r="U33" s="17"/>
      <c r="V33" s="17"/>
      <c r="W33" s="17"/>
    </row>
    <row r="34" spans="1:23" s="20" customFormat="1" ht="14.25" customHeight="1">
      <c r="A34" s="9">
        <v>44432</v>
      </c>
      <c r="B34" s="91" t="s">
        <v>23</v>
      </c>
      <c r="C34" s="123" t="s">
        <v>5874</v>
      </c>
      <c r="D34" s="92" t="s">
        <v>5875</v>
      </c>
      <c r="E34" s="829" t="s">
        <v>5907</v>
      </c>
      <c r="F34" s="829" t="s">
        <v>4518</v>
      </c>
      <c r="G34" s="56">
        <v>1</v>
      </c>
      <c r="H34" s="17">
        <v>83000</v>
      </c>
      <c r="I34" s="17">
        <f t="shared" si="0"/>
        <v>83000</v>
      </c>
      <c r="J34" s="17"/>
      <c r="K34" s="17">
        <f t="shared" si="1"/>
        <v>83000</v>
      </c>
      <c r="L34" s="17"/>
      <c r="M34" s="17"/>
      <c r="N34" s="17">
        <f t="shared" si="2"/>
        <v>83000</v>
      </c>
      <c r="O34" s="91" t="s">
        <v>23</v>
      </c>
      <c r="P34" s="183"/>
      <c r="Q34" s="91" t="s">
        <v>28</v>
      </c>
      <c r="R34" s="17"/>
      <c r="S34" s="17"/>
      <c r="T34" s="17"/>
      <c r="U34" s="17"/>
      <c r="V34" s="17"/>
      <c r="W34" s="17"/>
    </row>
    <row r="35" spans="1:23" s="20" customFormat="1" ht="14.25" customHeight="1">
      <c r="A35" s="9">
        <v>44432</v>
      </c>
      <c r="B35" s="91" t="s">
        <v>23</v>
      </c>
      <c r="C35" s="123" t="s">
        <v>5874</v>
      </c>
      <c r="D35" s="92" t="s">
        <v>5875</v>
      </c>
      <c r="E35" s="829" t="s">
        <v>5908</v>
      </c>
      <c r="F35" s="829" t="s">
        <v>5909</v>
      </c>
      <c r="G35" s="56">
        <v>1</v>
      </c>
      <c r="H35" s="17">
        <v>99000</v>
      </c>
      <c r="I35" s="17">
        <f t="shared" si="0"/>
        <v>99000</v>
      </c>
      <c r="J35" s="17"/>
      <c r="K35" s="17">
        <f t="shared" si="1"/>
        <v>99000</v>
      </c>
      <c r="L35" s="17"/>
      <c r="M35" s="17"/>
      <c r="N35" s="17">
        <f t="shared" si="2"/>
        <v>99000</v>
      </c>
      <c r="O35" s="91" t="s">
        <v>23</v>
      </c>
      <c r="P35" s="183"/>
      <c r="Q35" s="91" t="s">
        <v>28</v>
      </c>
      <c r="R35" s="17"/>
      <c r="S35" s="17"/>
      <c r="T35" s="17"/>
      <c r="U35" s="17"/>
      <c r="V35" s="17"/>
      <c r="W35" s="17"/>
    </row>
    <row r="36" spans="1:23" s="20" customFormat="1" ht="14.25" customHeight="1">
      <c r="A36" s="9">
        <v>44432</v>
      </c>
      <c r="B36" s="91" t="s">
        <v>23</v>
      </c>
      <c r="C36" s="123" t="s">
        <v>5874</v>
      </c>
      <c r="D36" s="92" t="s">
        <v>5875</v>
      </c>
      <c r="E36" s="829" t="s">
        <v>5188</v>
      </c>
      <c r="F36" s="829" t="s">
        <v>5189</v>
      </c>
      <c r="G36" s="56">
        <v>1</v>
      </c>
      <c r="H36" s="17">
        <v>75500</v>
      </c>
      <c r="I36" s="17">
        <f t="shared" si="0"/>
        <v>75500</v>
      </c>
      <c r="J36" s="17"/>
      <c r="K36" s="17">
        <f t="shared" si="1"/>
        <v>75500</v>
      </c>
      <c r="L36" s="17"/>
      <c r="M36" s="17"/>
      <c r="N36" s="17">
        <f t="shared" si="2"/>
        <v>75500</v>
      </c>
      <c r="O36" s="91" t="s">
        <v>23</v>
      </c>
      <c r="P36" s="72"/>
      <c r="Q36" s="91" t="s">
        <v>28</v>
      </c>
      <c r="R36" s="17"/>
      <c r="S36" s="17"/>
      <c r="T36" s="17"/>
      <c r="U36" s="17"/>
      <c r="V36" s="17"/>
      <c r="W36" s="17"/>
    </row>
    <row r="37" spans="1:23" s="20" customFormat="1" ht="14.25" customHeight="1">
      <c r="A37" s="9">
        <v>44432</v>
      </c>
      <c r="B37" s="91" t="s">
        <v>23</v>
      </c>
      <c r="C37" s="123" t="s">
        <v>5874</v>
      </c>
      <c r="D37" s="92" t="s">
        <v>5875</v>
      </c>
      <c r="E37" s="829" t="s">
        <v>661</v>
      </c>
      <c r="F37" s="829" t="s">
        <v>5910</v>
      </c>
      <c r="G37" s="56">
        <v>1</v>
      </c>
      <c r="H37" s="17">
        <v>79000</v>
      </c>
      <c r="I37" s="17">
        <f t="shared" si="0"/>
        <v>79000</v>
      </c>
      <c r="J37" s="17"/>
      <c r="K37" s="17">
        <f t="shared" si="1"/>
        <v>79000</v>
      </c>
      <c r="L37" s="17"/>
      <c r="M37" s="17"/>
      <c r="N37" s="17">
        <f t="shared" si="2"/>
        <v>79000</v>
      </c>
      <c r="O37" s="91" t="s">
        <v>23</v>
      </c>
      <c r="P37" s="282"/>
      <c r="Q37" s="91" t="s">
        <v>28</v>
      </c>
      <c r="R37" s="17"/>
      <c r="S37" s="17"/>
      <c r="T37" s="17"/>
      <c r="U37" s="17"/>
      <c r="V37" s="17"/>
      <c r="W37" s="17"/>
    </row>
    <row r="38" spans="1:23" s="20" customFormat="1" ht="14.25" customHeight="1">
      <c r="A38" s="9">
        <v>44432</v>
      </c>
      <c r="B38" s="91" t="s">
        <v>23</v>
      </c>
      <c r="C38" s="91" t="s">
        <v>5911</v>
      </c>
      <c r="D38" s="92" t="s">
        <v>5912</v>
      </c>
      <c r="E38" s="758" t="s">
        <v>325</v>
      </c>
      <c r="F38" s="758" t="s">
        <v>326</v>
      </c>
      <c r="G38" s="56">
        <v>1</v>
      </c>
      <c r="H38" s="17">
        <v>129000</v>
      </c>
      <c r="I38" s="17">
        <f t="shared" si="0"/>
        <v>129000</v>
      </c>
      <c r="J38" s="17">
        <f>I38*20%</f>
        <v>25800</v>
      </c>
      <c r="K38" s="17">
        <f t="shared" si="1"/>
        <v>103200</v>
      </c>
      <c r="L38" s="17">
        <v>16000</v>
      </c>
      <c r="M38" s="17"/>
      <c r="N38" s="17">
        <f t="shared" si="2"/>
        <v>119200</v>
      </c>
      <c r="O38" s="91" t="s">
        <v>23</v>
      </c>
      <c r="P38" s="72"/>
      <c r="Q38" s="91" t="s">
        <v>40</v>
      </c>
      <c r="R38" s="17"/>
      <c r="S38" s="17"/>
      <c r="T38" s="17"/>
      <c r="U38" s="17"/>
      <c r="V38" s="17"/>
      <c r="W38" s="17"/>
    </row>
    <row r="39" spans="1:23" s="20" customFormat="1" ht="14.25" customHeight="1">
      <c r="A39" s="9">
        <v>44432</v>
      </c>
      <c r="B39" s="91" t="s">
        <v>23</v>
      </c>
      <c r="C39" s="123" t="s">
        <v>5913</v>
      </c>
      <c r="D39" s="92" t="s">
        <v>5914</v>
      </c>
      <c r="E39" s="740" t="s">
        <v>4092</v>
      </c>
      <c r="F39" s="740" t="s">
        <v>4093</v>
      </c>
      <c r="G39" s="56">
        <v>1</v>
      </c>
      <c r="H39" s="17">
        <v>73500</v>
      </c>
      <c r="I39" s="17">
        <f t="shared" si="0"/>
        <v>73500</v>
      </c>
      <c r="J39" s="17"/>
      <c r="K39" s="17">
        <f t="shared" si="1"/>
        <v>73500</v>
      </c>
      <c r="L39" s="17">
        <v>97000</v>
      </c>
      <c r="M39" s="17"/>
      <c r="N39" s="17">
        <f t="shared" si="2"/>
        <v>170500</v>
      </c>
      <c r="O39" s="91" t="s">
        <v>23</v>
      </c>
      <c r="P39" s="72"/>
      <c r="Q39" s="91" t="s">
        <v>54</v>
      </c>
      <c r="R39" s="17"/>
      <c r="S39" s="17"/>
      <c r="T39" s="17"/>
      <c r="U39" s="17"/>
      <c r="V39" s="17"/>
      <c r="W39" s="17"/>
    </row>
    <row r="40" spans="1:23" s="20" customFormat="1" ht="14.25" customHeight="1">
      <c r="A40" s="9">
        <v>44432</v>
      </c>
      <c r="B40" s="91" t="s">
        <v>23</v>
      </c>
      <c r="C40" s="123" t="s">
        <v>5915</v>
      </c>
      <c r="D40" s="92" t="s">
        <v>5916</v>
      </c>
      <c r="E40" s="740" t="s">
        <v>4989</v>
      </c>
      <c r="F40" s="740" t="s">
        <v>4990</v>
      </c>
      <c r="G40" s="56">
        <v>1</v>
      </c>
      <c r="H40" s="17">
        <v>73000</v>
      </c>
      <c r="I40" s="17">
        <f t="shared" si="0"/>
        <v>73000</v>
      </c>
      <c r="J40" s="17"/>
      <c r="K40" s="17">
        <f t="shared" si="1"/>
        <v>73000</v>
      </c>
      <c r="L40" s="17">
        <v>24000</v>
      </c>
      <c r="M40" s="17"/>
      <c r="N40" s="17">
        <f t="shared" si="2"/>
        <v>97000</v>
      </c>
      <c r="O40" s="91" t="s">
        <v>23</v>
      </c>
      <c r="P40" s="72"/>
      <c r="Q40" s="91" t="s">
        <v>54</v>
      </c>
      <c r="R40" s="17"/>
      <c r="S40" s="17"/>
      <c r="T40" s="17"/>
      <c r="U40" s="17"/>
      <c r="V40" s="17"/>
      <c r="W40" s="17"/>
    </row>
    <row r="41" spans="1:23" s="20" customFormat="1" ht="14.25" customHeight="1">
      <c r="A41" s="9">
        <v>44432</v>
      </c>
      <c r="B41" s="91" t="s">
        <v>313</v>
      </c>
      <c r="C41" s="123" t="s">
        <v>5917</v>
      </c>
      <c r="D41" s="92" t="s">
        <v>5918</v>
      </c>
      <c r="E41" s="740" t="s">
        <v>5919</v>
      </c>
      <c r="F41" s="740" t="s">
        <v>5920</v>
      </c>
      <c r="G41" s="56">
        <v>1</v>
      </c>
      <c r="H41" s="17">
        <v>87000</v>
      </c>
      <c r="I41" s="17">
        <f t="shared" si="0"/>
        <v>87000</v>
      </c>
      <c r="J41" s="17"/>
      <c r="K41" s="17">
        <f t="shared" si="1"/>
        <v>87000</v>
      </c>
      <c r="L41" s="17">
        <v>40008</v>
      </c>
      <c r="M41" s="17"/>
      <c r="N41" s="17">
        <f t="shared" si="2"/>
        <v>127008</v>
      </c>
      <c r="O41" s="91" t="s">
        <v>313</v>
      </c>
      <c r="P41" s="72"/>
      <c r="Q41" s="91" t="s">
        <v>40</v>
      </c>
      <c r="R41" s="17"/>
      <c r="S41" s="17"/>
      <c r="T41" s="17"/>
      <c r="U41" s="17"/>
      <c r="V41" s="17"/>
      <c r="W41" s="17"/>
    </row>
    <row r="42" spans="1:23" s="20" customFormat="1" ht="14.25" customHeight="1">
      <c r="A42" s="9">
        <v>44433</v>
      </c>
      <c r="B42" s="91" t="s">
        <v>206</v>
      </c>
      <c r="C42" s="91" t="s">
        <v>5921</v>
      </c>
      <c r="D42" s="92" t="s">
        <v>5922</v>
      </c>
      <c r="E42" s="758" t="s">
        <v>5923</v>
      </c>
      <c r="F42" s="758" t="s">
        <v>5924</v>
      </c>
      <c r="G42" s="56">
        <v>1</v>
      </c>
      <c r="H42" s="17">
        <v>82000</v>
      </c>
      <c r="I42" s="17">
        <f t="shared" si="0"/>
        <v>82000</v>
      </c>
      <c r="J42" s="17"/>
      <c r="K42" s="17">
        <f t="shared" si="1"/>
        <v>82000</v>
      </c>
      <c r="L42" s="17">
        <v>16000</v>
      </c>
      <c r="M42" s="17"/>
      <c r="N42" s="17">
        <f t="shared" si="2"/>
        <v>98000</v>
      </c>
      <c r="O42" s="91" t="s">
        <v>206</v>
      </c>
      <c r="P42" s="72"/>
      <c r="Q42" s="91" t="s">
        <v>328</v>
      </c>
      <c r="R42" s="17"/>
      <c r="S42" s="17"/>
      <c r="T42" s="17"/>
      <c r="U42" s="17"/>
      <c r="V42" s="17"/>
      <c r="W42" s="17"/>
    </row>
    <row r="43" spans="1:23" s="20" customFormat="1" ht="14.25" customHeight="1">
      <c r="A43" s="9">
        <v>44433</v>
      </c>
      <c r="B43" s="91" t="s">
        <v>23</v>
      </c>
      <c r="C43" s="123" t="s">
        <v>5925</v>
      </c>
      <c r="D43" s="92" t="s">
        <v>5926</v>
      </c>
      <c r="E43" s="758" t="s">
        <v>643</v>
      </c>
      <c r="F43" s="758" t="s">
        <v>5927</v>
      </c>
      <c r="G43" s="56">
        <v>4</v>
      </c>
      <c r="H43" s="17">
        <v>76000</v>
      </c>
      <c r="I43" s="17">
        <f t="shared" si="0"/>
        <v>304000</v>
      </c>
      <c r="J43" s="17">
        <f t="shared" ref="J43:J51" si="3">I43*20%</f>
        <v>60800</v>
      </c>
      <c r="K43" s="17">
        <f t="shared" si="1"/>
        <v>243200</v>
      </c>
      <c r="L43" s="17">
        <v>102000</v>
      </c>
      <c r="M43" s="17"/>
      <c r="N43" s="17">
        <f t="shared" si="2"/>
        <v>345200</v>
      </c>
      <c r="O43" s="91" t="s">
        <v>23</v>
      </c>
      <c r="P43" s="72"/>
      <c r="Q43" s="91" t="s">
        <v>40</v>
      </c>
      <c r="R43" s="17"/>
      <c r="S43" s="17"/>
      <c r="T43" s="17"/>
      <c r="U43" s="17"/>
      <c r="V43" s="17"/>
      <c r="W43" s="17"/>
    </row>
    <row r="44" spans="1:23" s="20" customFormat="1" ht="14.25" customHeight="1">
      <c r="A44" s="9">
        <v>44433</v>
      </c>
      <c r="B44" s="91" t="s">
        <v>43</v>
      </c>
      <c r="C44" s="123" t="s">
        <v>5928</v>
      </c>
      <c r="D44" s="92" t="s">
        <v>5929</v>
      </c>
      <c r="E44" s="758" t="s">
        <v>2667</v>
      </c>
      <c r="F44" s="758" t="s">
        <v>2668</v>
      </c>
      <c r="G44" s="56">
        <v>1</v>
      </c>
      <c r="H44" s="17">
        <v>112000</v>
      </c>
      <c r="I44" s="17">
        <f t="shared" si="0"/>
        <v>112000</v>
      </c>
      <c r="J44" s="17">
        <f t="shared" si="3"/>
        <v>22400</v>
      </c>
      <c r="K44" s="17">
        <f t="shared" si="1"/>
        <v>89600</v>
      </c>
      <c r="L44" s="17"/>
      <c r="M44" s="17">
        <v>-5018</v>
      </c>
      <c r="N44" s="17">
        <f t="shared" si="2"/>
        <v>84582</v>
      </c>
      <c r="O44" s="91" t="s">
        <v>43</v>
      </c>
      <c r="P44" s="72"/>
      <c r="Q44" s="91" t="s">
        <v>54</v>
      </c>
      <c r="R44" s="17"/>
      <c r="S44" s="17"/>
      <c r="T44" s="17"/>
      <c r="U44" s="17"/>
      <c r="V44" s="17"/>
      <c r="W44" s="17"/>
    </row>
    <row r="45" spans="1:23" s="20" customFormat="1" ht="14.25" customHeight="1">
      <c r="A45" s="9">
        <v>44433</v>
      </c>
      <c r="B45" s="91" t="s">
        <v>23</v>
      </c>
      <c r="C45" s="123" t="s">
        <v>5930</v>
      </c>
      <c r="D45" s="92" t="s">
        <v>5931</v>
      </c>
      <c r="E45" s="831" t="s">
        <v>5932</v>
      </c>
      <c r="F45" s="831" t="s">
        <v>5933</v>
      </c>
      <c r="G45" s="56">
        <v>1</v>
      </c>
      <c r="H45" s="17">
        <v>57000</v>
      </c>
      <c r="I45" s="17">
        <f t="shared" si="0"/>
        <v>57000</v>
      </c>
      <c r="J45" s="17">
        <f t="shared" si="3"/>
        <v>11400</v>
      </c>
      <c r="K45" s="17">
        <f t="shared" si="1"/>
        <v>45600</v>
      </c>
      <c r="L45" s="17">
        <v>32000</v>
      </c>
      <c r="M45" s="17"/>
      <c r="N45" s="17">
        <f t="shared" si="2"/>
        <v>77600</v>
      </c>
      <c r="O45" s="91" t="s">
        <v>23</v>
      </c>
      <c r="P45" s="72"/>
      <c r="Q45" s="91" t="s">
        <v>40</v>
      </c>
      <c r="R45" s="17"/>
      <c r="S45" s="17"/>
      <c r="T45" s="17"/>
      <c r="U45" s="17"/>
      <c r="V45" s="17"/>
      <c r="W45" s="17"/>
    </row>
    <row r="46" spans="1:23" s="20" customFormat="1" ht="14.25" customHeight="1">
      <c r="A46" s="9">
        <v>44433</v>
      </c>
      <c r="B46" s="91" t="s">
        <v>23</v>
      </c>
      <c r="C46" s="123" t="s">
        <v>5930</v>
      </c>
      <c r="D46" s="92" t="s">
        <v>5931</v>
      </c>
      <c r="E46" s="831" t="s">
        <v>5934</v>
      </c>
      <c r="F46" s="831" t="s">
        <v>5935</v>
      </c>
      <c r="G46" s="56">
        <v>1</v>
      </c>
      <c r="H46" s="17">
        <v>127000</v>
      </c>
      <c r="I46" s="17">
        <f t="shared" si="0"/>
        <v>127000</v>
      </c>
      <c r="J46" s="17">
        <f t="shared" si="3"/>
        <v>25400</v>
      </c>
      <c r="K46" s="17">
        <f t="shared" si="1"/>
        <v>101600</v>
      </c>
      <c r="L46" s="17"/>
      <c r="M46" s="17"/>
      <c r="N46" s="17">
        <f t="shared" si="2"/>
        <v>101600</v>
      </c>
      <c r="O46" s="91" t="s">
        <v>23</v>
      </c>
      <c r="P46" s="72"/>
      <c r="Q46" s="91" t="s">
        <v>40</v>
      </c>
      <c r="R46" s="17"/>
      <c r="S46" s="17"/>
      <c r="T46" s="17"/>
      <c r="U46" s="17"/>
      <c r="V46" s="17"/>
      <c r="W46" s="17"/>
    </row>
    <row r="47" spans="1:23" s="20" customFormat="1" ht="14.25" customHeight="1">
      <c r="A47" s="9">
        <v>44433</v>
      </c>
      <c r="B47" s="91" t="s">
        <v>23</v>
      </c>
      <c r="C47" s="123" t="s">
        <v>5930</v>
      </c>
      <c r="D47" s="92" t="s">
        <v>5931</v>
      </c>
      <c r="E47" s="831" t="s">
        <v>5643</v>
      </c>
      <c r="F47" s="831" t="s">
        <v>5644</v>
      </c>
      <c r="G47" s="56">
        <v>1</v>
      </c>
      <c r="H47" s="17">
        <v>56000</v>
      </c>
      <c r="I47" s="17">
        <f t="shared" si="0"/>
        <v>56000</v>
      </c>
      <c r="J47" s="17">
        <f t="shared" si="3"/>
        <v>11200</v>
      </c>
      <c r="K47" s="17">
        <f t="shared" si="1"/>
        <v>44800</v>
      </c>
      <c r="L47" s="17"/>
      <c r="M47" s="17"/>
      <c r="N47" s="17">
        <f t="shared" si="2"/>
        <v>44800</v>
      </c>
      <c r="O47" s="91" t="s">
        <v>23</v>
      </c>
      <c r="P47" s="183"/>
      <c r="Q47" s="91" t="s">
        <v>40</v>
      </c>
      <c r="R47" s="17"/>
      <c r="S47" s="13"/>
      <c r="T47" s="17"/>
      <c r="U47" s="17"/>
      <c r="V47" s="17"/>
      <c r="W47" s="17"/>
    </row>
    <row r="48" spans="1:23" s="20" customFormat="1" ht="14.25" customHeight="1">
      <c r="A48" s="9">
        <v>44433</v>
      </c>
      <c r="B48" s="91" t="s">
        <v>23</v>
      </c>
      <c r="C48" s="123" t="s">
        <v>5930</v>
      </c>
      <c r="D48" s="92" t="s">
        <v>5931</v>
      </c>
      <c r="E48" s="831" t="s">
        <v>5936</v>
      </c>
      <c r="F48" s="831" t="s">
        <v>5937</v>
      </c>
      <c r="G48" s="56">
        <v>1</v>
      </c>
      <c r="H48" s="17">
        <v>68000</v>
      </c>
      <c r="I48" s="17">
        <f t="shared" si="0"/>
        <v>68000</v>
      </c>
      <c r="J48" s="17">
        <f t="shared" si="3"/>
        <v>13600</v>
      </c>
      <c r="K48" s="17">
        <f t="shared" si="1"/>
        <v>54400</v>
      </c>
      <c r="L48" s="17"/>
      <c r="M48" s="17"/>
      <c r="N48" s="17">
        <f t="shared" si="2"/>
        <v>54400</v>
      </c>
      <c r="O48" s="91" t="s">
        <v>23</v>
      </c>
      <c r="P48" s="72"/>
      <c r="Q48" s="91" t="s">
        <v>40</v>
      </c>
      <c r="R48" s="17"/>
      <c r="S48" s="17"/>
      <c r="T48" s="17"/>
      <c r="U48" s="17"/>
      <c r="V48" s="17"/>
      <c r="W48" s="17"/>
    </row>
    <row r="49" spans="1:23" s="20" customFormat="1" ht="14.25" customHeight="1">
      <c r="A49" s="9">
        <v>44433</v>
      </c>
      <c r="B49" s="91" t="s">
        <v>43</v>
      </c>
      <c r="C49" s="91" t="s">
        <v>5938</v>
      </c>
      <c r="D49" s="92" t="s">
        <v>5939</v>
      </c>
      <c r="E49" s="830" t="s">
        <v>5940</v>
      </c>
      <c r="F49" s="830" t="s">
        <v>5941</v>
      </c>
      <c r="G49" s="56">
        <v>1</v>
      </c>
      <c r="H49" s="17">
        <v>23000</v>
      </c>
      <c r="I49" s="17">
        <f t="shared" si="0"/>
        <v>23000</v>
      </c>
      <c r="J49" s="17">
        <f t="shared" si="3"/>
        <v>4600</v>
      </c>
      <c r="K49" s="17">
        <f t="shared" si="1"/>
        <v>18400</v>
      </c>
      <c r="L49" s="17"/>
      <c r="M49" s="17">
        <v>-3590</v>
      </c>
      <c r="N49" s="17">
        <f t="shared" si="2"/>
        <v>14810</v>
      </c>
      <c r="O49" s="91" t="s">
        <v>43</v>
      </c>
      <c r="P49" s="92"/>
      <c r="Q49" s="91" t="s">
        <v>176</v>
      </c>
      <c r="R49" s="17"/>
      <c r="S49" s="17"/>
      <c r="T49" s="17"/>
      <c r="U49" s="17"/>
      <c r="V49" s="17"/>
      <c r="W49" s="17"/>
    </row>
    <row r="50" spans="1:23" s="20" customFormat="1" ht="14.25" customHeight="1">
      <c r="A50" s="9">
        <v>44433</v>
      </c>
      <c r="B50" s="91" t="s">
        <v>43</v>
      </c>
      <c r="C50" s="91" t="s">
        <v>5938</v>
      </c>
      <c r="D50" s="92" t="s">
        <v>5942</v>
      </c>
      <c r="E50" s="830" t="s">
        <v>5943</v>
      </c>
      <c r="F50" s="830" t="s">
        <v>5944</v>
      </c>
      <c r="G50" s="56">
        <v>1</v>
      </c>
      <c r="H50" s="17">
        <v>80000</v>
      </c>
      <c r="I50" s="17">
        <f t="shared" si="0"/>
        <v>80000</v>
      </c>
      <c r="J50" s="17">
        <f t="shared" si="3"/>
        <v>16000</v>
      </c>
      <c r="K50" s="17">
        <f t="shared" si="1"/>
        <v>64000</v>
      </c>
      <c r="L50" s="17"/>
      <c r="M50" s="17"/>
      <c r="N50" s="17">
        <f t="shared" si="2"/>
        <v>64000</v>
      </c>
      <c r="O50" s="91" t="s">
        <v>43</v>
      </c>
      <c r="P50" s="183"/>
      <c r="Q50" s="91" t="s">
        <v>176</v>
      </c>
      <c r="R50" s="17"/>
      <c r="S50" s="17"/>
      <c r="T50" s="17"/>
      <c r="U50" s="17"/>
      <c r="V50" s="17"/>
      <c r="W50" s="17"/>
    </row>
    <row r="51" spans="1:23" s="20" customFormat="1" ht="14.25" customHeight="1">
      <c r="A51" s="9">
        <v>44433</v>
      </c>
      <c r="B51" s="91" t="s">
        <v>23</v>
      </c>
      <c r="C51" s="123" t="s">
        <v>5945</v>
      </c>
      <c r="D51" s="92" t="s">
        <v>5946</v>
      </c>
      <c r="E51" s="758" t="s">
        <v>2820</v>
      </c>
      <c r="F51" s="758" t="s">
        <v>2821</v>
      </c>
      <c r="G51" s="56">
        <v>1</v>
      </c>
      <c r="H51" s="17">
        <v>340000</v>
      </c>
      <c r="I51" s="17">
        <f t="shared" si="0"/>
        <v>340000</v>
      </c>
      <c r="J51" s="17">
        <f t="shared" si="3"/>
        <v>68000</v>
      </c>
      <c r="K51" s="17">
        <f t="shared" si="1"/>
        <v>272000</v>
      </c>
      <c r="L51" s="17">
        <v>17000</v>
      </c>
      <c r="M51" s="17"/>
      <c r="N51" s="17">
        <f t="shared" si="2"/>
        <v>289000</v>
      </c>
      <c r="O51" s="91" t="s">
        <v>23</v>
      </c>
      <c r="P51" s="183"/>
      <c r="Q51" s="91" t="s">
        <v>40</v>
      </c>
      <c r="R51" s="17"/>
      <c r="S51" s="17"/>
      <c r="T51" s="17"/>
      <c r="U51" s="17"/>
      <c r="V51" s="17"/>
      <c r="W51" s="17"/>
    </row>
    <row r="52" spans="1:23" s="20" customFormat="1" ht="14.25" customHeight="1">
      <c r="A52" s="9">
        <v>44433</v>
      </c>
      <c r="B52" s="91" t="s">
        <v>23</v>
      </c>
      <c r="C52" s="91" t="s">
        <v>5947</v>
      </c>
      <c r="D52" s="92" t="s">
        <v>5948</v>
      </c>
      <c r="E52" s="740" t="s">
        <v>5949</v>
      </c>
      <c r="F52" s="740" t="s">
        <v>5950</v>
      </c>
      <c r="G52" s="56">
        <v>1</v>
      </c>
      <c r="H52" s="17">
        <v>125000</v>
      </c>
      <c r="I52" s="17">
        <f t="shared" si="0"/>
        <v>125000</v>
      </c>
      <c r="J52" s="17"/>
      <c r="K52" s="17">
        <f t="shared" si="1"/>
        <v>125000</v>
      </c>
      <c r="L52" s="17">
        <v>37000</v>
      </c>
      <c r="M52" s="17"/>
      <c r="N52" s="17">
        <f t="shared" si="2"/>
        <v>162000</v>
      </c>
      <c r="O52" s="91" t="s">
        <v>23</v>
      </c>
      <c r="P52" s="183"/>
      <c r="Q52" s="91" t="s">
        <v>40</v>
      </c>
      <c r="R52" s="17"/>
      <c r="S52" s="17"/>
      <c r="T52" s="17"/>
      <c r="U52" s="17"/>
      <c r="V52" s="17"/>
      <c r="W52" s="17"/>
    </row>
    <row r="53" spans="1:23" s="20" customFormat="1" ht="14.25" customHeight="1">
      <c r="A53" s="9">
        <v>44433</v>
      </c>
      <c r="B53" s="91" t="s">
        <v>43</v>
      </c>
      <c r="C53" s="91" t="s">
        <v>5951</v>
      </c>
      <c r="D53" s="92" t="s">
        <v>5952</v>
      </c>
      <c r="E53" s="832" t="s">
        <v>3123</v>
      </c>
      <c r="F53" s="832" t="s">
        <v>3124</v>
      </c>
      <c r="G53" s="56">
        <v>1</v>
      </c>
      <c r="H53" s="17">
        <v>105000</v>
      </c>
      <c r="I53" s="17">
        <f t="shared" si="0"/>
        <v>105000</v>
      </c>
      <c r="J53" s="17">
        <f t="shared" ref="J53:J58" si="4">I53*20%</f>
        <v>21000</v>
      </c>
      <c r="K53" s="17">
        <f t="shared" si="1"/>
        <v>84000</v>
      </c>
      <c r="L53" s="17"/>
      <c r="M53" s="17">
        <v>-27082</v>
      </c>
      <c r="N53" s="17">
        <f t="shared" si="2"/>
        <v>56918</v>
      </c>
      <c r="O53" s="91" t="s">
        <v>43</v>
      </c>
      <c r="P53" s="183"/>
      <c r="Q53" s="91" t="s">
        <v>54</v>
      </c>
      <c r="R53" s="17"/>
      <c r="S53" s="17"/>
      <c r="T53" s="17"/>
      <c r="U53" s="17"/>
      <c r="V53" s="17"/>
      <c r="W53" s="17"/>
    </row>
    <row r="54" spans="1:23" s="20" customFormat="1" ht="14.25" customHeight="1">
      <c r="A54" s="9">
        <v>44433</v>
      </c>
      <c r="B54" s="91" t="s">
        <v>43</v>
      </c>
      <c r="C54" s="91" t="s">
        <v>5951</v>
      </c>
      <c r="D54" s="92" t="s">
        <v>5952</v>
      </c>
      <c r="E54" s="832" t="s">
        <v>5953</v>
      </c>
      <c r="F54" s="832" t="s">
        <v>5954</v>
      </c>
      <c r="G54" s="56">
        <v>1</v>
      </c>
      <c r="H54" s="17">
        <v>61000</v>
      </c>
      <c r="I54" s="17">
        <f t="shared" si="0"/>
        <v>61000</v>
      </c>
      <c r="J54" s="17">
        <f t="shared" si="4"/>
        <v>12200</v>
      </c>
      <c r="K54" s="17">
        <f t="shared" si="1"/>
        <v>48800</v>
      </c>
      <c r="L54" s="17"/>
      <c r="M54" s="17"/>
      <c r="N54" s="17">
        <f t="shared" si="2"/>
        <v>48800</v>
      </c>
      <c r="O54" s="91" t="s">
        <v>43</v>
      </c>
      <c r="P54" s="183"/>
      <c r="Q54" s="91" t="s">
        <v>54</v>
      </c>
      <c r="R54" s="17"/>
      <c r="S54" s="17"/>
      <c r="T54" s="17"/>
      <c r="U54" s="17"/>
      <c r="V54" s="17"/>
      <c r="W54" s="17"/>
    </row>
    <row r="55" spans="1:23" s="20" customFormat="1" ht="14.25" customHeight="1">
      <c r="A55" s="9">
        <v>44433</v>
      </c>
      <c r="B55" s="91" t="s">
        <v>43</v>
      </c>
      <c r="C55" s="91" t="s">
        <v>5951</v>
      </c>
      <c r="D55" s="92" t="s">
        <v>5952</v>
      </c>
      <c r="E55" s="832" t="s">
        <v>2169</v>
      </c>
      <c r="F55" s="832" t="s">
        <v>128</v>
      </c>
      <c r="G55" s="56">
        <v>1</v>
      </c>
      <c r="H55" s="17">
        <v>77500</v>
      </c>
      <c r="I55" s="17">
        <f t="shared" si="0"/>
        <v>77500</v>
      </c>
      <c r="J55" s="17">
        <f t="shared" si="4"/>
        <v>15500</v>
      </c>
      <c r="K55" s="17">
        <f t="shared" si="1"/>
        <v>62000</v>
      </c>
      <c r="L55" s="17"/>
      <c r="M55" s="17"/>
      <c r="N55" s="17">
        <f t="shared" si="2"/>
        <v>62000</v>
      </c>
      <c r="O55" s="91" t="s">
        <v>43</v>
      </c>
      <c r="P55" s="72"/>
      <c r="Q55" s="91" t="s">
        <v>54</v>
      </c>
      <c r="R55" s="17"/>
      <c r="S55" s="17"/>
      <c r="T55" s="17"/>
      <c r="U55" s="17"/>
      <c r="V55" s="17"/>
      <c r="W55" s="17"/>
    </row>
    <row r="56" spans="1:23" s="20" customFormat="1" ht="14.25" customHeight="1">
      <c r="A56" s="9">
        <v>44433</v>
      </c>
      <c r="B56" s="91" t="s">
        <v>43</v>
      </c>
      <c r="C56" s="91" t="s">
        <v>5951</v>
      </c>
      <c r="D56" s="92" t="s">
        <v>5952</v>
      </c>
      <c r="E56" s="832" t="s">
        <v>872</v>
      </c>
      <c r="F56" s="832" t="s">
        <v>873</v>
      </c>
      <c r="G56" s="56">
        <v>1</v>
      </c>
      <c r="H56" s="17">
        <v>136000</v>
      </c>
      <c r="I56" s="17">
        <f t="shared" si="0"/>
        <v>136000</v>
      </c>
      <c r="J56" s="17">
        <f t="shared" si="4"/>
        <v>27200</v>
      </c>
      <c r="K56" s="17">
        <f t="shared" si="1"/>
        <v>108800</v>
      </c>
      <c r="L56" s="17"/>
      <c r="M56" s="17"/>
      <c r="N56" s="17">
        <f t="shared" si="2"/>
        <v>108800</v>
      </c>
      <c r="O56" s="91" t="s">
        <v>43</v>
      </c>
      <c r="P56" s="72"/>
      <c r="Q56" s="91" t="s">
        <v>54</v>
      </c>
      <c r="R56" s="17"/>
      <c r="S56" s="13"/>
      <c r="T56" s="17"/>
      <c r="U56" s="17"/>
      <c r="V56" s="17"/>
      <c r="W56" s="17"/>
    </row>
    <row r="57" spans="1:23" s="20" customFormat="1" ht="14.25" customHeight="1">
      <c r="A57" s="9">
        <v>44433</v>
      </c>
      <c r="B57" s="91" t="s">
        <v>43</v>
      </c>
      <c r="C57" s="91" t="s">
        <v>5951</v>
      </c>
      <c r="D57" s="92" t="s">
        <v>5952</v>
      </c>
      <c r="E57" s="832" t="s">
        <v>4225</v>
      </c>
      <c r="F57" s="832" t="s">
        <v>4226</v>
      </c>
      <c r="G57" s="56">
        <v>1</v>
      </c>
      <c r="H57" s="17">
        <v>126000</v>
      </c>
      <c r="I57" s="17">
        <f t="shared" si="0"/>
        <v>126000</v>
      </c>
      <c r="J57" s="17">
        <f t="shared" si="4"/>
        <v>25200</v>
      </c>
      <c r="K57" s="17">
        <f t="shared" si="1"/>
        <v>100800</v>
      </c>
      <c r="L57" s="17"/>
      <c r="M57" s="17"/>
      <c r="N57" s="17">
        <f t="shared" si="2"/>
        <v>100800</v>
      </c>
      <c r="O57" s="91" t="s">
        <v>43</v>
      </c>
      <c r="P57" s="72"/>
      <c r="Q57" s="91" t="s">
        <v>54</v>
      </c>
      <c r="R57" s="17"/>
      <c r="S57" s="13"/>
      <c r="T57" s="17"/>
      <c r="U57" s="17"/>
      <c r="V57" s="17"/>
      <c r="W57" s="17"/>
    </row>
    <row r="58" spans="1:23" s="20" customFormat="1" ht="14.25" customHeight="1">
      <c r="A58" s="9">
        <v>44433</v>
      </c>
      <c r="B58" s="91" t="s">
        <v>43</v>
      </c>
      <c r="C58" s="91" t="s">
        <v>5951</v>
      </c>
      <c r="D58" s="92" t="s">
        <v>5952</v>
      </c>
      <c r="E58" s="832" t="s">
        <v>5955</v>
      </c>
      <c r="F58" s="832" t="s">
        <v>5956</v>
      </c>
      <c r="G58" s="56">
        <v>1</v>
      </c>
      <c r="H58" s="17">
        <v>99000</v>
      </c>
      <c r="I58" s="17">
        <f t="shared" si="0"/>
        <v>99000</v>
      </c>
      <c r="J58" s="17">
        <f t="shared" si="4"/>
        <v>19800</v>
      </c>
      <c r="K58" s="17">
        <f t="shared" si="1"/>
        <v>79200</v>
      </c>
      <c r="L58" s="17"/>
      <c r="M58" s="17"/>
      <c r="N58" s="17">
        <f t="shared" si="2"/>
        <v>79200</v>
      </c>
      <c r="O58" s="91" t="s">
        <v>43</v>
      </c>
      <c r="P58" s="72"/>
      <c r="Q58" s="91" t="s">
        <v>54</v>
      </c>
      <c r="R58" s="17"/>
      <c r="S58" s="17"/>
      <c r="T58" s="17"/>
      <c r="U58" s="17"/>
      <c r="V58" s="17"/>
      <c r="W58" s="17"/>
    </row>
    <row r="59" spans="1:23" s="20" customFormat="1" ht="14.25" customHeight="1">
      <c r="A59" s="9">
        <v>44433</v>
      </c>
      <c r="B59" s="91" t="s">
        <v>23</v>
      </c>
      <c r="C59" s="123" t="s">
        <v>5957</v>
      </c>
      <c r="D59" s="17" t="s">
        <v>5958</v>
      </c>
      <c r="E59" s="758" t="s">
        <v>5959</v>
      </c>
      <c r="F59" s="758" t="s">
        <v>5960</v>
      </c>
      <c r="G59" s="56">
        <v>1</v>
      </c>
      <c r="H59" s="17">
        <v>126000</v>
      </c>
      <c r="I59" s="17">
        <f t="shared" si="0"/>
        <v>126000</v>
      </c>
      <c r="J59" s="17"/>
      <c r="K59" s="17">
        <f t="shared" si="1"/>
        <v>126000</v>
      </c>
      <c r="L59" s="17">
        <v>25000</v>
      </c>
      <c r="M59" s="17"/>
      <c r="N59" s="17">
        <f t="shared" si="2"/>
        <v>151000</v>
      </c>
      <c r="O59" s="91" t="s">
        <v>23</v>
      </c>
      <c r="P59" s="183"/>
      <c r="Q59" s="91" t="s">
        <v>54</v>
      </c>
      <c r="R59" s="17"/>
      <c r="S59" s="17"/>
      <c r="T59" s="17"/>
      <c r="U59" s="17"/>
      <c r="V59" s="17"/>
      <c r="W59" s="17"/>
    </row>
    <row r="60" spans="1:23" s="20" customFormat="1" ht="14.25" customHeight="1">
      <c r="A60" s="9">
        <v>44433</v>
      </c>
      <c r="B60" s="91" t="s">
        <v>23</v>
      </c>
      <c r="C60" s="123" t="s">
        <v>5961</v>
      </c>
      <c r="D60" s="92" t="s">
        <v>5962</v>
      </c>
      <c r="E60" s="740" t="s">
        <v>661</v>
      </c>
      <c r="F60" s="740" t="s">
        <v>662</v>
      </c>
      <c r="G60" s="56">
        <v>1</v>
      </c>
      <c r="H60" s="17">
        <v>79000</v>
      </c>
      <c r="I60" s="17">
        <f t="shared" si="0"/>
        <v>79000</v>
      </c>
      <c r="J60" s="17"/>
      <c r="K60" s="17">
        <f t="shared" si="1"/>
        <v>79000</v>
      </c>
      <c r="L60" s="17">
        <v>19000</v>
      </c>
      <c r="M60" s="17"/>
      <c r="N60" s="17">
        <f t="shared" si="2"/>
        <v>98000</v>
      </c>
      <c r="O60" s="91" t="s">
        <v>23</v>
      </c>
      <c r="P60" s="183"/>
      <c r="Q60" s="91" t="s">
        <v>54</v>
      </c>
      <c r="R60" s="17"/>
      <c r="S60" s="17"/>
      <c r="T60" s="17"/>
      <c r="U60" s="17"/>
      <c r="V60" s="17"/>
      <c r="W60" s="17"/>
    </row>
    <row r="61" spans="1:23" s="20" customFormat="1" ht="14.25" customHeight="1">
      <c r="A61" s="9">
        <v>44434</v>
      </c>
      <c r="B61" s="91" t="s">
        <v>43</v>
      </c>
      <c r="C61" s="123" t="s">
        <v>5963</v>
      </c>
      <c r="D61" s="92" t="s">
        <v>5964</v>
      </c>
      <c r="E61" s="740" t="s">
        <v>71</v>
      </c>
      <c r="F61" s="740" t="s">
        <v>835</v>
      </c>
      <c r="G61" s="56">
        <v>1</v>
      </c>
      <c r="H61" s="17">
        <v>96000</v>
      </c>
      <c r="I61" s="17">
        <f t="shared" si="0"/>
        <v>96000</v>
      </c>
      <c r="J61" s="17"/>
      <c r="K61" s="17">
        <f t="shared" si="1"/>
        <v>96000</v>
      </c>
      <c r="L61" s="17">
        <v>28900</v>
      </c>
      <c r="M61" s="17">
        <v>-5376</v>
      </c>
      <c r="N61" s="17">
        <f t="shared" si="2"/>
        <v>119524</v>
      </c>
      <c r="O61" s="91" t="s">
        <v>43</v>
      </c>
      <c r="P61" s="72"/>
      <c r="Q61" s="91" t="s">
        <v>54</v>
      </c>
      <c r="R61" s="17"/>
      <c r="S61" s="17"/>
      <c r="T61" s="17"/>
      <c r="U61" s="17"/>
      <c r="V61" s="17"/>
      <c r="W61" s="17"/>
    </row>
    <row r="62" spans="1:23" s="20" customFormat="1" ht="14.25" customHeight="1">
      <c r="A62" s="9">
        <v>44434</v>
      </c>
      <c r="B62" s="91" t="s">
        <v>206</v>
      </c>
      <c r="C62" s="91" t="s">
        <v>5965</v>
      </c>
      <c r="D62" s="92" t="s">
        <v>5966</v>
      </c>
      <c r="E62" s="828" t="s">
        <v>5967</v>
      </c>
      <c r="F62" s="828" t="s">
        <v>5968</v>
      </c>
      <c r="G62" s="56">
        <v>1</v>
      </c>
      <c r="H62" s="17">
        <v>113000</v>
      </c>
      <c r="I62" s="17">
        <f t="shared" si="0"/>
        <v>113000</v>
      </c>
      <c r="J62" s="17"/>
      <c r="K62" s="17">
        <f t="shared" si="1"/>
        <v>113000</v>
      </c>
      <c r="L62" s="17"/>
      <c r="M62" s="17"/>
      <c r="N62" s="17">
        <f t="shared" si="2"/>
        <v>113000</v>
      </c>
      <c r="O62" s="91" t="s">
        <v>206</v>
      </c>
      <c r="P62" s="72"/>
      <c r="Q62" s="91" t="s">
        <v>28</v>
      </c>
      <c r="R62" s="17"/>
      <c r="S62" s="13"/>
      <c r="T62" s="17"/>
      <c r="U62" s="17"/>
      <c r="V62" s="17"/>
      <c r="W62" s="17"/>
    </row>
    <row r="63" spans="1:23" s="20" customFormat="1" ht="14.25" customHeight="1">
      <c r="A63" s="9">
        <v>44434</v>
      </c>
      <c r="B63" s="91" t="s">
        <v>206</v>
      </c>
      <c r="C63" s="91" t="s">
        <v>5965</v>
      </c>
      <c r="D63" s="92" t="s">
        <v>5966</v>
      </c>
      <c r="E63" s="833" t="s">
        <v>5130</v>
      </c>
      <c r="F63" s="833" t="s">
        <v>1858</v>
      </c>
      <c r="G63" s="56">
        <v>1</v>
      </c>
      <c r="H63" s="17">
        <v>68000</v>
      </c>
      <c r="I63" s="17">
        <f t="shared" si="0"/>
        <v>68000</v>
      </c>
      <c r="J63" s="17"/>
      <c r="K63" s="17">
        <f t="shared" si="1"/>
        <v>68000</v>
      </c>
      <c r="L63" s="17"/>
      <c r="M63" s="17"/>
      <c r="N63" s="17">
        <f t="shared" si="2"/>
        <v>68000</v>
      </c>
      <c r="O63" s="91" t="s">
        <v>206</v>
      </c>
      <c r="P63" s="72"/>
      <c r="Q63" s="91" t="s">
        <v>28</v>
      </c>
      <c r="R63" s="17"/>
      <c r="S63" s="17"/>
      <c r="T63" s="17"/>
      <c r="U63" s="17"/>
      <c r="V63" s="17"/>
      <c r="W63" s="17"/>
    </row>
    <row r="64" spans="1:23" s="20" customFormat="1" ht="14.25" customHeight="1">
      <c r="A64" s="9">
        <v>44434</v>
      </c>
      <c r="B64" s="91" t="s">
        <v>23</v>
      </c>
      <c r="C64" s="123" t="s">
        <v>5969</v>
      </c>
      <c r="D64" s="17" t="s">
        <v>5970</v>
      </c>
      <c r="E64" s="740" t="s">
        <v>441</v>
      </c>
      <c r="F64" s="740" t="s">
        <v>1257</v>
      </c>
      <c r="G64" s="56">
        <v>1</v>
      </c>
      <c r="H64" s="17">
        <v>198000</v>
      </c>
      <c r="I64" s="17">
        <f t="shared" si="0"/>
        <v>198000</v>
      </c>
      <c r="J64" s="17"/>
      <c r="K64" s="17">
        <f t="shared" si="1"/>
        <v>198000</v>
      </c>
      <c r="L64" s="17">
        <v>26000</v>
      </c>
      <c r="M64" s="17"/>
      <c r="N64" s="17">
        <f t="shared" si="2"/>
        <v>224000</v>
      </c>
      <c r="O64" s="91" t="s">
        <v>23</v>
      </c>
      <c r="P64" s="72"/>
      <c r="Q64" s="91" t="s">
        <v>40</v>
      </c>
      <c r="R64" s="17"/>
      <c r="S64" s="17"/>
      <c r="T64" s="17"/>
      <c r="U64" s="17"/>
      <c r="V64" s="17"/>
      <c r="W64" s="17"/>
    </row>
    <row r="65" spans="1:23" s="20" customFormat="1" ht="14.25" customHeight="1">
      <c r="A65" s="9">
        <v>44434</v>
      </c>
      <c r="B65" s="91" t="s">
        <v>23</v>
      </c>
      <c r="C65" s="123" t="s">
        <v>5971</v>
      </c>
      <c r="D65" s="92" t="s">
        <v>5972</v>
      </c>
      <c r="E65" s="758" t="s">
        <v>4957</v>
      </c>
      <c r="F65" s="758" t="s">
        <v>4958</v>
      </c>
      <c r="G65" s="56">
        <v>1</v>
      </c>
      <c r="H65" s="17">
        <v>56000</v>
      </c>
      <c r="I65" s="17">
        <f t="shared" si="0"/>
        <v>56000</v>
      </c>
      <c r="J65" s="17"/>
      <c r="K65" s="17">
        <f t="shared" si="1"/>
        <v>56000</v>
      </c>
      <c r="L65" s="17">
        <v>17000</v>
      </c>
      <c r="M65" s="17"/>
      <c r="N65" s="17">
        <f t="shared" si="2"/>
        <v>73000</v>
      </c>
      <c r="O65" s="91" t="s">
        <v>23</v>
      </c>
      <c r="P65" s="72"/>
      <c r="Q65" s="91" t="s">
        <v>40</v>
      </c>
      <c r="R65" s="17"/>
      <c r="S65" s="17"/>
      <c r="T65" s="17"/>
      <c r="U65" s="17"/>
      <c r="V65" s="17"/>
      <c r="W65" s="17"/>
    </row>
    <row r="66" spans="1:23" s="20" customFormat="1" ht="14.25" customHeight="1">
      <c r="A66" s="9">
        <v>44434</v>
      </c>
      <c r="B66" s="91" t="s">
        <v>23</v>
      </c>
      <c r="C66" s="123" t="s">
        <v>5973</v>
      </c>
      <c r="D66" s="92" t="s">
        <v>5974</v>
      </c>
      <c r="E66" s="832" t="s">
        <v>1699</v>
      </c>
      <c r="F66" s="832" t="s">
        <v>1219</v>
      </c>
      <c r="G66" s="56">
        <v>1</v>
      </c>
      <c r="H66" s="17">
        <v>94500</v>
      </c>
      <c r="I66" s="17">
        <f t="shared" ref="I66:I128" si="5">H66*G66</f>
        <v>94500</v>
      </c>
      <c r="J66" s="17"/>
      <c r="K66" s="17">
        <f t="shared" ref="K66:K128" si="6">I66-J66</f>
        <v>94500</v>
      </c>
      <c r="L66" s="17">
        <v>19000</v>
      </c>
      <c r="M66" s="17"/>
      <c r="N66" s="17">
        <f t="shared" ref="N66:N128" si="7">K66+L66+M66</f>
        <v>113500</v>
      </c>
      <c r="O66" s="91" t="s">
        <v>23</v>
      </c>
      <c r="P66" s="72"/>
      <c r="Q66" s="91" t="s">
        <v>40</v>
      </c>
      <c r="R66" s="17"/>
      <c r="S66" s="17"/>
      <c r="T66" s="17"/>
      <c r="U66" s="17"/>
      <c r="V66" s="17"/>
      <c r="W66" s="17"/>
    </row>
    <row r="67" spans="1:23" s="20" customFormat="1" ht="14.25" customHeight="1">
      <c r="A67" s="9">
        <v>44434</v>
      </c>
      <c r="B67" s="91" t="s">
        <v>23</v>
      </c>
      <c r="C67" s="123" t="s">
        <v>5973</v>
      </c>
      <c r="D67" s="92" t="s">
        <v>5974</v>
      </c>
      <c r="E67" s="832" t="s">
        <v>5975</v>
      </c>
      <c r="F67" s="832" t="s">
        <v>5976</v>
      </c>
      <c r="G67" s="56">
        <v>1</v>
      </c>
      <c r="H67" s="17">
        <v>97000</v>
      </c>
      <c r="I67" s="17">
        <f t="shared" si="5"/>
        <v>97000</v>
      </c>
      <c r="J67" s="17"/>
      <c r="K67" s="17">
        <f t="shared" si="6"/>
        <v>97000</v>
      </c>
      <c r="L67" s="17"/>
      <c r="M67" s="17"/>
      <c r="N67" s="17">
        <f t="shared" si="7"/>
        <v>97000</v>
      </c>
      <c r="O67" s="91" t="s">
        <v>23</v>
      </c>
      <c r="P67" s="72"/>
      <c r="Q67" s="91" t="s">
        <v>40</v>
      </c>
      <c r="R67" s="17"/>
      <c r="S67" s="17"/>
      <c r="T67" s="17"/>
      <c r="U67" s="17"/>
      <c r="V67" s="17"/>
      <c r="W67" s="17"/>
    </row>
    <row r="68" spans="1:23" s="20" customFormat="1" ht="14.25" customHeight="1">
      <c r="A68" s="9">
        <v>44434</v>
      </c>
      <c r="B68" s="91" t="s">
        <v>23</v>
      </c>
      <c r="C68" s="123" t="s">
        <v>5973</v>
      </c>
      <c r="D68" s="92" t="s">
        <v>5974</v>
      </c>
      <c r="E68" s="832" t="s">
        <v>5977</v>
      </c>
      <c r="F68" s="832" t="s">
        <v>5978</v>
      </c>
      <c r="G68" s="56">
        <v>1</v>
      </c>
      <c r="H68" s="17">
        <v>170000</v>
      </c>
      <c r="I68" s="17">
        <f t="shared" si="5"/>
        <v>170000</v>
      </c>
      <c r="J68" s="17"/>
      <c r="K68" s="17">
        <f t="shared" si="6"/>
        <v>170000</v>
      </c>
      <c r="L68" s="17"/>
      <c r="M68" s="17"/>
      <c r="N68" s="17">
        <f t="shared" si="7"/>
        <v>170000</v>
      </c>
      <c r="O68" s="91" t="s">
        <v>23</v>
      </c>
      <c r="P68" s="72"/>
      <c r="Q68" s="91" t="s">
        <v>40</v>
      </c>
      <c r="R68" s="17"/>
      <c r="S68" s="17"/>
      <c r="T68" s="17"/>
      <c r="U68" s="17"/>
      <c r="V68" s="17"/>
      <c r="W68" s="17"/>
    </row>
    <row r="69" spans="1:23" s="20" customFormat="1" ht="14.25" customHeight="1">
      <c r="A69" s="9">
        <v>44434</v>
      </c>
      <c r="B69" s="91" t="s">
        <v>206</v>
      </c>
      <c r="C69" s="91" t="s">
        <v>5979</v>
      </c>
      <c r="D69" s="92" t="s">
        <v>5980</v>
      </c>
      <c r="E69" s="758" t="s">
        <v>1737</v>
      </c>
      <c r="F69" s="758" t="s">
        <v>1738</v>
      </c>
      <c r="G69" s="56">
        <v>1</v>
      </c>
      <c r="H69" s="17">
        <v>69000</v>
      </c>
      <c r="I69" s="17">
        <f t="shared" si="5"/>
        <v>69000</v>
      </c>
      <c r="J69" s="17"/>
      <c r="K69" s="17">
        <f t="shared" si="6"/>
        <v>69000</v>
      </c>
      <c r="L69" s="17">
        <v>12400</v>
      </c>
      <c r="M69" s="17"/>
      <c r="N69" s="17">
        <f t="shared" si="7"/>
        <v>81400</v>
      </c>
      <c r="O69" s="91" t="s">
        <v>206</v>
      </c>
      <c r="P69" s="72"/>
      <c r="Q69" s="91" t="s">
        <v>176</v>
      </c>
      <c r="R69" s="17"/>
      <c r="S69" s="17"/>
      <c r="T69" s="17"/>
      <c r="U69" s="17"/>
      <c r="V69" s="17"/>
      <c r="W69" s="17"/>
    </row>
    <row r="70" spans="1:23" s="20" customFormat="1">
      <c r="A70" s="9">
        <v>44434</v>
      </c>
      <c r="B70" s="91" t="s">
        <v>23</v>
      </c>
      <c r="C70" s="91" t="s">
        <v>431</v>
      </c>
      <c r="D70" s="17" t="s">
        <v>31</v>
      </c>
      <c r="E70" s="834" t="s">
        <v>5981</v>
      </c>
      <c r="F70" s="834" t="s">
        <v>4122</v>
      </c>
      <c r="G70" s="56">
        <v>1</v>
      </c>
      <c r="H70" s="17">
        <v>176000</v>
      </c>
      <c r="I70" s="17">
        <f t="shared" si="5"/>
        <v>176000</v>
      </c>
      <c r="J70" s="17">
        <f>I70*25%+40000</f>
        <v>84000</v>
      </c>
      <c r="K70" s="17">
        <f t="shared" si="6"/>
        <v>92000</v>
      </c>
      <c r="L70" s="17"/>
      <c r="M70" s="17"/>
      <c r="N70" s="17">
        <f t="shared" si="7"/>
        <v>92000</v>
      </c>
      <c r="O70" s="91" t="s">
        <v>23</v>
      </c>
      <c r="P70" s="72"/>
      <c r="Q70" s="10" t="s">
        <v>35</v>
      </c>
      <c r="R70" s="17"/>
      <c r="S70" s="17"/>
      <c r="T70" s="17"/>
      <c r="U70" s="17"/>
      <c r="V70" s="17"/>
      <c r="W70" s="17"/>
    </row>
    <row r="71" spans="1:23" s="20" customFormat="1">
      <c r="A71" s="9">
        <v>44434</v>
      </c>
      <c r="B71" s="91" t="s">
        <v>23</v>
      </c>
      <c r="C71" s="91" t="s">
        <v>431</v>
      </c>
      <c r="D71" s="17" t="s">
        <v>31</v>
      </c>
      <c r="E71" s="832" t="s">
        <v>5982</v>
      </c>
      <c r="F71" s="832" t="s">
        <v>5983</v>
      </c>
      <c r="G71" s="56">
        <v>1</v>
      </c>
      <c r="H71" s="17">
        <v>71000</v>
      </c>
      <c r="I71" s="17">
        <f t="shared" si="5"/>
        <v>71000</v>
      </c>
      <c r="J71" s="17">
        <f>I71*25%</f>
        <v>17750</v>
      </c>
      <c r="K71" s="17">
        <f t="shared" si="6"/>
        <v>53250</v>
      </c>
      <c r="L71" s="17"/>
      <c r="M71" s="17"/>
      <c r="N71" s="17">
        <f t="shared" si="7"/>
        <v>53250</v>
      </c>
      <c r="O71" s="91" t="s">
        <v>23</v>
      </c>
      <c r="P71" s="72"/>
      <c r="Q71" s="10" t="s">
        <v>35</v>
      </c>
      <c r="R71" s="17"/>
      <c r="S71" s="13"/>
      <c r="T71" s="17"/>
      <c r="U71" s="17"/>
      <c r="V71" s="17"/>
      <c r="W71" s="17"/>
    </row>
    <row r="72" spans="1:23" s="20" customFormat="1">
      <c r="A72" s="9">
        <v>44434</v>
      </c>
      <c r="B72" s="91" t="s">
        <v>23</v>
      </c>
      <c r="C72" s="123" t="s">
        <v>5984</v>
      </c>
      <c r="D72" s="92" t="s">
        <v>5985</v>
      </c>
      <c r="E72" s="740" t="s">
        <v>5986</v>
      </c>
      <c r="F72" s="740" t="s">
        <v>1439</v>
      </c>
      <c r="G72" s="56">
        <v>1</v>
      </c>
      <c r="H72" s="17">
        <v>305000</v>
      </c>
      <c r="I72" s="17">
        <f t="shared" si="5"/>
        <v>305000</v>
      </c>
      <c r="J72" s="17">
        <f>I72*20%</f>
        <v>61000</v>
      </c>
      <c r="K72" s="17">
        <f t="shared" si="6"/>
        <v>244000</v>
      </c>
      <c r="L72" s="17">
        <v>65000</v>
      </c>
      <c r="M72" s="17"/>
      <c r="N72" s="17">
        <f t="shared" si="7"/>
        <v>309000</v>
      </c>
      <c r="O72" s="91" t="s">
        <v>23</v>
      </c>
      <c r="P72" s="183"/>
      <c r="Q72" s="10" t="s">
        <v>54</v>
      </c>
      <c r="R72" s="17"/>
      <c r="S72" s="17"/>
      <c r="T72" s="17"/>
      <c r="U72" s="17"/>
      <c r="V72" s="17"/>
      <c r="W72" s="17"/>
    </row>
    <row r="73" spans="1:23" s="20" customFormat="1">
      <c r="A73" s="9">
        <v>44434</v>
      </c>
      <c r="B73" s="91" t="s">
        <v>23</v>
      </c>
      <c r="C73" s="91" t="s">
        <v>5987</v>
      </c>
      <c r="D73" s="92" t="s">
        <v>5988</v>
      </c>
      <c r="E73" s="740" t="s">
        <v>4999</v>
      </c>
      <c r="F73" s="740" t="s">
        <v>5000</v>
      </c>
      <c r="G73" s="56">
        <v>1</v>
      </c>
      <c r="H73" s="17">
        <v>124500</v>
      </c>
      <c r="I73" s="17">
        <f t="shared" si="5"/>
        <v>124500</v>
      </c>
      <c r="J73" s="17"/>
      <c r="K73" s="17">
        <f t="shared" si="6"/>
        <v>124500</v>
      </c>
      <c r="L73" s="17">
        <v>55000</v>
      </c>
      <c r="M73" s="17"/>
      <c r="N73" s="17">
        <f t="shared" si="7"/>
        <v>179500</v>
      </c>
      <c r="O73" s="91" t="s">
        <v>23</v>
      </c>
      <c r="P73" s="183"/>
      <c r="Q73" s="10" t="s">
        <v>4699</v>
      </c>
      <c r="R73" s="17"/>
      <c r="S73" s="17"/>
      <c r="T73" s="17"/>
      <c r="U73" s="17"/>
      <c r="V73" s="17"/>
      <c r="W73" s="17"/>
    </row>
    <row r="74" spans="1:23" s="20" customFormat="1">
      <c r="A74" s="9">
        <v>44434</v>
      </c>
      <c r="B74" s="91" t="s">
        <v>23</v>
      </c>
      <c r="C74" s="91" t="s">
        <v>431</v>
      </c>
      <c r="D74" s="17" t="s">
        <v>31</v>
      </c>
      <c r="E74" s="835" t="s">
        <v>5617</v>
      </c>
      <c r="F74" s="835" t="s">
        <v>5618</v>
      </c>
      <c r="G74" s="56">
        <v>1</v>
      </c>
      <c r="H74" s="17">
        <v>90000</v>
      </c>
      <c r="I74" s="17">
        <f t="shared" si="5"/>
        <v>90000</v>
      </c>
      <c r="J74" s="17">
        <f>I74*25%+40000</f>
        <v>62500</v>
      </c>
      <c r="K74" s="17">
        <f t="shared" si="6"/>
        <v>27500</v>
      </c>
      <c r="L74" s="17"/>
      <c r="M74" s="17"/>
      <c r="N74" s="17">
        <f t="shared" si="7"/>
        <v>27500</v>
      </c>
      <c r="O74" s="91" t="s">
        <v>23</v>
      </c>
      <c r="P74" s="183"/>
      <c r="Q74" s="91" t="s">
        <v>35</v>
      </c>
      <c r="R74" s="17"/>
      <c r="S74" s="17"/>
      <c r="T74" s="17"/>
      <c r="U74" s="17"/>
      <c r="V74" s="17"/>
      <c r="W74" s="17"/>
    </row>
    <row r="75" spans="1:23" s="20" customFormat="1">
      <c r="A75" s="9">
        <v>44434</v>
      </c>
      <c r="B75" s="91" t="s">
        <v>23</v>
      </c>
      <c r="C75" s="91" t="s">
        <v>431</v>
      </c>
      <c r="D75" s="17" t="s">
        <v>31</v>
      </c>
      <c r="E75" s="835" t="s">
        <v>5989</v>
      </c>
      <c r="F75" s="835" t="s">
        <v>5990</v>
      </c>
      <c r="G75" s="56">
        <v>1</v>
      </c>
      <c r="H75" s="17">
        <v>113000</v>
      </c>
      <c r="I75" s="17">
        <f t="shared" si="5"/>
        <v>113000</v>
      </c>
      <c r="J75" s="17">
        <f>I75*25%</f>
        <v>28250</v>
      </c>
      <c r="K75" s="17">
        <f t="shared" si="6"/>
        <v>84750</v>
      </c>
      <c r="L75" s="17"/>
      <c r="M75" s="17"/>
      <c r="N75" s="17">
        <f t="shared" si="7"/>
        <v>84750</v>
      </c>
      <c r="O75" s="91" t="s">
        <v>23</v>
      </c>
      <c r="P75" s="183"/>
      <c r="Q75" s="91" t="s">
        <v>35</v>
      </c>
      <c r="R75" s="17"/>
      <c r="S75" s="17"/>
      <c r="T75" s="17"/>
      <c r="U75" s="17"/>
      <c r="V75" s="17"/>
      <c r="W75" s="17"/>
    </row>
    <row r="76" spans="1:23" s="20" customFormat="1">
      <c r="A76" s="9">
        <v>44434</v>
      </c>
      <c r="B76" s="91" t="s">
        <v>23</v>
      </c>
      <c r="C76" s="91" t="s">
        <v>431</v>
      </c>
      <c r="D76" s="17" t="s">
        <v>31</v>
      </c>
      <c r="E76" s="835" t="s">
        <v>3881</v>
      </c>
      <c r="F76" s="835" t="s">
        <v>3882</v>
      </c>
      <c r="G76" s="56">
        <v>1</v>
      </c>
      <c r="H76" s="17">
        <v>59000</v>
      </c>
      <c r="I76" s="17">
        <f t="shared" si="5"/>
        <v>59000</v>
      </c>
      <c r="J76" s="17">
        <f>I76*25%</f>
        <v>14750</v>
      </c>
      <c r="K76" s="17">
        <f t="shared" si="6"/>
        <v>44250</v>
      </c>
      <c r="L76" s="17"/>
      <c r="M76" s="17"/>
      <c r="N76" s="17">
        <f t="shared" si="7"/>
        <v>44250</v>
      </c>
      <c r="O76" s="91" t="s">
        <v>23</v>
      </c>
      <c r="P76" s="183"/>
      <c r="Q76" s="91" t="s">
        <v>35</v>
      </c>
      <c r="R76" s="17"/>
      <c r="S76" s="17"/>
      <c r="T76" s="17"/>
      <c r="U76" s="17"/>
      <c r="V76" s="17"/>
      <c r="W76" s="17"/>
    </row>
    <row r="77" spans="1:23" s="20" customFormat="1">
      <c r="A77" s="9">
        <v>44435</v>
      </c>
      <c r="B77" s="91" t="s">
        <v>43</v>
      </c>
      <c r="C77" s="123" t="s">
        <v>5991</v>
      </c>
      <c r="D77" s="92" t="s">
        <v>5992</v>
      </c>
      <c r="E77" s="740" t="s">
        <v>5993</v>
      </c>
      <c r="F77" s="740" t="s">
        <v>5994</v>
      </c>
      <c r="G77" s="56">
        <v>1</v>
      </c>
      <c r="H77" s="17">
        <v>106500</v>
      </c>
      <c r="I77" s="17">
        <f t="shared" si="5"/>
        <v>106500</v>
      </c>
      <c r="J77" s="17">
        <f>I77*20%</f>
        <v>21300</v>
      </c>
      <c r="K77" s="17">
        <f t="shared" si="6"/>
        <v>85200</v>
      </c>
      <c r="L77" s="17"/>
      <c r="M77" s="17">
        <v>-4771</v>
      </c>
      <c r="N77" s="17">
        <f t="shared" si="7"/>
        <v>80429</v>
      </c>
      <c r="O77" s="91" t="s">
        <v>43</v>
      </c>
      <c r="P77" s="72"/>
      <c r="Q77" s="91" t="s">
        <v>176</v>
      </c>
      <c r="R77" s="17"/>
      <c r="S77" s="17"/>
      <c r="T77" s="17"/>
      <c r="U77" s="17"/>
      <c r="V77" s="17"/>
      <c r="W77" s="17"/>
    </row>
    <row r="78" spans="1:23" s="29" customFormat="1">
      <c r="A78" s="9">
        <v>44435</v>
      </c>
      <c r="B78" s="91" t="s">
        <v>670</v>
      </c>
      <c r="C78" s="91" t="s">
        <v>5995</v>
      </c>
      <c r="D78" s="92" t="s">
        <v>5996</v>
      </c>
      <c r="E78" s="758" t="s">
        <v>5997</v>
      </c>
      <c r="F78" s="758" t="s">
        <v>5998</v>
      </c>
      <c r="G78" s="56">
        <v>1</v>
      </c>
      <c r="H78" s="92">
        <v>59000</v>
      </c>
      <c r="I78" s="17">
        <f t="shared" si="5"/>
        <v>59000</v>
      </c>
      <c r="J78" s="92"/>
      <c r="K78" s="17">
        <f t="shared" si="6"/>
        <v>59000</v>
      </c>
      <c r="L78" s="92">
        <v>7000</v>
      </c>
      <c r="M78" s="92"/>
      <c r="N78" s="17">
        <f t="shared" si="7"/>
        <v>66000</v>
      </c>
      <c r="O78" s="91" t="s">
        <v>670</v>
      </c>
      <c r="P78" s="72"/>
      <c r="Q78" s="91" t="s">
        <v>28</v>
      </c>
      <c r="R78" s="92"/>
      <c r="S78" s="92"/>
      <c r="T78" s="92"/>
      <c r="U78" s="92"/>
      <c r="V78" s="92"/>
      <c r="W78" s="92"/>
    </row>
    <row r="79" spans="1:23" s="20" customFormat="1">
      <c r="A79" s="9">
        <v>44435</v>
      </c>
      <c r="B79" s="91" t="s">
        <v>206</v>
      </c>
      <c r="C79" s="123" t="s">
        <v>5999</v>
      </c>
      <c r="D79" s="92" t="s">
        <v>6000</v>
      </c>
      <c r="E79" s="758" t="s">
        <v>5604</v>
      </c>
      <c r="F79" s="758" t="s">
        <v>5605</v>
      </c>
      <c r="G79" s="56">
        <v>1</v>
      </c>
      <c r="H79" s="92">
        <v>72000</v>
      </c>
      <c r="I79" s="17">
        <f t="shared" si="5"/>
        <v>72000</v>
      </c>
      <c r="J79" s="17">
        <v>10000</v>
      </c>
      <c r="K79" s="17">
        <f t="shared" si="6"/>
        <v>62000</v>
      </c>
      <c r="L79" s="17">
        <v>11400</v>
      </c>
      <c r="M79" s="17"/>
      <c r="N79" s="17">
        <f t="shared" si="7"/>
        <v>73400</v>
      </c>
      <c r="O79" s="91" t="s">
        <v>206</v>
      </c>
      <c r="P79" s="183"/>
      <c r="Q79" s="91" t="s">
        <v>176</v>
      </c>
      <c r="R79" s="17"/>
      <c r="S79" s="17"/>
      <c r="T79" s="17"/>
      <c r="U79" s="17"/>
      <c r="V79" s="17"/>
      <c r="W79" s="17"/>
    </row>
    <row r="80" spans="1:23" s="20" customFormat="1">
      <c r="A80" s="9">
        <v>44435</v>
      </c>
      <c r="B80" s="91" t="s">
        <v>23</v>
      </c>
      <c r="C80" s="91" t="s">
        <v>6001</v>
      </c>
      <c r="D80" s="92" t="s">
        <v>6002</v>
      </c>
      <c r="E80" s="830" t="s">
        <v>6003</v>
      </c>
      <c r="F80" s="830" t="s">
        <v>6004</v>
      </c>
      <c r="G80" s="56">
        <v>1</v>
      </c>
      <c r="H80" s="17">
        <v>210000</v>
      </c>
      <c r="I80" s="17">
        <f t="shared" si="5"/>
        <v>210000</v>
      </c>
      <c r="J80" s="17"/>
      <c r="K80" s="17">
        <f t="shared" si="6"/>
        <v>210000</v>
      </c>
      <c r="L80" s="17">
        <v>69000</v>
      </c>
      <c r="M80" s="17"/>
      <c r="N80" s="17">
        <f t="shared" si="7"/>
        <v>279000</v>
      </c>
      <c r="O80" s="91" t="s">
        <v>23</v>
      </c>
      <c r="P80" s="72"/>
      <c r="Q80" s="91" t="s">
        <v>40</v>
      </c>
      <c r="R80" s="17"/>
      <c r="S80" s="17"/>
      <c r="T80" s="17"/>
      <c r="U80" s="17"/>
      <c r="V80" s="17"/>
      <c r="W80" s="17"/>
    </row>
    <row r="81" spans="1:23" s="20" customFormat="1">
      <c r="A81" s="9">
        <v>44435</v>
      </c>
      <c r="B81" s="91" t="s">
        <v>23</v>
      </c>
      <c r="C81" s="91" t="s">
        <v>6001</v>
      </c>
      <c r="D81" s="92" t="s">
        <v>6002</v>
      </c>
      <c r="E81" s="829" t="s">
        <v>2294</v>
      </c>
      <c r="F81" s="829" t="s">
        <v>2295</v>
      </c>
      <c r="G81" s="56">
        <v>1</v>
      </c>
      <c r="H81" s="17">
        <v>125000</v>
      </c>
      <c r="I81" s="17">
        <f t="shared" si="5"/>
        <v>125000</v>
      </c>
      <c r="J81" s="17"/>
      <c r="K81" s="17">
        <f t="shared" si="6"/>
        <v>125000</v>
      </c>
      <c r="L81" s="17"/>
      <c r="M81" s="17"/>
      <c r="N81" s="17">
        <f t="shared" si="7"/>
        <v>125000</v>
      </c>
      <c r="O81" s="91" t="s">
        <v>23</v>
      </c>
      <c r="P81" s="183"/>
      <c r="Q81" s="91" t="s">
        <v>40</v>
      </c>
      <c r="R81" s="17"/>
      <c r="S81" s="17"/>
      <c r="T81" s="17"/>
      <c r="U81" s="17"/>
      <c r="V81" s="17"/>
      <c r="W81" s="17"/>
    </row>
    <row r="82" spans="1:23" s="20" customFormat="1">
      <c r="A82" s="9">
        <v>44435</v>
      </c>
      <c r="B82" s="91" t="s">
        <v>23</v>
      </c>
      <c r="C82" s="123" t="s">
        <v>6005</v>
      </c>
      <c r="D82" s="92" t="s">
        <v>6006</v>
      </c>
      <c r="E82" s="758" t="s">
        <v>3348</v>
      </c>
      <c r="F82" s="758" t="s">
        <v>3349</v>
      </c>
      <c r="G82" s="56">
        <v>2</v>
      </c>
      <c r="H82" s="17">
        <v>88000</v>
      </c>
      <c r="I82" s="17">
        <f t="shared" si="5"/>
        <v>176000</v>
      </c>
      <c r="J82" s="17">
        <f>I82*20%</f>
        <v>35200</v>
      </c>
      <c r="K82" s="17">
        <f t="shared" si="6"/>
        <v>140800</v>
      </c>
      <c r="L82" s="17">
        <v>57000</v>
      </c>
      <c r="M82" s="17"/>
      <c r="N82" s="17">
        <f t="shared" si="7"/>
        <v>197800</v>
      </c>
      <c r="O82" s="91" t="s">
        <v>23</v>
      </c>
      <c r="P82" s="183"/>
      <c r="Q82" s="91" t="s">
        <v>40</v>
      </c>
      <c r="R82" s="17"/>
      <c r="S82" s="17"/>
      <c r="T82" s="17"/>
      <c r="U82" s="17"/>
      <c r="V82" s="17"/>
      <c r="W82" s="17"/>
    </row>
    <row r="83" spans="1:23" s="20" customFormat="1">
      <c r="A83" s="9">
        <v>44435</v>
      </c>
      <c r="B83" s="91" t="s">
        <v>313</v>
      </c>
      <c r="C83" s="123" t="s">
        <v>6007</v>
      </c>
      <c r="D83" s="92" t="s">
        <v>6008</v>
      </c>
      <c r="E83" s="836" t="s">
        <v>6009</v>
      </c>
      <c r="F83" s="836" t="s">
        <v>891</v>
      </c>
      <c r="G83" s="837">
        <v>1</v>
      </c>
      <c r="H83" s="17">
        <v>217000</v>
      </c>
      <c r="I83" s="17">
        <f t="shared" si="5"/>
        <v>217000</v>
      </c>
      <c r="J83" s="17"/>
      <c r="K83" s="17">
        <f t="shared" si="6"/>
        <v>217000</v>
      </c>
      <c r="L83" s="17">
        <v>48090</v>
      </c>
      <c r="M83" s="17"/>
      <c r="N83" s="17">
        <f t="shared" si="7"/>
        <v>265090</v>
      </c>
      <c r="O83" s="91" t="s">
        <v>313</v>
      </c>
      <c r="P83" s="72"/>
      <c r="Q83" s="91" t="s">
        <v>28</v>
      </c>
      <c r="R83" s="17"/>
      <c r="S83" s="17"/>
      <c r="T83" s="17"/>
      <c r="U83" s="17"/>
      <c r="V83" s="17"/>
      <c r="W83" s="17"/>
    </row>
    <row r="84" spans="1:23" s="20" customFormat="1">
      <c r="A84" s="9">
        <v>44435</v>
      </c>
      <c r="B84" s="91" t="s">
        <v>313</v>
      </c>
      <c r="C84" s="123" t="s">
        <v>6007</v>
      </c>
      <c r="D84" s="92" t="s">
        <v>6008</v>
      </c>
      <c r="E84" s="828" t="s">
        <v>1163</v>
      </c>
      <c r="F84" s="828" t="s">
        <v>1164</v>
      </c>
      <c r="G84" s="56">
        <v>1</v>
      </c>
      <c r="H84" s="17">
        <v>155000</v>
      </c>
      <c r="I84" s="17">
        <f t="shared" si="5"/>
        <v>155000</v>
      </c>
      <c r="J84" s="17"/>
      <c r="K84" s="17">
        <f t="shared" si="6"/>
        <v>155000</v>
      </c>
      <c r="L84" s="17"/>
      <c r="M84" s="17"/>
      <c r="N84" s="17">
        <f t="shared" si="7"/>
        <v>155000</v>
      </c>
      <c r="O84" s="91" t="s">
        <v>313</v>
      </c>
      <c r="P84" s="72"/>
      <c r="Q84" s="91" t="s">
        <v>28</v>
      </c>
      <c r="R84" s="17"/>
      <c r="S84" s="17"/>
      <c r="T84" s="17"/>
      <c r="U84" s="17"/>
      <c r="V84" s="17"/>
      <c r="W84" s="17"/>
    </row>
    <row r="85" spans="1:23" s="20" customFormat="1">
      <c r="A85" s="9">
        <v>44435</v>
      </c>
      <c r="B85" s="91" t="s">
        <v>313</v>
      </c>
      <c r="C85" s="91" t="s">
        <v>6010</v>
      </c>
      <c r="D85" s="92" t="s">
        <v>6011</v>
      </c>
      <c r="E85" s="758" t="s">
        <v>2739</v>
      </c>
      <c r="F85" s="758" t="s">
        <v>2740</v>
      </c>
      <c r="G85" s="56">
        <v>1</v>
      </c>
      <c r="H85" s="17">
        <v>158000</v>
      </c>
      <c r="I85" s="17">
        <f t="shared" si="5"/>
        <v>158000</v>
      </c>
      <c r="J85" s="17"/>
      <c r="K85" s="17">
        <f t="shared" si="6"/>
        <v>158000</v>
      </c>
      <c r="L85" s="17">
        <v>17042</v>
      </c>
      <c r="M85" s="17"/>
      <c r="N85" s="17">
        <f t="shared" si="7"/>
        <v>175042</v>
      </c>
      <c r="O85" s="91" t="s">
        <v>313</v>
      </c>
      <c r="P85" s="72"/>
      <c r="Q85" s="91" t="s">
        <v>40</v>
      </c>
      <c r="R85" s="17"/>
      <c r="S85" s="17"/>
      <c r="T85" s="17"/>
      <c r="U85" s="17"/>
      <c r="V85" s="17"/>
      <c r="W85" s="17"/>
    </row>
    <row r="86" spans="1:23" s="20" customFormat="1">
      <c r="A86" s="9">
        <v>44438</v>
      </c>
      <c r="B86" s="91" t="s">
        <v>43</v>
      </c>
      <c r="C86" s="123" t="s">
        <v>6012</v>
      </c>
      <c r="D86" s="92" t="s">
        <v>6013</v>
      </c>
      <c r="E86" s="758" t="s">
        <v>2667</v>
      </c>
      <c r="F86" s="758" t="s">
        <v>2668</v>
      </c>
      <c r="G86" s="56">
        <v>1</v>
      </c>
      <c r="H86" s="17">
        <v>127000</v>
      </c>
      <c r="I86" s="92">
        <f t="shared" si="5"/>
        <v>127000</v>
      </c>
      <c r="J86" s="17">
        <f>I86*20%</f>
        <v>25400</v>
      </c>
      <c r="K86" s="17">
        <f t="shared" si="6"/>
        <v>101600</v>
      </c>
      <c r="L86" s="17"/>
      <c r="M86" s="17">
        <v>-5690</v>
      </c>
      <c r="N86" s="17">
        <f t="shared" si="7"/>
        <v>95910</v>
      </c>
      <c r="O86" s="91" t="s">
        <v>43</v>
      </c>
      <c r="P86" s="72"/>
      <c r="Q86" s="91" t="s">
        <v>54</v>
      </c>
      <c r="R86" s="17"/>
      <c r="S86" s="17"/>
      <c r="T86" s="17"/>
      <c r="U86" s="17"/>
      <c r="V86" s="17"/>
      <c r="W86" s="17"/>
    </row>
    <row r="87" spans="1:23" s="20" customFormat="1">
      <c r="A87" s="9">
        <v>44438</v>
      </c>
      <c r="B87" s="91" t="s">
        <v>43</v>
      </c>
      <c r="C87" s="91" t="s">
        <v>6014</v>
      </c>
      <c r="D87" s="92" t="s">
        <v>6015</v>
      </c>
      <c r="E87" s="740" t="s">
        <v>403</v>
      </c>
      <c r="F87" s="740" t="s">
        <v>404</v>
      </c>
      <c r="G87" s="56">
        <v>1</v>
      </c>
      <c r="H87" s="86">
        <v>101500</v>
      </c>
      <c r="I87" s="92">
        <f t="shared" si="5"/>
        <v>101500</v>
      </c>
      <c r="J87" s="17">
        <f>I87*20%</f>
        <v>20300</v>
      </c>
      <c r="K87" s="17">
        <f t="shared" si="6"/>
        <v>81200</v>
      </c>
      <c r="L87" s="17"/>
      <c r="M87" s="17">
        <v>-4547</v>
      </c>
      <c r="N87" s="17">
        <f t="shared" si="7"/>
        <v>76653</v>
      </c>
      <c r="O87" s="91" t="s">
        <v>43</v>
      </c>
      <c r="P87" s="72"/>
      <c r="Q87" s="91" t="s">
        <v>54</v>
      </c>
      <c r="R87" s="17"/>
      <c r="S87" s="17"/>
      <c r="T87" s="17"/>
      <c r="U87" s="17"/>
      <c r="V87" s="17"/>
      <c r="W87" s="17"/>
    </row>
    <row r="88" spans="1:23" s="20" customFormat="1">
      <c r="A88" s="9">
        <v>44438</v>
      </c>
      <c r="B88" s="91" t="s">
        <v>43</v>
      </c>
      <c r="C88" s="123" t="s">
        <v>6016</v>
      </c>
      <c r="D88" s="92" t="s">
        <v>6017</v>
      </c>
      <c r="E88" s="740" t="s">
        <v>6018</v>
      </c>
      <c r="F88" s="758" t="s">
        <v>6019</v>
      </c>
      <c r="G88" s="56">
        <v>1</v>
      </c>
      <c r="H88" s="86">
        <v>88000</v>
      </c>
      <c r="I88" s="92">
        <f t="shared" si="5"/>
        <v>88000</v>
      </c>
      <c r="J88" s="17">
        <f>I88*20%</f>
        <v>17600</v>
      </c>
      <c r="K88" s="17">
        <f t="shared" si="6"/>
        <v>70400</v>
      </c>
      <c r="L88" s="17"/>
      <c r="M88" s="17">
        <v>-3942</v>
      </c>
      <c r="N88" s="17">
        <f t="shared" si="7"/>
        <v>66458</v>
      </c>
      <c r="O88" s="91" t="s">
        <v>43</v>
      </c>
      <c r="P88" s="183"/>
      <c r="Q88" s="91" t="s">
        <v>54</v>
      </c>
      <c r="R88" s="17"/>
      <c r="S88" s="17"/>
      <c r="T88" s="17"/>
      <c r="U88" s="17"/>
      <c r="V88" s="17"/>
      <c r="W88" s="17"/>
    </row>
    <row r="89" spans="1:23" s="29" customFormat="1" ht="17.25" customHeight="1">
      <c r="A89" s="9">
        <v>44438</v>
      </c>
      <c r="B89" s="91" t="s">
        <v>43</v>
      </c>
      <c r="C89" s="91" t="s">
        <v>4532</v>
      </c>
      <c r="D89" s="92" t="s">
        <v>6020</v>
      </c>
      <c r="E89" s="758" t="s">
        <v>2667</v>
      </c>
      <c r="F89" s="758" t="s">
        <v>2668</v>
      </c>
      <c r="G89" s="56">
        <v>1</v>
      </c>
      <c r="H89" s="86">
        <v>112000</v>
      </c>
      <c r="I89" s="92">
        <f t="shared" si="5"/>
        <v>112000</v>
      </c>
      <c r="J89" s="17">
        <f>I89*20%</f>
        <v>22400</v>
      </c>
      <c r="K89" s="17">
        <f t="shared" si="6"/>
        <v>89600</v>
      </c>
      <c r="L89" s="92"/>
      <c r="M89" s="92">
        <v>-5018</v>
      </c>
      <c r="N89" s="17">
        <f t="shared" si="7"/>
        <v>84582</v>
      </c>
      <c r="O89" s="91" t="s">
        <v>43</v>
      </c>
      <c r="P89" s="72"/>
      <c r="Q89" s="91" t="s">
        <v>54</v>
      </c>
      <c r="R89" s="92"/>
      <c r="S89" s="92"/>
      <c r="T89" s="92"/>
      <c r="U89" s="92"/>
      <c r="V89" s="92"/>
      <c r="W89" s="92"/>
    </row>
    <row r="90" spans="1:23" s="20" customFormat="1">
      <c r="A90" s="9">
        <v>44438</v>
      </c>
      <c r="B90" s="91" t="s">
        <v>206</v>
      </c>
      <c r="C90" s="123" t="s">
        <v>6021</v>
      </c>
      <c r="D90" s="92" t="s">
        <v>6022</v>
      </c>
      <c r="E90" s="740" t="s">
        <v>579</v>
      </c>
      <c r="F90" s="758" t="s">
        <v>72</v>
      </c>
      <c r="G90" s="56">
        <v>1</v>
      </c>
      <c r="H90" s="86">
        <v>108000</v>
      </c>
      <c r="I90" s="92">
        <f t="shared" si="5"/>
        <v>108000</v>
      </c>
      <c r="J90" s="17"/>
      <c r="K90" s="17">
        <f t="shared" si="6"/>
        <v>108000</v>
      </c>
      <c r="L90" s="92">
        <v>9500</v>
      </c>
      <c r="M90" s="92">
        <v>-5368</v>
      </c>
      <c r="N90" s="17">
        <f t="shared" si="7"/>
        <v>112132</v>
      </c>
      <c r="O90" s="91" t="s">
        <v>206</v>
      </c>
      <c r="P90" s="72"/>
      <c r="Q90" s="91" t="s">
        <v>28</v>
      </c>
      <c r="R90" s="17"/>
      <c r="S90" s="17"/>
      <c r="T90" s="17"/>
      <c r="U90" s="17"/>
      <c r="V90" s="17"/>
      <c r="W90" s="17"/>
    </row>
    <row r="91" spans="1:23" s="20" customFormat="1">
      <c r="A91" s="9">
        <v>44438</v>
      </c>
      <c r="B91" s="91" t="s">
        <v>177</v>
      </c>
      <c r="C91" s="123" t="s">
        <v>6023</v>
      </c>
      <c r="D91" s="92" t="s">
        <v>6024</v>
      </c>
      <c r="E91" s="758" t="s">
        <v>6025</v>
      </c>
      <c r="F91" s="758" t="s">
        <v>6026</v>
      </c>
      <c r="G91" s="56">
        <v>1</v>
      </c>
      <c r="H91" s="86">
        <v>60000</v>
      </c>
      <c r="I91" s="92">
        <f t="shared" si="5"/>
        <v>60000</v>
      </c>
      <c r="J91" s="17"/>
      <c r="K91" s="17">
        <f t="shared" si="6"/>
        <v>60000</v>
      </c>
      <c r="L91" s="17">
        <v>21000</v>
      </c>
      <c r="M91" s="17"/>
      <c r="N91" s="17">
        <f t="shared" si="7"/>
        <v>81000</v>
      </c>
      <c r="O91" s="91" t="s">
        <v>177</v>
      </c>
      <c r="P91" s="183"/>
      <c r="Q91" s="91" t="s">
        <v>54</v>
      </c>
      <c r="R91" s="17"/>
      <c r="S91" s="17"/>
      <c r="T91" s="17"/>
      <c r="U91" s="17"/>
      <c r="V91" s="17"/>
      <c r="W91" s="17"/>
    </row>
    <row r="92" spans="1:23" s="20" customFormat="1">
      <c r="A92" s="9">
        <v>44438</v>
      </c>
      <c r="B92" s="91" t="s">
        <v>177</v>
      </c>
      <c r="C92" s="123" t="s">
        <v>6027</v>
      </c>
      <c r="D92" s="92" t="s">
        <v>6028</v>
      </c>
      <c r="E92" s="758" t="s">
        <v>4498</v>
      </c>
      <c r="F92" s="758" t="s">
        <v>4499</v>
      </c>
      <c r="G92" s="56">
        <v>1</v>
      </c>
      <c r="H92" s="86">
        <v>76000</v>
      </c>
      <c r="I92" s="92">
        <f t="shared" si="5"/>
        <v>76000</v>
      </c>
      <c r="J92" s="17"/>
      <c r="K92" s="17">
        <f t="shared" si="6"/>
        <v>76000</v>
      </c>
      <c r="L92" s="17">
        <v>9000</v>
      </c>
      <c r="M92" s="17"/>
      <c r="N92" s="17">
        <f t="shared" si="7"/>
        <v>85000</v>
      </c>
      <c r="O92" s="91" t="s">
        <v>177</v>
      </c>
      <c r="P92" s="72"/>
      <c r="Q92" s="91" t="s">
        <v>54</v>
      </c>
      <c r="R92" s="17"/>
      <c r="S92" s="17"/>
      <c r="T92" s="17"/>
      <c r="U92" s="17"/>
      <c r="V92" s="17"/>
      <c r="W92" s="17"/>
    </row>
    <row r="93" spans="1:23" s="20" customFormat="1">
      <c r="A93" s="9">
        <v>44438</v>
      </c>
      <c r="B93" s="91" t="s">
        <v>23</v>
      </c>
      <c r="C93" s="123" t="s">
        <v>6029</v>
      </c>
      <c r="D93" s="92" t="s">
        <v>6030</v>
      </c>
      <c r="E93" s="740" t="s">
        <v>6031</v>
      </c>
      <c r="F93" s="740" t="s">
        <v>6032</v>
      </c>
      <c r="G93" s="56">
        <v>1</v>
      </c>
      <c r="H93" s="86">
        <v>69500</v>
      </c>
      <c r="I93" s="92">
        <f t="shared" si="5"/>
        <v>69500</v>
      </c>
      <c r="J93" s="17"/>
      <c r="K93" s="17">
        <f t="shared" si="6"/>
        <v>69500</v>
      </c>
      <c r="L93" s="17">
        <v>23000</v>
      </c>
      <c r="M93" s="17"/>
      <c r="N93" s="17">
        <f t="shared" si="7"/>
        <v>92500</v>
      </c>
      <c r="O93" s="91" t="s">
        <v>23</v>
      </c>
      <c r="P93" s="183"/>
      <c r="Q93" s="91" t="s">
        <v>54</v>
      </c>
      <c r="R93" s="17"/>
      <c r="S93" s="17"/>
      <c r="T93" s="17"/>
      <c r="U93" s="17"/>
      <c r="V93" s="17"/>
      <c r="W93" s="17"/>
    </row>
    <row r="94" spans="1:23" s="20" customFormat="1">
      <c r="A94" s="9">
        <v>44438</v>
      </c>
      <c r="B94" s="91" t="s">
        <v>43</v>
      </c>
      <c r="C94" s="123" t="s">
        <v>6033</v>
      </c>
      <c r="D94" s="92" t="s">
        <v>6034</v>
      </c>
      <c r="E94" s="758" t="s">
        <v>2667</v>
      </c>
      <c r="F94" s="758" t="s">
        <v>2668</v>
      </c>
      <c r="G94" s="56">
        <v>1</v>
      </c>
      <c r="H94" s="86">
        <v>112000</v>
      </c>
      <c r="I94" s="92">
        <f t="shared" si="5"/>
        <v>112000</v>
      </c>
      <c r="J94" s="17">
        <f>I94*20%</f>
        <v>22400</v>
      </c>
      <c r="K94" s="17">
        <f t="shared" si="6"/>
        <v>89600</v>
      </c>
      <c r="L94" s="17"/>
      <c r="M94" s="17">
        <v>-5018</v>
      </c>
      <c r="N94" s="17">
        <f t="shared" si="7"/>
        <v>84582</v>
      </c>
      <c r="O94" s="91" t="s">
        <v>43</v>
      </c>
      <c r="P94" s="72"/>
      <c r="Q94" s="91" t="s">
        <v>54</v>
      </c>
      <c r="R94" s="17"/>
      <c r="S94" s="17"/>
      <c r="T94" s="17"/>
      <c r="U94" s="17"/>
      <c r="V94" s="17"/>
      <c r="W94" s="17"/>
    </row>
    <row r="95" spans="1:23" s="20" customFormat="1">
      <c r="A95" s="9">
        <v>44438</v>
      </c>
      <c r="B95" s="91" t="s">
        <v>43</v>
      </c>
      <c r="C95" s="91" t="s">
        <v>6035</v>
      </c>
      <c r="D95" s="92" t="s">
        <v>6036</v>
      </c>
      <c r="E95" s="740" t="s">
        <v>3796</v>
      </c>
      <c r="F95" s="758" t="s">
        <v>1025</v>
      </c>
      <c r="G95" s="56">
        <v>1</v>
      </c>
      <c r="H95" s="86">
        <v>58500</v>
      </c>
      <c r="I95" s="92">
        <f t="shared" si="5"/>
        <v>58500</v>
      </c>
      <c r="J95" s="17">
        <f>I95*20%</f>
        <v>11700</v>
      </c>
      <c r="K95" s="17">
        <f t="shared" si="6"/>
        <v>46800</v>
      </c>
      <c r="L95" s="17"/>
      <c r="M95" s="17">
        <v>-2621</v>
      </c>
      <c r="N95" s="17">
        <f t="shared" si="7"/>
        <v>44179</v>
      </c>
      <c r="O95" s="91" t="s">
        <v>43</v>
      </c>
      <c r="P95" s="72"/>
      <c r="Q95" s="91" t="s">
        <v>54</v>
      </c>
      <c r="R95" s="17"/>
      <c r="S95" s="17"/>
      <c r="T95" s="17"/>
      <c r="U95" s="17"/>
      <c r="V95" s="17"/>
      <c r="W95" s="17"/>
    </row>
    <row r="96" spans="1:23" s="20" customFormat="1">
      <c r="A96" s="9">
        <v>44438</v>
      </c>
      <c r="B96" s="91" t="s">
        <v>313</v>
      </c>
      <c r="C96" s="123" t="s">
        <v>6037</v>
      </c>
      <c r="D96" s="92" t="s">
        <v>6038</v>
      </c>
      <c r="E96" s="758" t="s">
        <v>5542</v>
      </c>
      <c r="F96" s="758" t="s">
        <v>5543</v>
      </c>
      <c r="G96" s="56">
        <v>1</v>
      </c>
      <c r="H96" s="86">
        <v>86000</v>
      </c>
      <c r="I96" s="92">
        <f t="shared" si="5"/>
        <v>86000</v>
      </c>
      <c r="J96" s="17"/>
      <c r="K96" s="17">
        <f t="shared" si="6"/>
        <v>86000</v>
      </c>
      <c r="L96" s="17">
        <v>46008</v>
      </c>
      <c r="M96" s="17"/>
      <c r="N96" s="17">
        <f t="shared" si="7"/>
        <v>132008</v>
      </c>
      <c r="O96" s="91" t="s">
        <v>313</v>
      </c>
      <c r="P96" s="72"/>
      <c r="Q96" s="91" t="s">
        <v>40</v>
      </c>
      <c r="R96" s="17"/>
      <c r="S96" s="17"/>
      <c r="T96" s="17"/>
      <c r="U96" s="17"/>
      <c r="V96" s="17"/>
      <c r="W96" s="17"/>
    </row>
    <row r="97" spans="1:23" s="20" customFormat="1">
      <c r="A97" s="9">
        <v>44438</v>
      </c>
      <c r="B97" s="91" t="s">
        <v>206</v>
      </c>
      <c r="C97" s="123" t="s">
        <v>6039</v>
      </c>
      <c r="D97" s="92" t="s">
        <v>6040</v>
      </c>
      <c r="E97" s="740" t="s">
        <v>6041</v>
      </c>
      <c r="F97" s="740" t="s">
        <v>2372</v>
      </c>
      <c r="G97" s="56">
        <v>1</v>
      </c>
      <c r="H97" s="86">
        <v>61000</v>
      </c>
      <c r="I97" s="92">
        <f t="shared" si="5"/>
        <v>61000</v>
      </c>
      <c r="J97" s="17"/>
      <c r="K97" s="17">
        <f t="shared" si="6"/>
        <v>61000</v>
      </c>
      <c r="L97" s="17">
        <v>17400</v>
      </c>
      <c r="M97" s="17"/>
      <c r="N97" s="17">
        <f t="shared" si="7"/>
        <v>78400</v>
      </c>
      <c r="O97" s="91" t="s">
        <v>206</v>
      </c>
      <c r="P97" s="72"/>
      <c r="Q97" s="91" t="s">
        <v>40</v>
      </c>
      <c r="R97" s="17"/>
      <c r="S97" s="17"/>
      <c r="T97" s="17"/>
      <c r="U97" s="17"/>
      <c r="V97" s="17"/>
      <c r="W97" s="17"/>
    </row>
    <row r="98" spans="1:23" s="20" customFormat="1">
      <c r="A98" s="9">
        <v>44438</v>
      </c>
      <c r="B98" s="91" t="s">
        <v>313</v>
      </c>
      <c r="C98" s="123" t="s">
        <v>6042</v>
      </c>
      <c r="D98" s="92" t="s">
        <v>6043</v>
      </c>
      <c r="E98" s="740" t="s">
        <v>6044</v>
      </c>
      <c r="F98" s="758" t="s">
        <v>6045</v>
      </c>
      <c r="G98" s="56">
        <v>1</v>
      </c>
      <c r="H98" s="86">
        <v>122000</v>
      </c>
      <c r="I98" s="92">
        <f t="shared" si="5"/>
        <v>122000</v>
      </c>
      <c r="J98" s="17"/>
      <c r="K98" s="17">
        <f t="shared" si="6"/>
        <v>122000</v>
      </c>
      <c r="L98" s="17">
        <v>72050</v>
      </c>
      <c r="M98" s="17"/>
      <c r="N98" s="17">
        <f t="shared" si="7"/>
        <v>194050</v>
      </c>
      <c r="O98" s="91" t="s">
        <v>313</v>
      </c>
      <c r="P98" s="72"/>
      <c r="Q98" s="10" t="s">
        <v>6046</v>
      </c>
      <c r="R98" s="17"/>
      <c r="S98" s="17"/>
      <c r="T98" s="17"/>
      <c r="U98" s="17"/>
      <c r="V98" s="17"/>
      <c r="W98" s="17"/>
    </row>
    <row r="99" spans="1:23" s="20" customFormat="1">
      <c r="A99" s="9">
        <v>44438</v>
      </c>
      <c r="B99" s="91" t="s">
        <v>313</v>
      </c>
      <c r="C99" s="91" t="s">
        <v>6047</v>
      </c>
      <c r="D99" s="92" t="s">
        <v>6048</v>
      </c>
      <c r="E99" s="758" t="s">
        <v>2667</v>
      </c>
      <c r="F99" s="758" t="s">
        <v>2668</v>
      </c>
      <c r="G99" s="56">
        <v>1</v>
      </c>
      <c r="H99" s="86">
        <v>127000</v>
      </c>
      <c r="I99" s="92">
        <f t="shared" si="5"/>
        <v>127000</v>
      </c>
      <c r="J99" s="17"/>
      <c r="K99" s="17">
        <f t="shared" si="6"/>
        <v>127000</v>
      </c>
      <c r="L99" s="17">
        <v>7018</v>
      </c>
      <c r="M99" s="17"/>
      <c r="N99" s="17">
        <f t="shared" si="7"/>
        <v>134018</v>
      </c>
      <c r="O99" s="91" t="s">
        <v>313</v>
      </c>
      <c r="P99" s="183"/>
      <c r="Q99" s="10" t="s">
        <v>28</v>
      </c>
      <c r="R99" s="17"/>
      <c r="S99" s="17"/>
      <c r="T99" s="17"/>
      <c r="U99" s="17"/>
      <c r="V99" s="17"/>
      <c r="W99" s="17"/>
    </row>
    <row r="100" spans="1:23" s="20" customFormat="1">
      <c r="A100" s="9">
        <v>44439</v>
      </c>
      <c r="B100" s="91" t="s">
        <v>43</v>
      </c>
      <c r="C100" s="91" t="s">
        <v>6049</v>
      </c>
      <c r="D100" s="92" t="s">
        <v>6050</v>
      </c>
      <c r="E100" s="740" t="s">
        <v>3264</v>
      </c>
      <c r="F100" s="758" t="s">
        <v>3265</v>
      </c>
      <c r="G100" s="56">
        <v>1</v>
      </c>
      <c r="H100" s="86">
        <v>95500</v>
      </c>
      <c r="I100" s="92">
        <f t="shared" si="5"/>
        <v>95500</v>
      </c>
      <c r="J100" s="17">
        <f>I100*20%</f>
        <v>19100</v>
      </c>
      <c r="K100" s="92">
        <f t="shared" si="6"/>
        <v>76400</v>
      </c>
      <c r="L100" s="17"/>
      <c r="M100" s="17">
        <v>-4278</v>
      </c>
      <c r="N100" s="17">
        <f t="shared" si="7"/>
        <v>72122</v>
      </c>
      <c r="O100" s="91" t="s">
        <v>43</v>
      </c>
      <c r="P100" s="72"/>
      <c r="Q100" s="91" t="s">
        <v>54</v>
      </c>
      <c r="R100" s="17"/>
      <c r="S100" s="17"/>
      <c r="T100" s="17"/>
      <c r="U100" s="17"/>
      <c r="V100" s="17"/>
      <c r="W100" s="17"/>
    </row>
    <row r="101" spans="1:23" s="20" customFormat="1">
      <c r="A101" s="9">
        <v>44439</v>
      </c>
      <c r="B101" s="91" t="s">
        <v>43</v>
      </c>
      <c r="C101" s="91" t="s">
        <v>6051</v>
      </c>
      <c r="D101" s="92" t="s">
        <v>6052</v>
      </c>
      <c r="E101" s="758" t="s">
        <v>6053</v>
      </c>
      <c r="F101" s="758" t="s">
        <v>6054</v>
      </c>
      <c r="G101" s="56">
        <v>1</v>
      </c>
      <c r="H101" s="86">
        <v>94000</v>
      </c>
      <c r="I101" s="92">
        <f t="shared" si="5"/>
        <v>94000</v>
      </c>
      <c r="J101" s="17">
        <f>I101*20%</f>
        <v>18800</v>
      </c>
      <c r="K101" s="92">
        <f t="shared" si="6"/>
        <v>75200</v>
      </c>
      <c r="L101" s="17"/>
      <c r="M101" s="17">
        <v>-4211</v>
      </c>
      <c r="N101" s="17">
        <f t="shared" si="7"/>
        <v>70989</v>
      </c>
      <c r="O101" s="91" t="s">
        <v>43</v>
      </c>
      <c r="P101" s="183"/>
      <c r="Q101" s="91" t="s">
        <v>54</v>
      </c>
      <c r="R101" s="17"/>
      <c r="S101" s="17"/>
      <c r="T101" s="17"/>
      <c r="U101" s="17"/>
      <c r="V101" s="17"/>
      <c r="W101" s="17"/>
    </row>
    <row r="102" spans="1:23" s="20" customFormat="1">
      <c r="A102" s="9">
        <v>44439</v>
      </c>
      <c r="B102" s="91" t="s">
        <v>43</v>
      </c>
      <c r="C102" s="123" t="s">
        <v>6055</v>
      </c>
      <c r="D102" s="92" t="s">
        <v>6056</v>
      </c>
      <c r="E102" s="740" t="s">
        <v>679</v>
      </c>
      <c r="F102" s="740" t="s">
        <v>680</v>
      </c>
      <c r="G102" s="56">
        <v>1</v>
      </c>
      <c r="H102" s="86">
        <v>58500</v>
      </c>
      <c r="I102" s="92">
        <f t="shared" si="5"/>
        <v>58500</v>
      </c>
      <c r="J102" s="17"/>
      <c r="K102" s="92">
        <f t="shared" si="6"/>
        <v>58500</v>
      </c>
      <c r="L102" s="17"/>
      <c r="M102" s="17">
        <v>-3276</v>
      </c>
      <c r="N102" s="17">
        <f t="shared" si="7"/>
        <v>55224</v>
      </c>
      <c r="O102" s="91" t="s">
        <v>43</v>
      </c>
      <c r="P102" s="72"/>
      <c r="Q102" s="91" t="s">
        <v>54</v>
      </c>
      <c r="R102" s="17"/>
      <c r="S102" s="17"/>
      <c r="T102" s="17"/>
      <c r="U102" s="17"/>
      <c r="V102" s="17"/>
      <c r="W102" s="17"/>
    </row>
    <row r="103" spans="1:23" s="119" customFormat="1">
      <c r="A103" s="9">
        <v>44439</v>
      </c>
      <c r="B103" s="91" t="s">
        <v>313</v>
      </c>
      <c r="C103" s="123" t="s">
        <v>6057</v>
      </c>
      <c r="D103" s="86" t="s">
        <v>6058</v>
      </c>
      <c r="E103" s="758" t="s">
        <v>4720</v>
      </c>
      <c r="F103" s="758" t="s">
        <v>4721</v>
      </c>
      <c r="G103" s="56">
        <v>1</v>
      </c>
      <c r="H103" s="86">
        <v>99000</v>
      </c>
      <c r="I103" s="86">
        <f t="shared" si="5"/>
        <v>99000</v>
      </c>
      <c r="J103" s="86"/>
      <c r="K103" s="92">
        <f t="shared" si="6"/>
        <v>99000</v>
      </c>
      <c r="L103" s="86">
        <v>35020</v>
      </c>
      <c r="M103" s="86"/>
      <c r="N103" s="17">
        <f t="shared" si="7"/>
        <v>134020</v>
      </c>
      <c r="O103" s="91" t="s">
        <v>313</v>
      </c>
      <c r="P103" s="647"/>
      <c r="Q103" s="91" t="s">
        <v>54</v>
      </c>
      <c r="R103" s="86"/>
      <c r="S103" s="648"/>
      <c r="T103" s="86"/>
      <c r="U103" s="86"/>
      <c r="V103" s="86"/>
      <c r="W103" s="86"/>
    </row>
    <row r="104" spans="1:23" s="119" customFormat="1">
      <c r="A104" s="9">
        <v>44439</v>
      </c>
      <c r="B104" s="91" t="s">
        <v>23</v>
      </c>
      <c r="C104" s="123" t="s">
        <v>5621</v>
      </c>
      <c r="D104" s="86" t="s">
        <v>5622</v>
      </c>
      <c r="E104" s="829" t="s">
        <v>1421</v>
      </c>
      <c r="F104" s="830" t="s">
        <v>1422</v>
      </c>
      <c r="G104" s="56">
        <v>1</v>
      </c>
      <c r="H104" s="86">
        <v>103500</v>
      </c>
      <c r="I104" s="86">
        <f t="shared" si="5"/>
        <v>103500</v>
      </c>
      <c r="J104" s="86">
        <f>I104*20%</f>
        <v>20700</v>
      </c>
      <c r="K104" s="92">
        <f t="shared" si="6"/>
        <v>82800</v>
      </c>
      <c r="L104" s="86">
        <v>40000</v>
      </c>
      <c r="M104" s="86"/>
      <c r="N104" s="17">
        <f t="shared" si="7"/>
        <v>122800</v>
      </c>
      <c r="O104" s="91" t="s">
        <v>23</v>
      </c>
      <c r="P104" s="667"/>
      <c r="Q104" s="91" t="s">
        <v>40</v>
      </c>
      <c r="R104" s="86"/>
      <c r="S104" s="171"/>
      <c r="T104" s="86"/>
      <c r="U104" s="86"/>
      <c r="V104" s="86"/>
      <c r="W104" s="86"/>
    </row>
    <row r="105" spans="1:23" s="119" customFormat="1">
      <c r="A105" s="9">
        <v>44439</v>
      </c>
      <c r="B105" s="91" t="s">
        <v>23</v>
      </c>
      <c r="C105" s="123" t="s">
        <v>5621</v>
      </c>
      <c r="D105" s="86" t="s">
        <v>5622</v>
      </c>
      <c r="E105" s="829" t="s">
        <v>1435</v>
      </c>
      <c r="F105" s="829" t="s">
        <v>1436</v>
      </c>
      <c r="G105" s="56">
        <v>1</v>
      </c>
      <c r="H105" s="86">
        <v>125000</v>
      </c>
      <c r="I105" s="86">
        <f t="shared" si="5"/>
        <v>125000</v>
      </c>
      <c r="J105" s="86">
        <f>I105*20%</f>
        <v>25000</v>
      </c>
      <c r="K105" s="92">
        <f t="shared" si="6"/>
        <v>100000</v>
      </c>
      <c r="L105" s="86"/>
      <c r="M105" s="86"/>
      <c r="N105" s="17">
        <f t="shared" si="7"/>
        <v>100000</v>
      </c>
      <c r="O105" s="91" t="s">
        <v>23</v>
      </c>
      <c r="P105" s="667"/>
      <c r="Q105" s="91" t="s">
        <v>40</v>
      </c>
      <c r="R105" s="86"/>
      <c r="S105" s="171"/>
      <c r="T105" s="86"/>
      <c r="U105" s="86"/>
      <c r="V105" s="86"/>
      <c r="W105" s="86"/>
    </row>
    <row r="106" spans="1:23" s="119" customFormat="1">
      <c r="A106" s="9">
        <v>44439</v>
      </c>
      <c r="B106" s="91" t="s">
        <v>23</v>
      </c>
      <c r="C106" s="123" t="s">
        <v>5621</v>
      </c>
      <c r="D106" s="86" t="s">
        <v>5622</v>
      </c>
      <c r="E106" s="830" t="s">
        <v>6059</v>
      </c>
      <c r="F106" s="830" t="s">
        <v>6060</v>
      </c>
      <c r="G106" s="56">
        <v>1</v>
      </c>
      <c r="H106" s="86">
        <v>103000</v>
      </c>
      <c r="I106" s="86">
        <f t="shared" si="5"/>
        <v>103000</v>
      </c>
      <c r="J106" s="86">
        <f>I106*20%</f>
        <v>20600</v>
      </c>
      <c r="K106" s="92">
        <f t="shared" si="6"/>
        <v>82400</v>
      </c>
      <c r="L106" s="86"/>
      <c r="M106" s="86"/>
      <c r="N106" s="17">
        <f t="shared" si="7"/>
        <v>82400</v>
      </c>
      <c r="O106" s="91" t="s">
        <v>23</v>
      </c>
      <c r="P106" s="667"/>
      <c r="Q106" s="91" t="s">
        <v>40</v>
      </c>
      <c r="R106" s="86"/>
      <c r="S106" s="171"/>
      <c r="T106" s="86"/>
      <c r="U106" s="86"/>
      <c r="V106" s="86"/>
      <c r="W106" s="86"/>
    </row>
    <row r="107" spans="1:23" s="119" customFormat="1">
      <c r="A107" s="9">
        <v>44439</v>
      </c>
      <c r="B107" s="91" t="s">
        <v>23</v>
      </c>
      <c r="C107" s="123" t="s">
        <v>5621</v>
      </c>
      <c r="D107" s="86" t="s">
        <v>5622</v>
      </c>
      <c r="E107" s="830" t="s">
        <v>6061</v>
      </c>
      <c r="F107" s="830" t="s">
        <v>6062</v>
      </c>
      <c r="G107" s="56">
        <v>1</v>
      </c>
      <c r="H107" s="86">
        <v>136000</v>
      </c>
      <c r="I107" s="86">
        <f t="shared" si="5"/>
        <v>136000</v>
      </c>
      <c r="J107" s="86">
        <f>I107*20%</f>
        <v>27200</v>
      </c>
      <c r="K107" s="92">
        <f t="shared" si="6"/>
        <v>108800</v>
      </c>
      <c r="L107" s="86"/>
      <c r="M107" s="86"/>
      <c r="N107" s="17">
        <f t="shared" si="7"/>
        <v>108800</v>
      </c>
      <c r="O107" s="91" t="s">
        <v>23</v>
      </c>
      <c r="P107" s="86"/>
      <c r="Q107" s="91" t="s">
        <v>40</v>
      </c>
      <c r="R107" s="86"/>
      <c r="S107" s="499"/>
      <c r="T107" s="86"/>
      <c r="U107" s="86"/>
      <c r="V107" s="86"/>
      <c r="W107" s="86"/>
    </row>
    <row r="108" spans="1:23" s="119" customFormat="1">
      <c r="A108" s="9">
        <v>44439</v>
      </c>
      <c r="B108" s="91" t="s">
        <v>23</v>
      </c>
      <c r="C108" s="123" t="s">
        <v>6063</v>
      </c>
      <c r="D108" s="86" t="s">
        <v>6064</v>
      </c>
      <c r="E108" s="839" t="s">
        <v>6065</v>
      </c>
      <c r="F108" s="839" t="s">
        <v>6066</v>
      </c>
      <c r="G108" s="56">
        <v>4</v>
      </c>
      <c r="H108" s="86">
        <v>107500</v>
      </c>
      <c r="I108" s="86">
        <f t="shared" si="5"/>
        <v>430000</v>
      </c>
      <c r="J108" s="86">
        <f>I108*25%</f>
        <v>107500</v>
      </c>
      <c r="K108" s="92">
        <f t="shared" si="6"/>
        <v>322500</v>
      </c>
      <c r="L108" s="86">
        <v>84000</v>
      </c>
      <c r="M108" s="86"/>
      <c r="N108" s="17">
        <f t="shared" si="7"/>
        <v>406500</v>
      </c>
      <c r="O108" s="91" t="s">
        <v>23</v>
      </c>
      <c r="P108" s="667"/>
      <c r="Q108" s="91" t="s">
        <v>40</v>
      </c>
      <c r="R108" s="86"/>
      <c r="S108" s="171"/>
      <c r="T108" s="86"/>
      <c r="U108" s="86"/>
      <c r="V108" s="86"/>
      <c r="W108" s="86"/>
    </row>
    <row r="109" spans="1:23" s="119" customFormat="1">
      <c r="A109" s="9">
        <v>44439</v>
      </c>
      <c r="B109" s="91" t="s">
        <v>23</v>
      </c>
      <c r="C109" s="123" t="s">
        <v>6063</v>
      </c>
      <c r="D109" s="86" t="s">
        <v>6064</v>
      </c>
      <c r="E109" s="839" t="s">
        <v>6067</v>
      </c>
      <c r="F109" s="840" t="s">
        <v>6068</v>
      </c>
      <c r="G109" s="56">
        <v>4</v>
      </c>
      <c r="H109" s="86">
        <v>77000</v>
      </c>
      <c r="I109" s="86">
        <f t="shared" si="5"/>
        <v>308000</v>
      </c>
      <c r="J109" s="86">
        <f>I109*25%</f>
        <v>77000</v>
      </c>
      <c r="K109" s="92">
        <f t="shared" si="6"/>
        <v>231000</v>
      </c>
      <c r="L109" s="86"/>
      <c r="M109" s="86"/>
      <c r="N109" s="17">
        <f t="shared" si="7"/>
        <v>231000</v>
      </c>
      <c r="O109" s="91" t="s">
        <v>23</v>
      </c>
      <c r="P109" s="827"/>
      <c r="Q109" s="91" t="s">
        <v>40</v>
      </c>
      <c r="R109" s="86"/>
      <c r="S109" s="86"/>
      <c r="T109" s="86"/>
      <c r="U109" s="86"/>
      <c r="V109" s="86"/>
      <c r="W109" s="86"/>
    </row>
    <row r="110" spans="1:23" s="119" customFormat="1">
      <c r="A110" s="9">
        <v>44439</v>
      </c>
      <c r="B110" s="91" t="s">
        <v>23</v>
      </c>
      <c r="C110" s="123" t="s">
        <v>6063</v>
      </c>
      <c r="D110" s="86" t="s">
        <v>6064</v>
      </c>
      <c r="E110" s="839" t="s">
        <v>6069</v>
      </c>
      <c r="F110" s="840" t="s">
        <v>6070</v>
      </c>
      <c r="G110" s="56">
        <v>4</v>
      </c>
      <c r="H110" s="86">
        <v>82500</v>
      </c>
      <c r="I110" s="86">
        <f t="shared" si="5"/>
        <v>330000</v>
      </c>
      <c r="J110" s="86">
        <f>I110*25%</f>
        <v>82500</v>
      </c>
      <c r="K110" s="92">
        <f t="shared" si="6"/>
        <v>247500</v>
      </c>
      <c r="L110" s="86"/>
      <c r="M110" s="86"/>
      <c r="N110" s="17">
        <f t="shared" si="7"/>
        <v>247500</v>
      </c>
      <c r="O110" s="91" t="s">
        <v>23</v>
      </c>
      <c r="P110" s="667"/>
      <c r="Q110" s="91" t="s">
        <v>40</v>
      </c>
      <c r="R110" s="86"/>
      <c r="S110" s="171"/>
      <c r="T110" s="86"/>
      <c r="U110" s="86"/>
      <c r="V110" s="86"/>
      <c r="W110" s="86"/>
    </row>
    <row r="111" spans="1:23" s="119" customFormat="1">
      <c r="A111" s="9">
        <v>44439</v>
      </c>
      <c r="B111" s="91" t="s">
        <v>313</v>
      </c>
      <c r="C111" s="123" t="s">
        <v>5984</v>
      </c>
      <c r="D111" s="86" t="s">
        <v>6071</v>
      </c>
      <c r="E111" s="833" t="s">
        <v>1483</v>
      </c>
      <c r="F111" s="833" t="s">
        <v>1484</v>
      </c>
      <c r="G111" s="56">
        <v>1</v>
      </c>
      <c r="H111" s="86">
        <v>67000</v>
      </c>
      <c r="I111" s="86">
        <f t="shared" si="5"/>
        <v>67000</v>
      </c>
      <c r="J111" s="86"/>
      <c r="K111" s="92">
        <f t="shared" si="6"/>
        <v>67000</v>
      </c>
      <c r="L111" s="86">
        <v>78095</v>
      </c>
      <c r="M111" s="86"/>
      <c r="N111" s="17">
        <f t="shared" si="7"/>
        <v>145095</v>
      </c>
      <c r="O111" s="91" t="s">
        <v>313</v>
      </c>
      <c r="P111" s="667"/>
      <c r="Q111" s="91" t="s">
        <v>54</v>
      </c>
      <c r="R111" s="86"/>
      <c r="S111" s="171"/>
      <c r="T111" s="86"/>
      <c r="U111" s="86"/>
      <c r="V111" s="86"/>
      <c r="W111" s="86"/>
    </row>
    <row r="112" spans="1:23" s="119" customFormat="1">
      <c r="A112" s="9">
        <v>44439</v>
      </c>
      <c r="B112" s="91" t="s">
        <v>313</v>
      </c>
      <c r="C112" s="123" t="s">
        <v>5984</v>
      </c>
      <c r="D112" s="86" t="s">
        <v>6072</v>
      </c>
      <c r="E112" s="833" t="s">
        <v>6073</v>
      </c>
      <c r="F112" s="833" t="s">
        <v>6074</v>
      </c>
      <c r="G112" s="56">
        <v>1</v>
      </c>
      <c r="H112" s="86">
        <v>66000</v>
      </c>
      <c r="I112" s="86">
        <f t="shared" si="5"/>
        <v>66000</v>
      </c>
      <c r="J112" s="86"/>
      <c r="K112" s="92">
        <f t="shared" si="6"/>
        <v>66000</v>
      </c>
      <c r="L112" s="86"/>
      <c r="M112" s="86"/>
      <c r="N112" s="17">
        <f t="shared" si="7"/>
        <v>66000</v>
      </c>
      <c r="O112" s="91" t="s">
        <v>313</v>
      </c>
      <c r="P112" s="667"/>
      <c r="Q112" s="91" t="s">
        <v>54</v>
      </c>
      <c r="R112" s="86"/>
      <c r="S112" s="838"/>
      <c r="T112" s="86"/>
      <c r="U112" s="86"/>
      <c r="V112" s="86"/>
      <c r="W112" s="86"/>
    </row>
    <row r="113" spans="1:23" s="171" customFormat="1">
      <c r="A113" s="9">
        <v>44439</v>
      </c>
      <c r="B113" s="91" t="s">
        <v>313</v>
      </c>
      <c r="C113" s="123" t="s">
        <v>5984</v>
      </c>
      <c r="D113" s="86" t="s">
        <v>6075</v>
      </c>
      <c r="E113" s="833" t="s">
        <v>6076</v>
      </c>
      <c r="F113" s="833" t="s">
        <v>123</v>
      </c>
      <c r="G113" s="56">
        <v>1</v>
      </c>
      <c r="H113" s="171">
        <v>132000</v>
      </c>
      <c r="I113" s="171">
        <f t="shared" si="5"/>
        <v>132000</v>
      </c>
      <c r="K113" s="92">
        <f t="shared" si="6"/>
        <v>132000</v>
      </c>
      <c r="N113" s="17">
        <f t="shared" si="7"/>
        <v>132000</v>
      </c>
      <c r="O113" s="91" t="s">
        <v>313</v>
      </c>
      <c r="P113" s="648"/>
      <c r="Q113" s="91" t="s">
        <v>54</v>
      </c>
      <c r="R113" s="648"/>
    </row>
    <row r="114" spans="1:23" s="20" customFormat="1">
      <c r="A114" s="9">
        <v>44439</v>
      </c>
      <c r="B114" s="91" t="s">
        <v>206</v>
      </c>
      <c r="C114" s="123" t="s">
        <v>6077</v>
      </c>
      <c r="D114" s="86" t="s">
        <v>6078</v>
      </c>
      <c r="E114" s="740" t="s">
        <v>6079</v>
      </c>
      <c r="F114" s="758" t="s">
        <v>6080</v>
      </c>
      <c r="G114" s="56">
        <v>1</v>
      </c>
      <c r="H114" s="86">
        <v>205000</v>
      </c>
      <c r="I114" s="86">
        <f t="shared" si="5"/>
        <v>205000</v>
      </c>
      <c r="J114" s="17"/>
      <c r="K114" s="92">
        <f t="shared" si="6"/>
        <v>205000</v>
      </c>
      <c r="L114" s="17">
        <f>96200-40000</f>
        <v>56200</v>
      </c>
      <c r="M114" s="17"/>
      <c r="N114" s="17">
        <f t="shared" si="7"/>
        <v>261200</v>
      </c>
      <c r="O114" s="91" t="s">
        <v>206</v>
      </c>
      <c r="P114" s="72"/>
      <c r="Q114" s="91" t="s">
        <v>5158</v>
      </c>
      <c r="R114" s="17"/>
      <c r="S114" s="17"/>
      <c r="T114" s="17"/>
      <c r="U114" s="17"/>
      <c r="V114" s="17"/>
      <c r="W114" s="17"/>
    </row>
    <row r="115" spans="1:23" s="26" customFormat="1">
      <c r="A115" s="9">
        <v>44440</v>
      </c>
      <c r="B115" s="91" t="s">
        <v>43</v>
      </c>
      <c r="C115" s="91" t="s">
        <v>6081</v>
      </c>
      <c r="D115" s="23" t="s">
        <v>6082</v>
      </c>
      <c r="E115" s="740" t="s">
        <v>3972</v>
      </c>
      <c r="F115" s="740" t="s">
        <v>909</v>
      </c>
      <c r="G115" s="56">
        <v>1</v>
      </c>
      <c r="H115" s="26">
        <v>94000</v>
      </c>
      <c r="I115" s="171">
        <f t="shared" si="5"/>
        <v>94000</v>
      </c>
      <c r="J115" s="26">
        <f>I115*20%</f>
        <v>18800</v>
      </c>
      <c r="K115" s="171">
        <f t="shared" si="6"/>
        <v>75200</v>
      </c>
      <c r="M115" s="26">
        <v>-4211</v>
      </c>
      <c r="N115" s="17">
        <f t="shared" si="7"/>
        <v>70989</v>
      </c>
      <c r="O115" s="91" t="s">
        <v>43</v>
      </c>
      <c r="P115" s="36"/>
      <c r="Q115" s="91" t="s">
        <v>54</v>
      </c>
    </row>
    <row r="116" spans="1:23" s="20" customFormat="1">
      <c r="A116" s="9">
        <v>44440</v>
      </c>
      <c r="B116" s="91" t="s">
        <v>43</v>
      </c>
      <c r="C116" s="91" t="s">
        <v>6083</v>
      </c>
      <c r="D116" s="86" t="s">
        <v>6084</v>
      </c>
      <c r="E116" s="758" t="s">
        <v>2667</v>
      </c>
      <c r="F116" s="758" t="s">
        <v>2668</v>
      </c>
      <c r="G116" s="56">
        <v>1</v>
      </c>
      <c r="H116" s="86">
        <v>112000</v>
      </c>
      <c r="I116" s="86">
        <f t="shared" si="5"/>
        <v>112000</v>
      </c>
      <c r="J116" s="26">
        <f>I116*20%</f>
        <v>22400</v>
      </c>
      <c r="K116" s="171">
        <f t="shared" si="6"/>
        <v>89600</v>
      </c>
      <c r="L116" s="17"/>
      <c r="M116" s="17">
        <v>-5018</v>
      </c>
      <c r="N116" s="17">
        <f t="shared" si="7"/>
        <v>84582</v>
      </c>
      <c r="O116" s="91" t="s">
        <v>43</v>
      </c>
      <c r="P116" s="72"/>
      <c r="Q116" s="91" t="s">
        <v>176</v>
      </c>
      <c r="R116" s="17"/>
      <c r="S116" s="17"/>
      <c r="T116" s="17"/>
      <c r="U116" s="17"/>
      <c r="V116" s="17"/>
      <c r="W116" s="17"/>
    </row>
    <row r="117" spans="1:23" s="20" customFormat="1">
      <c r="A117" s="9">
        <v>44440</v>
      </c>
      <c r="B117" s="91" t="s">
        <v>43</v>
      </c>
      <c r="C117" s="123" t="s">
        <v>6085</v>
      </c>
      <c r="D117" s="86" t="s">
        <v>6086</v>
      </c>
      <c r="E117" s="758" t="s">
        <v>2667</v>
      </c>
      <c r="F117" s="758" t="s">
        <v>2668</v>
      </c>
      <c r="G117" s="56">
        <v>1</v>
      </c>
      <c r="H117" s="171">
        <v>112000</v>
      </c>
      <c r="I117" s="171">
        <f t="shared" si="5"/>
        <v>112000</v>
      </c>
      <c r="J117" s="26">
        <f>I117*20%</f>
        <v>22400</v>
      </c>
      <c r="K117" s="171">
        <f t="shared" si="6"/>
        <v>89600</v>
      </c>
      <c r="L117" s="17"/>
      <c r="M117" s="17">
        <v>-5018</v>
      </c>
      <c r="N117" s="17">
        <f t="shared" si="7"/>
        <v>84582</v>
      </c>
      <c r="O117" s="91" t="s">
        <v>43</v>
      </c>
      <c r="P117" s="72"/>
      <c r="Q117" s="91" t="s">
        <v>176</v>
      </c>
      <c r="R117" s="17"/>
      <c r="S117" s="17"/>
      <c r="T117" s="17"/>
      <c r="U117" s="17"/>
      <c r="V117" s="17"/>
      <c r="W117" s="17"/>
    </row>
    <row r="118" spans="1:23" s="20" customFormat="1">
      <c r="A118" s="9">
        <v>44440</v>
      </c>
      <c r="B118" s="91" t="s">
        <v>43</v>
      </c>
      <c r="C118" s="123" t="s">
        <v>6087</v>
      </c>
      <c r="D118" s="92" t="s">
        <v>6088</v>
      </c>
      <c r="E118" s="740" t="s">
        <v>3196</v>
      </c>
      <c r="F118" s="758" t="s">
        <v>3197</v>
      </c>
      <c r="G118" s="56">
        <v>1</v>
      </c>
      <c r="H118" s="86">
        <v>70000</v>
      </c>
      <c r="I118" s="86">
        <f t="shared" si="5"/>
        <v>70000</v>
      </c>
      <c r="J118" s="26">
        <f>I118*20%</f>
        <v>14000</v>
      </c>
      <c r="K118" s="171">
        <f t="shared" si="6"/>
        <v>56000</v>
      </c>
      <c r="L118" s="17"/>
      <c r="M118" s="17">
        <v>-3136</v>
      </c>
      <c r="N118" s="17">
        <f t="shared" si="7"/>
        <v>52864</v>
      </c>
      <c r="O118" s="91" t="s">
        <v>43</v>
      </c>
      <c r="P118" s="183"/>
      <c r="Q118" s="91" t="s">
        <v>176</v>
      </c>
      <c r="R118" s="17"/>
      <c r="S118" s="17"/>
      <c r="T118" s="17"/>
      <c r="U118" s="17"/>
      <c r="V118" s="17"/>
      <c r="W118" s="17"/>
    </row>
    <row r="119" spans="1:23" s="20" customFormat="1">
      <c r="A119" s="9">
        <v>44440</v>
      </c>
      <c r="B119" s="91" t="s">
        <v>206</v>
      </c>
      <c r="C119" s="123" t="s">
        <v>6089</v>
      </c>
      <c r="D119" s="86" t="s">
        <v>6090</v>
      </c>
      <c r="E119" s="758" t="s">
        <v>6091</v>
      </c>
      <c r="F119" s="758" t="s">
        <v>3882</v>
      </c>
      <c r="G119" s="56">
        <v>1</v>
      </c>
      <c r="H119" s="171">
        <v>50000</v>
      </c>
      <c r="I119" s="171">
        <f t="shared" si="5"/>
        <v>50000</v>
      </c>
      <c r="J119" s="26"/>
      <c r="K119" s="171">
        <f t="shared" si="6"/>
        <v>50000</v>
      </c>
      <c r="L119" s="17">
        <f>16000-16000</f>
        <v>0</v>
      </c>
      <c r="M119" s="17"/>
      <c r="N119" s="17">
        <f t="shared" si="7"/>
        <v>50000</v>
      </c>
      <c r="O119" s="91" t="s">
        <v>206</v>
      </c>
      <c r="P119" s="72"/>
      <c r="Q119" s="91" t="s">
        <v>328</v>
      </c>
      <c r="R119" s="17"/>
      <c r="S119" s="17"/>
      <c r="T119" s="17"/>
      <c r="U119" s="17"/>
      <c r="V119" s="17"/>
      <c r="W119" s="17"/>
    </row>
    <row r="120" spans="1:23" s="20" customFormat="1">
      <c r="A120" s="9">
        <v>44440</v>
      </c>
      <c r="B120" s="91" t="s">
        <v>177</v>
      </c>
      <c r="C120" s="91" t="s">
        <v>6092</v>
      </c>
      <c r="D120" s="86" t="s">
        <v>6093</v>
      </c>
      <c r="E120" s="758" t="s">
        <v>4897</v>
      </c>
      <c r="F120" s="758" t="s">
        <v>4898</v>
      </c>
      <c r="G120" s="56">
        <v>1</v>
      </c>
      <c r="H120" s="86">
        <v>168000</v>
      </c>
      <c r="I120" s="86">
        <f t="shared" si="5"/>
        <v>168000</v>
      </c>
      <c r="J120" s="26">
        <f>I120*20%</f>
        <v>33600</v>
      </c>
      <c r="K120" s="171">
        <f t="shared" si="6"/>
        <v>134400</v>
      </c>
      <c r="L120" s="17">
        <v>9000</v>
      </c>
      <c r="M120" s="17"/>
      <c r="N120" s="17">
        <f t="shared" si="7"/>
        <v>143400</v>
      </c>
      <c r="O120" s="91" t="s">
        <v>177</v>
      </c>
      <c r="P120" s="72"/>
      <c r="Q120" s="91" t="s">
        <v>54</v>
      </c>
      <c r="R120" s="17"/>
      <c r="S120" s="17"/>
      <c r="T120" s="17"/>
      <c r="U120" s="17"/>
      <c r="V120" s="17"/>
      <c r="W120" s="17"/>
    </row>
    <row r="121" spans="1:23" s="20" customFormat="1">
      <c r="A121" s="9">
        <v>44440</v>
      </c>
      <c r="B121" s="91" t="s">
        <v>23</v>
      </c>
      <c r="C121" s="123" t="s">
        <v>6094</v>
      </c>
      <c r="D121" s="86" t="s">
        <v>6095</v>
      </c>
      <c r="E121" s="740" t="s">
        <v>6096</v>
      </c>
      <c r="F121" s="758" t="s">
        <v>6097</v>
      </c>
      <c r="G121" s="56">
        <v>1</v>
      </c>
      <c r="H121" s="171">
        <v>138000</v>
      </c>
      <c r="I121" s="171">
        <f t="shared" si="5"/>
        <v>138000</v>
      </c>
      <c r="J121" s="26">
        <f>I121*20%</f>
        <v>27600</v>
      </c>
      <c r="K121" s="171">
        <f t="shared" si="6"/>
        <v>110400</v>
      </c>
      <c r="L121" s="17">
        <v>17000</v>
      </c>
      <c r="M121" s="17"/>
      <c r="N121" s="17">
        <f t="shared" si="7"/>
        <v>127400</v>
      </c>
      <c r="O121" s="91" t="s">
        <v>23</v>
      </c>
      <c r="P121" s="72"/>
      <c r="Q121" s="91" t="s">
        <v>40</v>
      </c>
      <c r="R121" s="17"/>
      <c r="S121" s="17"/>
      <c r="T121" s="17"/>
      <c r="U121" s="17"/>
      <c r="V121" s="17"/>
      <c r="W121" s="17"/>
    </row>
    <row r="122" spans="1:23" s="20" customFormat="1">
      <c r="A122" s="9">
        <v>44440</v>
      </c>
      <c r="B122" s="91" t="s">
        <v>23</v>
      </c>
      <c r="C122" s="123" t="s">
        <v>6098</v>
      </c>
      <c r="D122" s="86" t="s">
        <v>6099</v>
      </c>
      <c r="E122" s="740" t="s">
        <v>1050</v>
      </c>
      <c r="F122" s="740" t="s">
        <v>1051</v>
      </c>
      <c r="G122" s="56">
        <v>1</v>
      </c>
      <c r="H122" s="86">
        <v>78000</v>
      </c>
      <c r="I122" s="86">
        <f t="shared" si="5"/>
        <v>78000</v>
      </c>
      <c r="J122" s="26"/>
      <c r="K122" s="171">
        <f t="shared" si="6"/>
        <v>78000</v>
      </c>
      <c r="L122" s="17">
        <v>75000</v>
      </c>
      <c r="M122" s="17"/>
      <c r="N122" s="17">
        <f t="shared" si="7"/>
        <v>153000</v>
      </c>
      <c r="O122" s="91" t="s">
        <v>23</v>
      </c>
      <c r="P122" s="72"/>
      <c r="Q122" s="91" t="s">
        <v>40</v>
      </c>
      <c r="R122" s="17"/>
      <c r="S122" s="17"/>
      <c r="T122" s="17"/>
      <c r="U122" s="17"/>
      <c r="V122" s="17"/>
      <c r="W122" s="17"/>
    </row>
    <row r="123" spans="1:23" s="20" customFormat="1">
      <c r="A123" s="9">
        <v>44440</v>
      </c>
      <c r="B123" s="91" t="s">
        <v>23</v>
      </c>
      <c r="C123" s="91" t="s">
        <v>6100</v>
      </c>
      <c r="D123" s="92" t="s">
        <v>6101</v>
      </c>
      <c r="E123" s="829" t="s">
        <v>2727</v>
      </c>
      <c r="F123" s="830" t="s">
        <v>2728</v>
      </c>
      <c r="G123" s="56">
        <v>1</v>
      </c>
      <c r="H123" s="171">
        <v>64000</v>
      </c>
      <c r="I123" s="171">
        <f t="shared" si="5"/>
        <v>64000</v>
      </c>
      <c r="J123" s="17"/>
      <c r="K123" s="171">
        <f t="shared" si="6"/>
        <v>64000</v>
      </c>
      <c r="L123" s="17">
        <v>34000</v>
      </c>
      <c r="M123" s="17"/>
      <c r="N123" s="17">
        <f t="shared" si="7"/>
        <v>98000</v>
      </c>
      <c r="O123" s="91" t="s">
        <v>23</v>
      </c>
      <c r="P123" s="72"/>
      <c r="Q123" s="91" t="s">
        <v>40</v>
      </c>
      <c r="R123" s="17"/>
      <c r="S123" s="17"/>
      <c r="T123" s="17"/>
      <c r="U123" s="17"/>
      <c r="V123" s="17"/>
      <c r="W123" s="17"/>
    </row>
    <row r="124" spans="1:23" s="20" customFormat="1">
      <c r="A124" s="9">
        <v>44440</v>
      </c>
      <c r="B124" s="91" t="s">
        <v>23</v>
      </c>
      <c r="C124" s="91" t="s">
        <v>6100</v>
      </c>
      <c r="D124" s="92" t="s">
        <v>6101</v>
      </c>
      <c r="E124" s="841" t="s">
        <v>4496</v>
      </c>
      <c r="F124" s="841" t="s">
        <v>4497</v>
      </c>
      <c r="G124" s="837">
        <v>1</v>
      </c>
      <c r="H124" s="86">
        <v>352000</v>
      </c>
      <c r="I124" s="86">
        <f t="shared" si="5"/>
        <v>352000</v>
      </c>
      <c r="J124" s="17"/>
      <c r="K124" s="171">
        <f t="shared" si="6"/>
        <v>352000</v>
      </c>
      <c r="L124" s="17"/>
      <c r="M124" s="17"/>
      <c r="N124" s="17">
        <f t="shared" si="7"/>
        <v>352000</v>
      </c>
      <c r="O124" s="91" t="s">
        <v>23</v>
      </c>
      <c r="P124" s="72"/>
      <c r="Q124" s="91" t="s">
        <v>40</v>
      </c>
      <c r="R124" s="17"/>
      <c r="S124" s="17"/>
      <c r="T124" s="17"/>
      <c r="U124" s="17"/>
      <c r="V124" s="17"/>
      <c r="W124" s="17"/>
    </row>
    <row r="125" spans="1:23" s="20" customFormat="1">
      <c r="A125" s="9">
        <v>44440</v>
      </c>
      <c r="B125" s="91" t="s">
        <v>23</v>
      </c>
      <c r="C125" s="91" t="s">
        <v>6100</v>
      </c>
      <c r="D125" s="92" t="s">
        <v>6101</v>
      </c>
      <c r="E125" s="830" t="s">
        <v>6102</v>
      </c>
      <c r="F125" s="830" t="s">
        <v>6103</v>
      </c>
      <c r="G125" s="56">
        <v>1</v>
      </c>
      <c r="H125" s="171">
        <v>111000</v>
      </c>
      <c r="I125" s="171">
        <f t="shared" si="5"/>
        <v>111000</v>
      </c>
      <c r="J125" s="17"/>
      <c r="K125" s="171">
        <f t="shared" si="6"/>
        <v>111000</v>
      </c>
      <c r="L125" s="17"/>
      <c r="M125" s="17"/>
      <c r="N125" s="17">
        <f t="shared" si="7"/>
        <v>111000</v>
      </c>
      <c r="O125" s="91" t="s">
        <v>23</v>
      </c>
      <c r="P125" s="72"/>
      <c r="Q125" s="91" t="s">
        <v>40</v>
      </c>
      <c r="R125" s="17"/>
      <c r="S125" s="17"/>
      <c r="T125" s="17"/>
      <c r="U125" s="17"/>
      <c r="V125" s="17"/>
      <c r="W125" s="17"/>
    </row>
    <row r="126" spans="1:23" s="20" customFormat="1">
      <c r="A126" s="9">
        <v>44440</v>
      </c>
      <c r="B126" s="91" t="s">
        <v>23</v>
      </c>
      <c r="C126" s="123" t="s">
        <v>6104</v>
      </c>
      <c r="D126" s="92" t="s">
        <v>9436</v>
      </c>
      <c r="E126" s="758" t="s">
        <v>5555</v>
      </c>
      <c r="F126" s="758" t="s">
        <v>5556</v>
      </c>
      <c r="G126" s="56">
        <v>1</v>
      </c>
      <c r="H126" s="86">
        <v>95000</v>
      </c>
      <c r="I126" s="86">
        <f t="shared" si="5"/>
        <v>95000</v>
      </c>
      <c r="J126" s="17"/>
      <c r="K126" s="171">
        <f t="shared" si="6"/>
        <v>95000</v>
      </c>
      <c r="L126" s="17">
        <v>11000</v>
      </c>
      <c r="M126" s="17"/>
      <c r="N126" s="17">
        <f t="shared" si="7"/>
        <v>106000</v>
      </c>
      <c r="O126" s="91" t="s">
        <v>23</v>
      </c>
      <c r="P126" s="72"/>
      <c r="Q126" s="91" t="s">
        <v>40</v>
      </c>
      <c r="R126" s="17"/>
      <c r="S126" s="17"/>
      <c r="T126" s="17"/>
      <c r="U126" s="17"/>
      <c r="V126" s="17"/>
      <c r="W126" s="17"/>
    </row>
    <row r="127" spans="1:23" s="20" customFormat="1">
      <c r="A127" s="9">
        <v>44440</v>
      </c>
      <c r="B127" s="91" t="s">
        <v>23</v>
      </c>
      <c r="C127" s="123" t="s">
        <v>6105</v>
      </c>
      <c r="D127" s="92" t="s">
        <v>6106</v>
      </c>
      <c r="E127" s="758" t="s">
        <v>6107</v>
      </c>
      <c r="F127" s="758" t="s">
        <v>6108</v>
      </c>
      <c r="G127" s="56">
        <v>1</v>
      </c>
      <c r="H127" s="171">
        <v>105000</v>
      </c>
      <c r="I127" s="171">
        <f t="shared" si="5"/>
        <v>105000</v>
      </c>
      <c r="J127" s="17">
        <f>I127*20%</f>
        <v>21000</v>
      </c>
      <c r="K127" s="171">
        <f t="shared" si="6"/>
        <v>84000</v>
      </c>
      <c r="L127" s="17">
        <v>25000</v>
      </c>
      <c r="M127" s="17"/>
      <c r="N127" s="17">
        <f t="shared" si="7"/>
        <v>109000</v>
      </c>
      <c r="O127" s="91" t="s">
        <v>23</v>
      </c>
      <c r="P127" s="72"/>
      <c r="Q127" s="91" t="s">
        <v>28</v>
      </c>
      <c r="R127" s="17"/>
      <c r="S127" s="17"/>
      <c r="T127" s="17"/>
      <c r="U127" s="17"/>
      <c r="V127" s="17"/>
      <c r="W127" s="17"/>
    </row>
    <row r="128" spans="1:23" s="20" customFormat="1">
      <c r="A128" s="9">
        <v>44440</v>
      </c>
      <c r="B128" s="91" t="s">
        <v>43</v>
      </c>
      <c r="C128" s="123" t="s">
        <v>6109</v>
      </c>
      <c r="D128" s="92" t="s">
        <v>6110</v>
      </c>
      <c r="E128" s="740" t="s">
        <v>6111</v>
      </c>
      <c r="F128" s="740" t="s">
        <v>2700</v>
      </c>
      <c r="G128" s="56">
        <v>1</v>
      </c>
      <c r="H128" s="86">
        <v>96000</v>
      </c>
      <c r="I128" s="86">
        <f t="shared" si="5"/>
        <v>96000</v>
      </c>
      <c r="J128" s="17"/>
      <c r="K128" s="171">
        <f t="shared" si="6"/>
        <v>96000</v>
      </c>
      <c r="L128" s="17"/>
      <c r="M128" s="17">
        <v>-5376</v>
      </c>
      <c r="N128" s="17">
        <f t="shared" si="7"/>
        <v>90624</v>
      </c>
      <c r="O128" s="91" t="s">
        <v>43</v>
      </c>
      <c r="P128" s="72"/>
      <c r="Q128" s="91" t="s">
        <v>54</v>
      </c>
      <c r="R128" s="17"/>
      <c r="S128" s="17"/>
      <c r="T128" s="17"/>
      <c r="U128" s="17"/>
      <c r="V128" s="17"/>
      <c r="W128" s="17"/>
    </row>
    <row r="129" spans="1:23" s="20" customFormat="1">
      <c r="A129" s="9">
        <v>44440</v>
      </c>
      <c r="B129" s="10" t="s">
        <v>23</v>
      </c>
      <c r="C129" s="138" t="s">
        <v>6112</v>
      </c>
      <c r="D129" s="92" t="s">
        <v>6113</v>
      </c>
      <c r="E129" s="839" t="s">
        <v>6114</v>
      </c>
      <c r="F129" s="839" t="s">
        <v>6115</v>
      </c>
      <c r="G129" s="56">
        <v>1</v>
      </c>
      <c r="H129" s="460">
        <v>119000</v>
      </c>
      <c r="I129" s="86">
        <f t="shared" ref="I129:I192" si="8">H129*G129</f>
        <v>119000</v>
      </c>
      <c r="J129" s="17">
        <f t="shared" ref="J129:J147" si="9">I129*20%</f>
        <v>23800</v>
      </c>
      <c r="K129" s="171">
        <f t="shared" ref="K129:K192" si="10">I129-J129</f>
        <v>95200</v>
      </c>
      <c r="L129" s="17">
        <v>102000</v>
      </c>
      <c r="M129" s="17"/>
      <c r="N129" s="17">
        <f t="shared" ref="N129:N192" si="11">K129+L129+M129</f>
        <v>197200</v>
      </c>
      <c r="O129" s="10" t="s">
        <v>23</v>
      </c>
      <c r="P129" s="183"/>
      <c r="Q129" s="10" t="s">
        <v>40</v>
      </c>
      <c r="R129" s="17"/>
      <c r="S129" s="13"/>
      <c r="T129" s="17"/>
      <c r="U129" s="17"/>
      <c r="V129" s="17"/>
      <c r="W129" s="17"/>
    </row>
    <row r="130" spans="1:23" s="20" customFormat="1">
      <c r="A130" s="9">
        <v>44440</v>
      </c>
      <c r="B130" s="10" t="s">
        <v>23</v>
      </c>
      <c r="C130" s="138" t="s">
        <v>6112</v>
      </c>
      <c r="D130" s="92" t="s">
        <v>6113</v>
      </c>
      <c r="E130" s="839" t="s">
        <v>1644</v>
      </c>
      <c r="F130" s="839" t="s">
        <v>3865</v>
      </c>
      <c r="G130" s="56">
        <v>1</v>
      </c>
      <c r="H130" s="460">
        <v>102000</v>
      </c>
      <c r="I130" s="86">
        <f t="shared" si="8"/>
        <v>102000</v>
      </c>
      <c r="J130" s="17">
        <f t="shared" si="9"/>
        <v>20400</v>
      </c>
      <c r="K130" s="171">
        <f t="shared" si="10"/>
        <v>81600</v>
      </c>
      <c r="L130" s="17"/>
      <c r="M130" s="17"/>
      <c r="N130" s="17">
        <f t="shared" si="11"/>
        <v>81600</v>
      </c>
      <c r="O130" s="10" t="s">
        <v>23</v>
      </c>
      <c r="P130" s="72"/>
      <c r="Q130" s="10" t="s">
        <v>40</v>
      </c>
      <c r="R130" s="17"/>
      <c r="S130" s="13"/>
      <c r="T130" s="17"/>
      <c r="U130" s="17"/>
      <c r="V130" s="17"/>
      <c r="W130" s="17"/>
    </row>
    <row r="131" spans="1:23" s="20" customFormat="1">
      <c r="A131" s="9">
        <v>44440</v>
      </c>
      <c r="B131" s="10" t="s">
        <v>23</v>
      </c>
      <c r="C131" s="138" t="s">
        <v>6112</v>
      </c>
      <c r="D131" s="92" t="s">
        <v>6113</v>
      </c>
      <c r="E131" s="839" t="s">
        <v>6116</v>
      </c>
      <c r="F131" s="840" t="s">
        <v>6117</v>
      </c>
      <c r="G131" s="56">
        <v>1</v>
      </c>
      <c r="H131" s="460">
        <v>38500</v>
      </c>
      <c r="I131" s="86">
        <f t="shared" si="8"/>
        <v>38500</v>
      </c>
      <c r="J131" s="17">
        <f t="shared" si="9"/>
        <v>7700</v>
      </c>
      <c r="K131" s="171">
        <f t="shared" si="10"/>
        <v>30800</v>
      </c>
      <c r="L131" s="17"/>
      <c r="M131" s="17"/>
      <c r="N131" s="17">
        <f t="shared" si="11"/>
        <v>30800</v>
      </c>
      <c r="O131" s="10" t="s">
        <v>23</v>
      </c>
      <c r="P131" s="72"/>
      <c r="Q131" s="10" t="s">
        <v>40</v>
      </c>
      <c r="R131" s="17"/>
      <c r="S131" s="17"/>
      <c r="T131" s="17"/>
      <c r="U131" s="17"/>
      <c r="V131" s="17"/>
      <c r="W131" s="17"/>
    </row>
    <row r="132" spans="1:23" s="20" customFormat="1">
      <c r="A132" s="9">
        <v>44440</v>
      </c>
      <c r="B132" s="10" t="s">
        <v>23</v>
      </c>
      <c r="C132" s="138" t="s">
        <v>6112</v>
      </c>
      <c r="D132" s="92" t="s">
        <v>6113</v>
      </c>
      <c r="E132" s="839" t="s">
        <v>6118</v>
      </c>
      <c r="F132" s="839" t="s">
        <v>1981</v>
      </c>
      <c r="G132" s="56">
        <v>1</v>
      </c>
      <c r="H132" s="460">
        <v>158000</v>
      </c>
      <c r="I132" s="86">
        <f t="shared" si="8"/>
        <v>158000</v>
      </c>
      <c r="J132" s="17">
        <f t="shared" si="9"/>
        <v>31600</v>
      </c>
      <c r="K132" s="171">
        <f t="shared" si="10"/>
        <v>126400</v>
      </c>
      <c r="L132" s="17"/>
      <c r="M132" s="17"/>
      <c r="N132" s="17">
        <f t="shared" si="11"/>
        <v>126400</v>
      </c>
      <c r="O132" s="10" t="s">
        <v>23</v>
      </c>
      <c r="P132" s="183"/>
      <c r="Q132" s="10" t="s">
        <v>40</v>
      </c>
      <c r="R132" s="17"/>
      <c r="S132" s="17"/>
      <c r="T132" s="17"/>
      <c r="U132" s="17"/>
      <c r="V132" s="17"/>
      <c r="W132" s="17"/>
    </row>
    <row r="133" spans="1:23" s="20" customFormat="1">
      <c r="A133" s="9">
        <v>44440</v>
      </c>
      <c r="B133" s="10" t="s">
        <v>23</v>
      </c>
      <c r="C133" s="138" t="s">
        <v>6112</v>
      </c>
      <c r="D133" s="92" t="s">
        <v>6113</v>
      </c>
      <c r="E133" s="839" t="s">
        <v>5261</v>
      </c>
      <c r="F133" s="840" t="s">
        <v>5262</v>
      </c>
      <c r="G133" s="56">
        <v>1</v>
      </c>
      <c r="H133" s="460">
        <v>81000</v>
      </c>
      <c r="I133" s="86">
        <f t="shared" si="8"/>
        <v>81000</v>
      </c>
      <c r="J133" s="17">
        <f t="shared" si="9"/>
        <v>16200</v>
      </c>
      <c r="K133" s="171">
        <f t="shared" si="10"/>
        <v>64800</v>
      </c>
      <c r="L133" s="17"/>
      <c r="M133" s="17"/>
      <c r="N133" s="17">
        <f t="shared" si="11"/>
        <v>64800</v>
      </c>
      <c r="O133" s="10" t="s">
        <v>23</v>
      </c>
      <c r="P133" s="72"/>
      <c r="Q133" s="10" t="s">
        <v>40</v>
      </c>
      <c r="R133" s="17"/>
      <c r="S133" s="17"/>
      <c r="T133" s="17"/>
      <c r="U133" s="17"/>
      <c r="V133" s="17"/>
      <c r="W133" s="17"/>
    </row>
    <row r="134" spans="1:23" s="20" customFormat="1">
      <c r="A134" s="9">
        <v>44440</v>
      </c>
      <c r="B134" s="10" t="s">
        <v>23</v>
      </c>
      <c r="C134" s="138" t="s">
        <v>6112</v>
      </c>
      <c r="D134" s="92" t="s">
        <v>6113</v>
      </c>
      <c r="E134" s="839" t="s">
        <v>6119</v>
      </c>
      <c r="F134" s="839" t="s">
        <v>6120</v>
      </c>
      <c r="G134" s="56">
        <v>1</v>
      </c>
      <c r="H134" s="460">
        <v>84000</v>
      </c>
      <c r="I134" s="86">
        <f t="shared" si="8"/>
        <v>84000</v>
      </c>
      <c r="J134" s="17">
        <f t="shared" si="9"/>
        <v>16800</v>
      </c>
      <c r="K134" s="171">
        <f t="shared" si="10"/>
        <v>67200</v>
      </c>
      <c r="L134" s="17"/>
      <c r="M134" s="17"/>
      <c r="N134" s="17">
        <f t="shared" si="11"/>
        <v>67200</v>
      </c>
      <c r="O134" s="10" t="s">
        <v>23</v>
      </c>
      <c r="P134" s="72"/>
      <c r="Q134" s="10" t="s">
        <v>40</v>
      </c>
      <c r="R134" s="17"/>
      <c r="S134" s="17"/>
      <c r="T134" s="17"/>
      <c r="U134" s="17"/>
      <c r="V134" s="17"/>
      <c r="W134" s="17"/>
    </row>
    <row r="135" spans="1:23" s="20" customFormat="1">
      <c r="A135" s="9">
        <v>44440</v>
      </c>
      <c r="B135" s="10" t="s">
        <v>23</v>
      </c>
      <c r="C135" s="138" t="s">
        <v>6112</v>
      </c>
      <c r="D135" s="92" t="s">
        <v>6113</v>
      </c>
      <c r="E135" s="839" t="s">
        <v>6121</v>
      </c>
      <c r="F135" s="839" t="s">
        <v>6122</v>
      </c>
      <c r="G135" s="56">
        <v>1</v>
      </c>
      <c r="H135" s="842">
        <v>81000</v>
      </c>
      <c r="I135" s="86">
        <f t="shared" si="8"/>
        <v>81000</v>
      </c>
      <c r="J135" s="17">
        <f t="shared" si="9"/>
        <v>16200</v>
      </c>
      <c r="K135" s="171">
        <f t="shared" si="10"/>
        <v>64800</v>
      </c>
      <c r="L135" s="17"/>
      <c r="M135" s="17"/>
      <c r="N135" s="17">
        <f t="shared" si="11"/>
        <v>64800</v>
      </c>
      <c r="O135" s="10" t="s">
        <v>23</v>
      </c>
      <c r="P135" s="183"/>
      <c r="Q135" s="10" t="s">
        <v>40</v>
      </c>
      <c r="R135" s="17"/>
      <c r="S135" s="17"/>
      <c r="T135" s="17"/>
      <c r="U135" s="17"/>
      <c r="V135" s="17"/>
      <c r="W135" s="17"/>
    </row>
    <row r="136" spans="1:23" s="20" customFormat="1">
      <c r="A136" s="9">
        <v>44440</v>
      </c>
      <c r="B136" s="10" t="s">
        <v>23</v>
      </c>
      <c r="C136" s="138" t="s">
        <v>6112</v>
      </c>
      <c r="D136" s="92" t="s">
        <v>6113</v>
      </c>
      <c r="E136" s="840" t="s">
        <v>5121</v>
      </c>
      <c r="F136" s="840" t="s">
        <v>5122</v>
      </c>
      <c r="G136" s="56">
        <v>1</v>
      </c>
      <c r="H136" s="842">
        <v>66000</v>
      </c>
      <c r="I136" s="86">
        <f t="shared" si="8"/>
        <v>66000</v>
      </c>
      <c r="J136" s="17">
        <f t="shared" si="9"/>
        <v>13200</v>
      </c>
      <c r="K136" s="171">
        <f t="shared" si="10"/>
        <v>52800</v>
      </c>
      <c r="L136" s="17"/>
      <c r="M136" s="17"/>
      <c r="N136" s="17">
        <f t="shared" si="11"/>
        <v>52800</v>
      </c>
      <c r="O136" s="10" t="s">
        <v>23</v>
      </c>
      <c r="P136" s="183"/>
      <c r="Q136" s="10" t="s">
        <v>40</v>
      </c>
      <c r="R136" s="17"/>
      <c r="S136" s="17"/>
      <c r="T136" s="17"/>
      <c r="U136" s="17"/>
      <c r="V136" s="17"/>
      <c r="W136" s="17"/>
    </row>
    <row r="137" spans="1:23" s="20" customFormat="1">
      <c r="A137" s="9">
        <v>44440</v>
      </c>
      <c r="B137" s="10" t="s">
        <v>23</v>
      </c>
      <c r="C137" s="138" t="s">
        <v>6112</v>
      </c>
      <c r="D137" s="92" t="s">
        <v>6113</v>
      </c>
      <c r="E137" s="840" t="s">
        <v>3790</v>
      </c>
      <c r="F137" s="840" t="s">
        <v>3791</v>
      </c>
      <c r="G137" s="56">
        <v>1</v>
      </c>
      <c r="H137" s="842">
        <v>115000</v>
      </c>
      <c r="I137" s="86">
        <f t="shared" si="8"/>
        <v>115000</v>
      </c>
      <c r="J137" s="17">
        <f t="shared" si="9"/>
        <v>23000</v>
      </c>
      <c r="K137" s="171">
        <f t="shared" si="10"/>
        <v>92000</v>
      </c>
      <c r="L137" s="17"/>
      <c r="M137" s="17"/>
      <c r="N137" s="17">
        <f t="shared" si="11"/>
        <v>92000</v>
      </c>
      <c r="O137" s="10" t="s">
        <v>23</v>
      </c>
      <c r="P137" s="72"/>
      <c r="Q137" s="10" t="s">
        <v>40</v>
      </c>
      <c r="R137" s="17"/>
      <c r="S137" s="17"/>
      <c r="T137" s="17"/>
      <c r="U137" s="17"/>
      <c r="V137" s="17"/>
      <c r="W137" s="17"/>
    </row>
    <row r="138" spans="1:23" s="20" customFormat="1">
      <c r="A138" s="9">
        <v>44440</v>
      </c>
      <c r="B138" s="10" t="s">
        <v>23</v>
      </c>
      <c r="C138" s="138" t="s">
        <v>6112</v>
      </c>
      <c r="D138" s="92" t="s">
        <v>6113</v>
      </c>
      <c r="E138" s="840" t="s">
        <v>6123</v>
      </c>
      <c r="F138" s="840" t="s">
        <v>3574</v>
      </c>
      <c r="G138" s="56">
        <v>1</v>
      </c>
      <c r="H138" s="842">
        <v>174000</v>
      </c>
      <c r="I138" s="86">
        <f t="shared" si="8"/>
        <v>174000</v>
      </c>
      <c r="J138" s="17">
        <f t="shared" si="9"/>
        <v>34800</v>
      </c>
      <c r="K138" s="171">
        <f t="shared" si="10"/>
        <v>139200</v>
      </c>
      <c r="L138" s="17"/>
      <c r="M138" s="17"/>
      <c r="N138" s="17">
        <f t="shared" si="11"/>
        <v>139200</v>
      </c>
      <c r="O138" s="10" t="s">
        <v>23</v>
      </c>
      <c r="P138" s="183"/>
      <c r="Q138" s="10" t="s">
        <v>40</v>
      </c>
      <c r="R138" s="17"/>
      <c r="S138" s="17"/>
      <c r="T138" s="17"/>
      <c r="U138" s="17"/>
      <c r="V138" s="17"/>
      <c r="W138" s="17"/>
    </row>
    <row r="139" spans="1:23" s="20" customFormat="1">
      <c r="A139" s="9">
        <v>44440</v>
      </c>
      <c r="B139" s="10" t="s">
        <v>23</v>
      </c>
      <c r="C139" s="138" t="s">
        <v>6112</v>
      </c>
      <c r="D139" s="92" t="s">
        <v>6113</v>
      </c>
      <c r="E139" s="839" t="s">
        <v>6124</v>
      </c>
      <c r="F139" s="839" t="s">
        <v>6125</v>
      </c>
      <c r="G139" s="56">
        <v>1</v>
      </c>
      <c r="H139" s="842">
        <v>91500</v>
      </c>
      <c r="I139" s="86">
        <f t="shared" si="8"/>
        <v>91500</v>
      </c>
      <c r="J139" s="17">
        <f t="shared" si="9"/>
        <v>18300</v>
      </c>
      <c r="K139" s="171">
        <f t="shared" si="10"/>
        <v>73200</v>
      </c>
      <c r="L139" s="17"/>
      <c r="M139" s="17"/>
      <c r="N139" s="17">
        <f t="shared" si="11"/>
        <v>73200</v>
      </c>
      <c r="O139" s="10" t="s">
        <v>23</v>
      </c>
      <c r="P139" s="183"/>
      <c r="Q139" s="10" t="s">
        <v>40</v>
      </c>
      <c r="R139" s="17"/>
      <c r="S139" s="17"/>
      <c r="T139" s="17"/>
      <c r="U139" s="17"/>
      <c r="V139" s="17"/>
      <c r="W139" s="17"/>
    </row>
    <row r="140" spans="1:23" s="20" customFormat="1">
      <c r="A140" s="9">
        <v>44440</v>
      </c>
      <c r="B140" s="10" t="s">
        <v>23</v>
      </c>
      <c r="C140" s="138" t="s">
        <v>6112</v>
      </c>
      <c r="D140" s="92" t="s">
        <v>6113</v>
      </c>
      <c r="E140" s="839" t="s">
        <v>6126</v>
      </c>
      <c r="F140" s="839" t="s">
        <v>6127</v>
      </c>
      <c r="G140" s="56">
        <v>1</v>
      </c>
      <c r="H140" s="842">
        <v>59000</v>
      </c>
      <c r="I140" s="86">
        <f t="shared" si="8"/>
        <v>59000</v>
      </c>
      <c r="J140" s="17">
        <f t="shared" si="9"/>
        <v>11800</v>
      </c>
      <c r="K140" s="171">
        <f t="shared" si="10"/>
        <v>47200</v>
      </c>
      <c r="L140" s="17"/>
      <c r="M140" s="17"/>
      <c r="N140" s="17">
        <f t="shared" si="11"/>
        <v>47200</v>
      </c>
      <c r="O140" s="10" t="s">
        <v>23</v>
      </c>
      <c r="P140" s="183"/>
      <c r="Q140" s="10" t="s">
        <v>40</v>
      </c>
      <c r="R140" s="17"/>
      <c r="S140" s="17"/>
      <c r="T140" s="17"/>
      <c r="U140" s="17"/>
      <c r="V140" s="17"/>
      <c r="W140" s="17"/>
    </row>
    <row r="141" spans="1:23" s="20" customFormat="1">
      <c r="A141" s="9">
        <v>44440</v>
      </c>
      <c r="B141" s="10" t="s">
        <v>23</v>
      </c>
      <c r="C141" s="138" t="s">
        <v>6112</v>
      </c>
      <c r="D141" s="92" t="s">
        <v>6113</v>
      </c>
      <c r="E141" s="839" t="s">
        <v>6128</v>
      </c>
      <c r="F141" s="839" t="s">
        <v>6129</v>
      </c>
      <c r="G141" s="56">
        <v>1</v>
      </c>
      <c r="H141" s="842">
        <v>100000</v>
      </c>
      <c r="I141" s="86">
        <f t="shared" si="8"/>
        <v>100000</v>
      </c>
      <c r="J141" s="17">
        <f t="shared" si="9"/>
        <v>20000</v>
      </c>
      <c r="K141" s="171">
        <f t="shared" si="10"/>
        <v>80000</v>
      </c>
      <c r="L141" s="17"/>
      <c r="M141" s="17"/>
      <c r="N141" s="17">
        <f t="shared" si="11"/>
        <v>80000</v>
      </c>
      <c r="O141" s="10" t="s">
        <v>23</v>
      </c>
      <c r="P141" s="72"/>
      <c r="Q141" s="10" t="s">
        <v>40</v>
      </c>
      <c r="R141" s="17"/>
      <c r="S141" s="17"/>
      <c r="T141" s="17"/>
      <c r="U141" s="17"/>
      <c r="V141" s="17"/>
      <c r="W141" s="17"/>
    </row>
    <row r="142" spans="1:23" s="20" customFormat="1">
      <c r="A142" s="9">
        <v>44440</v>
      </c>
      <c r="B142" s="10" t="s">
        <v>23</v>
      </c>
      <c r="C142" s="138" t="s">
        <v>6112</v>
      </c>
      <c r="D142" s="92" t="s">
        <v>6113</v>
      </c>
      <c r="E142" s="839" t="s">
        <v>6130</v>
      </c>
      <c r="F142" s="839" t="s">
        <v>6131</v>
      </c>
      <c r="G142" s="56">
        <v>1</v>
      </c>
      <c r="H142" s="842">
        <v>55000</v>
      </c>
      <c r="I142" s="86">
        <f t="shared" si="8"/>
        <v>55000</v>
      </c>
      <c r="J142" s="17">
        <f t="shared" si="9"/>
        <v>11000</v>
      </c>
      <c r="K142" s="171">
        <f t="shared" si="10"/>
        <v>44000</v>
      </c>
      <c r="L142" s="17"/>
      <c r="M142" s="17"/>
      <c r="N142" s="17">
        <f t="shared" si="11"/>
        <v>44000</v>
      </c>
      <c r="O142" s="10" t="s">
        <v>23</v>
      </c>
      <c r="P142" s="183"/>
      <c r="Q142" s="10" t="s">
        <v>40</v>
      </c>
      <c r="R142" s="17"/>
      <c r="S142" s="17"/>
      <c r="T142" s="17"/>
      <c r="U142" s="17"/>
      <c r="V142" s="17"/>
      <c r="W142" s="17"/>
    </row>
    <row r="143" spans="1:23" s="20" customFormat="1">
      <c r="A143" s="9">
        <v>44440</v>
      </c>
      <c r="B143" s="10" t="s">
        <v>23</v>
      </c>
      <c r="C143" s="138" t="s">
        <v>6112</v>
      </c>
      <c r="D143" s="92" t="s">
        <v>6113</v>
      </c>
      <c r="E143" s="839" t="s">
        <v>6132</v>
      </c>
      <c r="F143" s="839" t="s">
        <v>6133</v>
      </c>
      <c r="G143" s="56">
        <v>1</v>
      </c>
      <c r="H143" s="842">
        <v>281000</v>
      </c>
      <c r="I143" s="86">
        <f t="shared" si="8"/>
        <v>281000</v>
      </c>
      <c r="J143" s="17">
        <f t="shared" si="9"/>
        <v>56200</v>
      </c>
      <c r="K143" s="171">
        <f t="shared" si="10"/>
        <v>224800</v>
      </c>
      <c r="L143" s="17"/>
      <c r="M143" s="17"/>
      <c r="N143" s="17">
        <f t="shared" si="11"/>
        <v>224800</v>
      </c>
      <c r="O143" s="10" t="s">
        <v>23</v>
      </c>
      <c r="P143" s="72"/>
      <c r="Q143" s="10" t="s">
        <v>40</v>
      </c>
      <c r="R143" s="17"/>
      <c r="S143" s="17"/>
      <c r="T143" s="17"/>
      <c r="U143" s="17"/>
      <c r="V143" s="17"/>
      <c r="W143" s="17"/>
    </row>
    <row r="144" spans="1:23" s="20" customFormat="1">
      <c r="A144" s="9">
        <v>44440</v>
      </c>
      <c r="B144" s="10" t="s">
        <v>23</v>
      </c>
      <c r="C144" s="138" t="s">
        <v>6112</v>
      </c>
      <c r="D144" s="92" t="s">
        <v>6113</v>
      </c>
      <c r="E144" s="839" t="s">
        <v>6134</v>
      </c>
      <c r="F144" s="840" t="s">
        <v>6135</v>
      </c>
      <c r="G144" s="56">
        <v>1</v>
      </c>
      <c r="H144" s="842">
        <v>84000</v>
      </c>
      <c r="I144" s="86">
        <f t="shared" si="8"/>
        <v>84000</v>
      </c>
      <c r="J144" s="17">
        <f t="shared" si="9"/>
        <v>16800</v>
      </c>
      <c r="K144" s="171">
        <f t="shared" si="10"/>
        <v>67200</v>
      </c>
      <c r="L144" s="17"/>
      <c r="M144" s="17"/>
      <c r="N144" s="17">
        <f t="shared" si="11"/>
        <v>67200</v>
      </c>
      <c r="O144" s="10" t="s">
        <v>23</v>
      </c>
      <c r="P144" s="72"/>
      <c r="Q144" s="10" t="s">
        <v>40</v>
      </c>
      <c r="R144" s="17"/>
      <c r="S144" s="17"/>
      <c r="T144" s="17"/>
      <c r="U144" s="17"/>
      <c r="V144" s="17"/>
      <c r="W144" s="17"/>
    </row>
    <row r="145" spans="1:23" s="20" customFormat="1">
      <c r="A145" s="9">
        <v>44440</v>
      </c>
      <c r="B145" s="10" t="s">
        <v>23</v>
      </c>
      <c r="C145" s="138" t="s">
        <v>6112</v>
      </c>
      <c r="D145" s="92" t="s">
        <v>6113</v>
      </c>
      <c r="E145" s="839" t="s">
        <v>3410</v>
      </c>
      <c r="F145" s="839" t="s">
        <v>3411</v>
      </c>
      <c r="G145" s="56">
        <v>1</v>
      </c>
      <c r="H145" s="842">
        <v>99000</v>
      </c>
      <c r="I145" s="86">
        <f t="shared" si="8"/>
        <v>99000</v>
      </c>
      <c r="J145" s="17">
        <f t="shared" si="9"/>
        <v>19800</v>
      </c>
      <c r="K145" s="171">
        <f t="shared" si="10"/>
        <v>79200</v>
      </c>
      <c r="L145" s="17"/>
      <c r="M145" s="17"/>
      <c r="N145" s="17">
        <f t="shared" si="11"/>
        <v>79200</v>
      </c>
      <c r="O145" s="10" t="s">
        <v>23</v>
      </c>
      <c r="P145" s="72"/>
      <c r="Q145" s="10" t="s">
        <v>40</v>
      </c>
      <c r="R145" s="17"/>
      <c r="S145" s="17"/>
      <c r="T145" s="17"/>
      <c r="U145" s="17"/>
      <c r="V145" s="17"/>
      <c r="W145" s="17"/>
    </row>
    <row r="146" spans="1:23" s="20" customFormat="1">
      <c r="A146" s="9">
        <v>44440</v>
      </c>
      <c r="B146" s="10" t="s">
        <v>23</v>
      </c>
      <c r="C146" s="138" t="s">
        <v>6112</v>
      </c>
      <c r="D146" s="92" t="s">
        <v>6113</v>
      </c>
      <c r="E146" s="839" t="s">
        <v>6136</v>
      </c>
      <c r="F146" s="840" t="s">
        <v>6137</v>
      </c>
      <c r="G146" s="56">
        <v>1</v>
      </c>
      <c r="H146" s="842">
        <v>101000</v>
      </c>
      <c r="I146" s="86">
        <f t="shared" si="8"/>
        <v>101000</v>
      </c>
      <c r="J146" s="17">
        <f t="shared" si="9"/>
        <v>20200</v>
      </c>
      <c r="K146" s="171">
        <f t="shared" si="10"/>
        <v>80800</v>
      </c>
      <c r="L146" s="17"/>
      <c r="M146" s="17"/>
      <c r="N146" s="17">
        <f t="shared" si="11"/>
        <v>80800</v>
      </c>
      <c r="O146" s="10" t="s">
        <v>23</v>
      </c>
      <c r="P146" s="183"/>
      <c r="Q146" s="10" t="s">
        <v>40</v>
      </c>
      <c r="R146" s="17"/>
      <c r="S146" s="17"/>
      <c r="T146" s="17"/>
      <c r="U146" s="17"/>
      <c r="V146" s="17"/>
      <c r="W146" s="17"/>
    </row>
    <row r="147" spans="1:23" s="20" customFormat="1">
      <c r="A147" s="9">
        <v>44440</v>
      </c>
      <c r="B147" s="10" t="s">
        <v>23</v>
      </c>
      <c r="C147" s="138" t="s">
        <v>6112</v>
      </c>
      <c r="D147" s="92" t="s">
        <v>6113</v>
      </c>
      <c r="E147" s="839" t="s">
        <v>6138</v>
      </c>
      <c r="F147" s="839" t="s">
        <v>6139</v>
      </c>
      <c r="G147" s="56">
        <v>1</v>
      </c>
      <c r="H147" s="842">
        <v>70500</v>
      </c>
      <c r="I147" s="86">
        <f t="shared" si="8"/>
        <v>70500</v>
      </c>
      <c r="J147" s="17">
        <f t="shared" si="9"/>
        <v>14100</v>
      </c>
      <c r="K147" s="171">
        <f t="shared" si="10"/>
        <v>56400</v>
      </c>
      <c r="L147" s="17"/>
      <c r="M147" s="17"/>
      <c r="N147" s="17">
        <f t="shared" si="11"/>
        <v>56400</v>
      </c>
      <c r="O147" s="10" t="s">
        <v>23</v>
      </c>
      <c r="P147" s="183"/>
      <c r="Q147" s="10" t="s">
        <v>40</v>
      </c>
      <c r="R147" s="17"/>
      <c r="S147" s="17"/>
      <c r="T147" s="17"/>
      <c r="U147" s="17"/>
      <c r="V147" s="17"/>
      <c r="W147" s="17"/>
    </row>
    <row r="148" spans="1:23" s="20" customFormat="1">
      <c r="A148" s="9">
        <v>44440</v>
      </c>
      <c r="B148" s="10" t="s">
        <v>23</v>
      </c>
      <c r="C148" s="10" t="s">
        <v>6140</v>
      </c>
      <c r="D148" s="92" t="s">
        <v>6141</v>
      </c>
      <c r="E148" s="758" t="s">
        <v>2547</v>
      </c>
      <c r="F148" s="758" t="s">
        <v>2548</v>
      </c>
      <c r="G148" s="56">
        <v>1</v>
      </c>
      <c r="H148" s="86">
        <v>70700</v>
      </c>
      <c r="I148" s="86">
        <f t="shared" si="8"/>
        <v>70700</v>
      </c>
      <c r="J148" s="17"/>
      <c r="K148" s="171">
        <f t="shared" si="10"/>
        <v>70700</v>
      </c>
      <c r="L148" s="17">
        <v>38000</v>
      </c>
      <c r="M148" s="17"/>
      <c r="N148" s="17">
        <f t="shared" si="11"/>
        <v>108700</v>
      </c>
      <c r="O148" s="10" t="s">
        <v>23</v>
      </c>
      <c r="P148" s="72"/>
      <c r="Q148" s="10" t="s">
        <v>54</v>
      </c>
      <c r="R148" s="17"/>
      <c r="S148" s="17"/>
      <c r="T148" s="17"/>
      <c r="U148" s="17"/>
      <c r="V148" s="17"/>
      <c r="W148" s="17"/>
    </row>
    <row r="149" spans="1:23" s="20" customFormat="1">
      <c r="A149" s="9">
        <v>44441</v>
      </c>
      <c r="B149" s="91" t="s">
        <v>43</v>
      </c>
      <c r="C149" s="123" t="s">
        <v>6142</v>
      </c>
      <c r="D149" s="92" t="s">
        <v>6143</v>
      </c>
      <c r="E149" s="758" t="s">
        <v>2667</v>
      </c>
      <c r="F149" s="758" t="s">
        <v>2668</v>
      </c>
      <c r="G149" s="56">
        <v>1</v>
      </c>
      <c r="H149" s="86">
        <v>127000</v>
      </c>
      <c r="I149" s="86">
        <f t="shared" si="8"/>
        <v>127000</v>
      </c>
      <c r="J149" s="17">
        <v>25400</v>
      </c>
      <c r="K149" s="171">
        <f t="shared" si="10"/>
        <v>101600</v>
      </c>
      <c r="L149" s="17"/>
      <c r="M149" s="17">
        <v>-5690</v>
      </c>
      <c r="N149" s="17">
        <f t="shared" si="11"/>
        <v>95910</v>
      </c>
      <c r="O149" s="91" t="s">
        <v>43</v>
      </c>
      <c r="P149" s="72"/>
      <c r="Q149" s="91" t="s">
        <v>54</v>
      </c>
      <c r="R149" s="17"/>
      <c r="S149" s="17"/>
      <c r="T149" s="17"/>
      <c r="U149" s="17"/>
      <c r="V149" s="17"/>
      <c r="W149" s="17"/>
    </row>
    <row r="150" spans="1:23" s="20" customFormat="1">
      <c r="A150" s="9">
        <v>44441</v>
      </c>
      <c r="B150" s="91" t="s">
        <v>43</v>
      </c>
      <c r="C150" s="123" t="s">
        <v>6144</v>
      </c>
      <c r="D150" s="92" t="s">
        <v>6145</v>
      </c>
      <c r="E150" s="833" t="s">
        <v>1826</v>
      </c>
      <c r="F150" s="828" t="s">
        <v>1827</v>
      </c>
      <c r="G150" s="56">
        <v>1</v>
      </c>
      <c r="H150" s="86">
        <v>71000</v>
      </c>
      <c r="I150" s="86">
        <f t="shared" si="8"/>
        <v>71000</v>
      </c>
      <c r="J150" s="17">
        <v>36800</v>
      </c>
      <c r="K150" s="171">
        <f t="shared" si="10"/>
        <v>34200</v>
      </c>
      <c r="L150" s="17"/>
      <c r="M150" s="17">
        <v>-8243</v>
      </c>
      <c r="N150" s="17">
        <f t="shared" si="11"/>
        <v>25957</v>
      </c>
      <c r="O150" s="91" t="s">
        <v>43</v>
      </c>
      <c r="P150" s="72"/>
      <c r="Q150" s="91" t="s">
        <v>54</v>
      </c>
      <c r="R150" s="17"/>
      <c r="S150" s="17"/>
      <c r="T150" s="17"/>
      <c r="U150" s="17"/>
      <c r="V150" s="17"/>
      <c r="W150" s="17"/>
    </row>
    <row r="151" spans="1:23" s="20" customFormat="1">
      <c r="A151" s="9">
        <v>44441</v>
      </c>
      <c r="B151" s="91" t="s">
        <v>43</v>
      </c>
      <c r="C151" s="123" t="s">
        <v>6144</v>
      </c>
      <c r="D151" s="92" t="s">
        <v>6145</v>
      </c>
      <c r="E151" s="828" t="s">
        <v>6146</v>
      </c>
      <c r="F151" s="828" t="s">
        <v>289</v>
      </c>
      <c r="G151" s="56">
        <v>1</v>
      </c>
      <c r="H151" s="86">
        <v>113000</v>
      </c>
      <c r="I151" s="86">
        <f t="shared" si="8"/>
        <v>113000</v>
      </c>
      <c r="J151" s="17"/>
      <c r="K151" s="171">
        <f t="shared" si="10"/>
        <v>113000</v>
      </c>
      <c r="L151" s="17"/>
      <c r="M151" s="17"/>
      <c r="N151" s="17">
        <f t="shared" si="11"/>
        <v>113000</v>
      </c>
      <c r="O151" s="91" t="s">
        <v>43</v>
      </c>
      <c r="P151" s="72"/>
      <c r="Q151" s="91" t="s">
        <v>54</v>
      </c>
      <c r="R151" s="17"/>
      <c r="S151" s="17"/>
      <c r="T151" s="17"/>
      <c r="U151" s="17"/>
      <c r="V151" s="17"/>
      <c r="W151" s="17"/>
    </row>
    <row r="152" spans="1:23" s="20" customFormat="1">
      <c r="A152" s="9">
        <v>44441</v>
      </c>
      <c r="B152" s="91" t="s">
        <v>206</v>
      </c>
      <c r="C152" s="123" t="s">
        <v>6147</v>
      </c>
      <c r="D152" s="92" t="s">
        <v>6148</v>
      </c>
      <c r="E152" s="843" t="s">
        <v>6149</v>
      </c>
      <c r="F152" s="843" t="s">
        <v>6150</v>
      </c>
      <c r="G152" s="56">
        <v>1</v>
      </c>
      <c r="H152" s="86">
        <v>69500</v>
      </c>
      <c r="I152" s="86">
        <f t="shared" si="8"/>
        <v>69500</v>
      </c>
      <c r="J152" s="17"/>
      <c r="K152" s="171">
        <f t="shared" si="10"/>
        <v>69500</v>
      </c>
      <c r="L152" s="17">
        <f>39000-39000</f>
        <v>0</v>
      </c>
      <c r="M152" s="17"/>
      <c r="N152" s="17">
        <f t="shared" si="11"/>
        <v>69500</v>
      </c>
      <c r="O152" s="91" t="s">
        <v>206</v>
      </c>
      <c r="P152" s="72"/>
      <c r="Q152" s="91" t="s">
        <v>328</v>
      </c>
      <c r="R152" s="17"/>
      <c r="S152" s="17"/>
      <c r="T152" s="17"/>
      <c r="U152" s="17"/>
      <c r="V152" s="17"/>
      <c r="W152" s="17"/>
    </row>
    <row r="153" spans="1:23" s="20" customFormat="1">
      <c r="A153" s="9">
        <v>44441</v>
      </c>
      <c r="B153" s="91" t="s">
        <v>206</v>
      </c>
      <c r="C153" s="123" t="s">
        <v>6147</v>
      </c>
      <c r="D153" s="92" t="s">
        <v>6148</v>
      </c>
      <c r="E153" s="843" t="s">
        <v>6151</v>
      </c>
      <c r="F153" s="843" t="s">
        <v>6152</v>
      </c>
      <c r="G153" s="56">
        <v>1</v>
      </c>
      <c r="H153" s="86">
        <v>45000</v>
      </c>
      <c r="I153" s="86">
        <f t="shared" si="8"/>
        <v>45000</v>
      </c>
      <c r="J153" s="17"/>
      <c r="K153" s="171">
        <f t="shared" si="10"/>
        <v>45000</v>
      </c>
      <c r="L153" s="17"/>
      <c r="M153" s="17"/>
      <c r="N153" s="17">
        <f t="shared" si="11"/>
        <v>45000</v>
      </c>
      <c r="O153" s="91" t="s">
        <v>206</v>
      </c>
      <c r="P153" s="72"/>
      <c r="Q153" s="91" t="s">
        <v>328</v>
      </c>
      <c r="R153" s="17"/>
      <c r="S153" s="17"/>
      <c r="T153" s="17"/>
      <c r="U153" s="17"/>
      <c r="V153" s="17"/>
      <c r="W153" s="17"/>
    </row>
    <row r="154" spans="1:23" s="20" customFormat="1">
      <c r="A154" s="9">
        <v>44441</v>
      </c>
      <c r="B154" s="91" t="s">
        <v>206</v>
      </c>
      <c r="C154" s="91" t="s">
        <v>6153</v>
      </c>
      <c r="D154" s="92" t="s">
        <v>6154</v>
      </c>
      <c r="E154" s="740" t="s">
        <v>6155</v>
      </c>
      <c r="F154" s="740" t="s">
        <v>6156</v>
      </c>
      <c r="G154" s="56">
        <v>1</v>
      </c>
      <c r="H154" s="86">
        <v>70000</v>
      </c>
      <c r="I154" s="86">
        <f t="shared" si="8"/>
        <v>70000</v>
      </c>
      <c r="J154" s="17"/>
      <c r="K154" s="171">
        <f t="shared" si="10"/>
        <v>70000</v>
      </c>
      <c r="L154" s="17">
        <v>14400</v>
      </c>
      <c r="M154" s="17"/>
      <c r="N154" s="17">
        <f t="shared" si="11"/>
        <v>84400</v>
      </c>
      <c r="O154" s="91" t="s">
        <v>206</v>
      </c>
      <c r="P154" s="72"/>
      <c r="Q154" s="91" t="s">
        <v>40</v>
      </c>
      <c r="R154" s="17"/>
      <c r="S154" s="17"/>
      <c r="T154" s="17"/>
      <c r="U154" s="17"/>
      <c r="V154" s="17"/>
      <c r="W154" s="17"/>
    </row>
    <row r="155" spans="1:23" s="20" customFormat="1" ht="15.75" customHeight="1">
      <c r="A155" s="9">
        <v>44441</v>
      </c>
      <c r="B155" s="91" t="s">
        <v>23</v>
      </c>
      <c r="C155" s="123" t="s">
        <v>6157</v>
      </c>
      <c r="D155" s="92" t="s">
        <v>6158</v>
      </c>
      <c r="E155" s="844" t="s">
        <v>6159</v>
      </c>
      <c r="F155" s="844" t="s">
        <v>6160</v>
      </c>
      <c r="G155" s="56">
        <v>1</v>
      </c>
      <c r="H155" s="845">
        <v>51000</v>
      </c>
      <c r="I155" s="86">
        <f t="shared" si="8"/>
        <v>51000</v>
      </c>
      <c r="J155" s="17">
        <f t="shared" ref="J155:J182" si="12">I155*20%</f>
        <v>10200</v>
      </c>
      <c r="K155" s="171">
        <f t="shared" si="10"/>
        <v>40800</v>
      </c>
      <c r="L155" s="17">
        <v>490000</v>
      </c>
      <c r="M155" s="17"/>
      <c r="N155" s="17">
        <f t="shared" si="11"/>
        <v>530800</v>
      </c>
      <c r="O155" s="91" t="s">
        <v>23</v>
      </c>
      <c r="P155" s="92"/>
      <c r="Q155" s="91" t="s">
        <v>5552</v>
      </c>
      <c r="R155" s="17"/>
      <c r="S155" s="17"/>
      <c r="T155" s="17"/>
      <c r="U155" s="17"/>
      <c r="V155" s="17"/>
      <c r="W155" s="17"/>
    </row>
    <row r="156" spans="1:23" s="20" customFormat="1" ht="15.75" customHeight="1">
      <c r="A156" s="9">
        <v>44441</v>
      </c>
      <c r="B156" s="91" t="s">
        <v>23</v>
      </c>
      <c r="C156" s="123" t="s">
        <v>6157</v>
      </c>
      <c r="D156" s="92" t="s">
        <v>6158</v>
      </c>
      <c r="E156" s="844" t="s">
        <v>6161</v>
      </c>
      <c r="F156" s="844" t="s">
        <v>1217</v>
      </c>
      <c r="G156" s="56">
        <v>1</v>
      </c>
      <c r="H156" s="845">
        <v>110000</v>
      </c>
      <c r="I156" s="86">
        <f t="shared" si="8"/>
        <v>110000</v>
      </c>
      <c r="J156" s="17">
        <f t="shared" si="12"/>
        <v>22000</v>
      </c>
      <c r="K156" s="171">
        <f t="shared" si="10"/>
        <v>88000</v>
      </c>
      <c r="L156" s="17"/>
      <c r="M156" s="17"/>
      <c r="N156" s="17">
        <f t="shared" si="11"/>
        <v>88000</v>
      </c>
      <c r="O156" s="91" t="s">
        <v>23</v>
      </c>
      <c r="P156" s="92"/>
      <c r="Q156" s="91" t="s">
        <v>5552</v>
      </c>
      <c r="R156" s="17"/>
      <c r="S156" s="17"/>
      <c r="T156" s="17"/>
      <c r="U156" s="17"/>
      <c r="V156" s="17"/>
      <c r="W156" s="17"/>
    </row>
    <row r="157" spans="1:23" s="20" customFormat="1" ht="15.75" customHeight="1">
      <c r="A157" s="9">
        <v>44441</v>
      </c>
      <c r="B157" s="91" t="s">
        <v>23</v>
      </c>
      <c r="C157" s="123" t="s">
        <v>6157</v>
      </c>
      <c r="D157" s="92" t="s">
        <v>6158</v>
      </c>
      <c r="E157" s="844" t="s">
        <v>1841</v>
      </c>
      <c r="F157" s="844" t="s">
        <v>1842</v>
      </c>
      <c r="G157" s="56">
        <v>1</v>
      </c>
      <c r="H157" s="845">
        <v>172000</v>
      </c>
      <c r="I157" s="86">
        <f t="shared" si="8"/>
        <v>172000</v>
      </c>
      <c r="J157" s="17">
        <f t="shared" si="12"/>
        <v>34400</v>
      </c>
      <c r="K157" s="171">
        <f t="shared" si="10"/>
        <v>137600</v>
      </c>
      <c r="L157" s="17"/>
      <c r="M157" s="17"/>
      <c r="N157" s="17">
        <f t="shared" si="11"/>
        <v>137600</v>
      </c>
      <c r="O157" s="91" t="s">
        <v>23</v>
      </c>
      <c r="P157" s="92"/>
      <c r="Q157" s="91" t="s">
        <v>5552</v>
      </c>
      <c r="R157" s="17"/>
      <c r="S157" s="17"/>
      <c r="T157" s="17"/>
      <c r="U157" s="17"/>
      <c r="V157" s="17"/>
      <c r="W157" s="17"/>
    </row>
    <row r="158" spans="1:23" s="20" customFormat="1" ht="15.75" customHeight="1">
      <c r="A158" s="9">
        <v>44441</v>
      </c>
      <c r="B158" s="91" t="s">
        <v>23</v>
      </c>
      <c r="C158" s="123" t="s">
        <v>6157</v>
      </c>
      <c r="D158" s="92" t="s">
        <v>6158</v>
      </c>
      <c r="E158" s="844" t="s">
        <v>6162</v>
      </c>
      <c r="F158" s="844" t="s">
        <v>6163</v>
      </c>
      <c r="G158" s="56">
        <v>1</v>
      </c>
      <c r="H158" s="845">
        <v>72000</v>
      </c>
      <c r="I158" s="86">
        <f t="shared" si="8"/>
        <v>72000</v>
      </c>
      <c r="J158" s="17">
        <f t="shared" si="12"/>
        <v>14400</v>
      </c>
      <c r="K158" s="171">
        <f t="shared" si="10"/>
        <v>57600</v>
      </c>
      <c r="L158" s="17"/>
      <c r="M158" s="17"/>
      <c r="N158" s="17">
        <f t="shared" si="11"/>
        <v>57600</v>
      </c>
      <c r="O158" s="91" t="s">
        <v>23</v>
      </c>
      <c r="P158" s="92"/>
      <c r="Q158" s="91" t="s">
        <v>5552</v>
      </c>
      <c r="R158" s="17"/>
      <c r="S158" s="17"/>
      <c r="T158" s="17"/>
      <c r="U158" s="17"/>
      <c r="V158" s="17"/>
      <c r="W158" s="17"/>
    </row>
    <row r="159" spans="1:23" s="20" customFormat="1" ht="15.75" customHeight="1">
      <c r="A159" s="9">
        <v>44441</v>
      </c>
      <c r="B159" s="91" t="s">
        <v>23</v>
      </c>
      <c r="C159" s="123" t="s">
        <v>6157</v>
      </c>
      <c r="D159" s="92" t="s">
        <v>6158</v>
      </c>
      <c r="E159" s="844" t="s">
        <v>6164</v>
      </c>
      <c r="F159" s="844" t="s">
        <v>6165</v>
      </c>
      <c r="G159" s="56">
        <v>1</v>
      </c>
      <c r="H159" s="845">
        <v>168000</v>
      </c>
      <c r="I159" s="86">
        <f t="shared" si="8"/>
        <v>168000</v>
      </c>
      <c r="J159" s="17">
        <f t="shared" si="12"/>
        <v>33600</v>
      </c>
      <c r="K159" s="171">
        <f t="shared" si="10"/>
        <v>134400</v>
      </c>
      <c r="L159" s="17"/>
      <c r="M159" s="17"/>
      <c r="N159" s="17">
        <f t="shared" si="11"/>
        <v>134400</v>
      </c>
      <c r="O159" s="91" t="s">
        <v>23</v>
      </c>
      <c r="P159" s="92"/>
      <c r="Q159" s="91" t="s">
        <v>5552</v>
      </c>
      <c r="R159" s="17"/>
      <c r="S159" s="17"/>
      <c r="T159" s="17"/>
      <c r="U159" s="17"/>
      <c r="V159" s="17"/>
      <c r="W159" s="17"/>
    </row>
    <row r="160" spans="1:23" s="20" customFormat="1" ht="15.75" customHeight="1">
      <c r="A160" s="9">
        <v>44441</v>
      </c>
      <c r="B160" s="91" t="s">
        <v>23</v>
      </c>
      <c r="C160" s="123" t="s">
        <v>6157</v>
      </c>
      <c r="D160" s="92" t="s">
        <v>6158</v>
      </c>
      <c r="E160" s="844" t="s">
        <v>1469</v>
      </c>
      <c r="F160" s="844" t="s">
        <v>6166</v>
      </c>
      <c r="G160" s="56">
        <v>1</v>
      </c>
      <c r="H160" s="845">
        <v>83000</v>
      </c>
      <c r="I160" s="86">
        <f t="shared" si="8"/>
        <v>83000</v>
      </c>
      <c r="J160" s="17">
        <f t="shared" si="12"/>
        <v>16600</v>
      </c>
      <c r="K160" s="171">
        <f t="shared" si="10"/>
        <v>66400</v>
      </c>
      <c r="L160" s="17"/>
      <c r="M160" s="17"/>
      <c r="N160" s="17">
        <f t="shared" si="11"/>
        <v>66400</v>
      </c>
      <c r="O160" s="91" t="s">
        <v>23</v>
      </c>
      <c r="P160" s="92"/>
      <c r="Q160" s="91" t="s">
        <v>5552</v>
      </c>
      <c r="R160" s="17"/>
      <c r="S160" s="17"/>
      <c r="T160" s="17"/>
      <c r="U160" s="17"/>
      <c r="V160" s="17"/>
      <c r="W160" s="17"/>
    </row>
    <row r="161" spans="1:23" s="20" customFormat="1" ht="15.75" customHeight="1">
      <c r="A161" s="9">
        <v>44441</v>
      </c>
      <c r="B161" s="91" t="s">
        <v>23</v>
      </c>
      <c r="C161" s="123" t="s">
        <v>6157</v>
      </c>
      <c r="D161" s="92" t="s">
        <v>6158</v>
      </c>
      <c r="E161" s="844" t="s">
        <v>6167</v>
      </c>
      <c r="F161" s="844" t="s">
        <v>6168</v>
      </c>
      <c r="G161" s="56">
        <v>1</v>
      </c>
      <c r="H161" s="845">
        <v>96000</v>
      </c>
      <c r="I161" s="86">
        <f t="shared" si="8"/>
        <v>96000</v>
      </c>
      <c r="J161" s="17">
        <f t="shared" si="12"/>
        <v>19200</v>
      </c>
      <c r="K161" s="171">
        <f t="shared" si="10"/>
        <v>76800</v>
      </c>
      <c r="L161" s="17"/>
      <c r="M161" s="17"/>
      <c r="N161" s="17">
        <f t="shared" si="11"/>
        <v>76800</v>
      </c>
      <c r="O161" s="91" t="s">
        <v>23</v>
      </c>
      <c r="P161" s="191"/>
      <c r="Q161" s="91" t="s">
        <v>5552</v>
      </c>
      <c r="R161" s="17"/>
      <c r="S161" s="17"/>
      <c r="T161" s="17"/>
      <c r="U161" s="17"/>
      <c r="V161" s="17"/>
      <c r="W161" s="17"/>
    </row>
    <row r="162" spans="1:23" s="20" customFormat="1" ht="15.75" customHeight="1">
      <c r="A162" s="9">
        <v>44441</v>
      </c>
      <c r="B162" s="91" t="s">
        <v>23</v>
      </c>
      <c r="C162" s="123" t="s">
        <v>6157</v>
      </c>
      <c r="D162" s="92" t="s">
        <v>6158</v>
      </c>
      <c r="E162" s="844" t="s">
        <v>6169</v>
      </c>
      <c r="F162" s="844" t="s">
        <v>6170</v>
      </c>
      <c r="G162" s="56">
        <v>1</v>
      </c>
      <c r="H162" s="845">
        <v>73000</v>
      </c>
      <c r="I162" s="86">
        <f t="shared" si="8"/>
        <v>73000</v>
      </c>
      <c r="J162" s="17">
        <f t="shared" si="12"/>
        <v>14600</v>
      </c>
      <c r="K162" s="171">
        <f t="shared" si="10"/>
        <v>58400</v>
      </c>
      <c r="L162" s="17"/>
      <c r="M162" s="17"/>
      <c r="N162" s="17">
        <f t="shared" si="11"/>
        <v>58400</v>
      </c>
      <c r="O162" s="91" t="s">
        <v>23</v>
      </c>
      <c r="P162" s="191"/>
      <c r="Q162" s="91" t="s">
        <v>5552</v>
      </c>
      <c r="R162" s="17"/>
      <c r="S162" s="17"/>
      <c r="T162" s="17"/>
      <c r="U162" s="17"/>
      <c r="V162" s="17"/>
      <c r="W162" s="17"/>
    </row>
    <row r="163" spans="1:23" s="20" customFormat="1" ht="15.75" customHeight="1">
      <c r="A163" s="9">
        <v>44441</v>
      </c>
      <c r="B163" s="91" t="s">
        <v>23</v>
      </c>
      <c r="C163" s="123" t="s">
        <v>6157</v>
      </c>
      <c r="D163" s="92" t="s">
        <v>6158</v>
      </c>
      <c r="E163" s="844" t="s">
        <v>221</v>
      </c>
      <c r="F163" s="844" t="s">
        <v>222</v>
      </c>
      <c r="G163" s="56">
        <v>1</v>
      </c>
      <c r="H163" s="845">
        <v>44000</v>
      </c>
      <c r="I163" s="86">
        <f t="shared" si="8"/>
        <v>44000</v>
      </c>
      <c r="J163" s="17">
        <f t="shared" si="12"/>
        <v>8800</v>
      </c>
      <c r="K163" s="171">
        <f t="shared" si="10"/>
        <v>35200</v>
      </c>
      <c r="L163" s="17"/>
      <c r="M163" s="17"/>
      <c r="N163" s="17">
        <f t="shared" si="11"/>
        <v>35200</v>
      </c>
      <c r="O163" s="91" t="s">
        <v>23</v>
      </c>
      <c r="P163" s="191"/>
      <c r="Q163" s="91" t="s">
        <v>5552</v>
      </c>
      <c r="R163" s="17"/>
      <c r="S163" s="17"/>
      <c r="T163" s="17"/>
      <c r="U163" s="17"/>
      <c r="V163" s="17"/>
      <c r="W163" s="17"/>
    </row>
    <row r="164" spans="1:23" s="20" customFormat="1" ht="15.75" customHeight="1">
      <c r="A164" s="9">
        <v>44441</v>
      </c>
      <c r="B164" s="91" t="s">
        <v>23</v>
      </c>
      <c r="C164" s="123" t="s">
        <v>6157</v>
      </c>
      <c r="D164" s="92" t="s">
        <v>6158</v>
      </c>
      <c r="E164" s="844" t="s">
        <v>471</v>
      </c>
      <c r="F164" s="844" t="s">
        <v>472</v>
      </c>
      <c r="G164" s="56">
        <v>1</v>
      </c>
      <c r="H164" s="845">
        <v>111000</v>
      </c>
      <c r="I164" s="86">
        <f t="shared" si="8"/>
        <v>111000</v>
      </c>
      <c r="J164" s="17">
        <f t="shared" si="12"/>
        <v>22200</v>
      </c>
      <c r="K164" s="171">
        <f t="shared" si="10"/>
        <v>88800</v>
      </c>
      <c r="L164" s="17"/>
      <c r="M164" s="17"/>
      <c r="N164" s="17">
        <f t="shared" si="11"/>
        <v>88800</v>
      </c>
      <c r="O164" s="91" t="s">
        <v>23</v>
      </c>
      <c r="P164" s="191"/>
      <c r="Q164" s="91" t="s">
        <v>5552</v>
      </c>
      <c r="R164" s="17"/>
      <c r="S164" s="17"/>
      <c r="T164" s="17"/>
      <c r="U164" s="17"/>
      <c r="V164" s="17"/>
      <c r="W164" s="17"/>
    </row>
    <row r="165" spans="1:23" s="20" customFormat="1" ht="15.75" customHeight="1">
      <c r="A165" s="9">
        <v>44441</v>
      </c>
      <c r="B165" s="91" t="s">
        <v>23</v>
      </c>
      <c r="C165" s="123" t="s">
        <v>6157</v>
      </c>
      <c r="D165" s="92" t="s">
        <v>6158</v>
      </c>
      <c r="E165" s="844" t="s">
        <v>6171</v>
      </c>
      <c r="F165" s="844" t="s">
        <v>34</v>
      </c>
      <c r="G165" s="56">
        <v>1</v>
      </c>
      <c r="H165" s="845">
        <v>79000</v>
      </c>
      <c r="I165" s="86">
        <f t="shared" si="8"/>
        <v>79000</v>
      </c>
      <c r="J165" s="17">
        <f t="shared" si="12"/>
        <v>15800</v>
      </c>
      <c r="K165" s="171">
        <f t="shared" si="10"/>
        <v>63200</v>
      </c>
      <c r="L165" s="17"/>
      <c r="M165" s="17"/>
      <c r="N165" s="17">
        <f t="shared" si="11"/>
        <v>63200</v>
      </c>
      <c r="O165" s="91" t="s">
        <v>23</v>
      </c>
      <c r="P165" s="191"/>
      <c r="Q165" s="91" t="s">
        <v>5552</v>
      </c>
      <c r="R165" s="17"/>
      <c r="S165" s="17"/>
      <c r="T165" s="17"/>
      <c r="U165" s="17"/>
      <c r="V165" s="17"/>
      <c r="W165" s="17"/>
    </row>
    <row r="166" spans="1:23" s="20" customFormat="1" ht="15.75" customHeight="1">
      <c r="A166" s="9">
        <v>44441</v>
      </c>
      <c r="B166" s="91" t="s">
        <v>23</v>
      </c>
      <c r="C166" s="123" t="s">
        <v>6157</v>
      </c>
      <c r="D166" s="92" t="s">
        <v>6158</v>
      </c>
      <c r="E166" s="844" t="s">
        <v>6172</v>
      </c>
      <c r="F166" s="844" t="s">
        <v>34</v>
      </c>
      <c r="G166" s="56">
        <v>1</v>
      </c>
      <c r="H166" s="845">
        <v>60000</v>
      </c>
      <c r="I166" s="86">
        <f t="shared" si="8"/>
        <v>60000</v>
      </c>
      <c r="J166" s="17">
        <f t="shared" si="12"/>
        <v>12000</v>
      </c>
      <c r="K166" s="171">
        <f t="shared" si="10"/>
        <v>48000</v>
      </c>
      <c r="L166" s="17"/>
      <c r="M166" s="17"/>
      <c r="N166" s="17">
        <f t="shared" si="11"/>
        <v>48000</v>
      </c>
      <c r="O166" s="91" t="s">
        <v>23</v>
      </c>
      <c r="P166" s="191"/>
      <c r="Q166" s="91" t="s">
        <v>5552</v>
      </c>
      <c r="R166" s="17"/>
      <c r="S166" s="17"/>
      <c r="T166" s="17"/>
      <c r="U166" s="17"/>
      <c r="V166" s="17"/>
      <c r="W166" s="17"/>
    </row>
    <row r="167" spans="1:23" s="20" customFormat="1" ht="15.75" customHeight="1">
      <c r="A167" s="9">
        <v>44441</v>
      </c>
      <c r="B167" s="91" t="s">
        <v>23</v>
      </c>
      <c r="C167" s="123" t="s">
        <v>6157</v>
      </c>
      <c r="D167" s="92" t="s">
        <v>6158</v>
      </c>
      <c r="E167" s="844" t="s">
        <v>6173</v>
      </c>
      <c r="F167" s="844" t="s">
        <v>3358</v>
      </c>
      <c r="G167" s="56">
        <v>1</v>
      </c>
      <c r="H167" s="845">
        <v>84000</v>
      </c>
      <c r="I167" s="86">
        <f t="shared" si="8"/>
        <v>84000</v>
      </c>
      <c r="J167" s="17">
        <f t="shared" si="12"/>
        <v>16800</v>
      </c>
      <c r="K167" s="171">
        <f t="shared" si="10"/>
        <v>67200</v>
      </c>
      <c r="L167" s="17"/>
      <c r="M167" s="17"/>
      <c r="N167" s="17">
        <f t="shared" si="11"/>
        <v>67200</v>
      </c>
      <c r="O167" s="91" t="s">
        <v>23</v>
      </c>
      <c r="P167" s="191"/>
      <c r="Q167" s="91" t="s">
        <v>5552</v>
      </c>
      <c r="R167" s="17"/>
      <c r="S167" s="17"/>
      <c r="T167" s="17"/>
      <c r="U167" s="17"/>
      <c r="V167" s="17"/>
      <c r="W167" s="17"/>
    </row>
    <row r="168" spans="1:23" s="20" customFormat="1" ht="15.75" customHeight="1">
      <c r="A168" s="9">
        <v>44441</v>
      </c>
      <c r="B168" s="91" t="s">
        <v>23</v>
      </c>
      <c r="C168" s="123" t="s">
        <v>6157</v>
      </c>
      <c r="D168" s="92" t="s">
        <v>6158</v>
      </c>
      <c r="E168" s="844" t="s">
        <v>3443</v>
      </c>
      <c r="F168" s="844" t="s">
        <v>3444</v>
      </c>
      <c r="G168" s="56">
        <v>1</v>
      </c>
      <c r="H168" s="845">
        <v>94000</v>
      </c>
      <c r="I168" s="86">
        <f t="shared" si="8"/>
        <v>94000</v>
      </c>
      <c r="J168" s="17">
        <f t="shared" si="12"/>
        <v>18800</v>
      </c>
      <c r="K168" s="171">
        <f t="shared" si="10"/>
        <v>75200</v>
      </c>
      <c r="L168" s="17"/>
      <c r="M168" s="17"/>
      <c r="N168" s="17">
        <f t="shared" si="11"/>
        <v>75200</v>
      </c>
      <c r="O168" s="91" t="s">
        <v>23</v>
      </c>
      <c r="P168" s="191"/>
      <c r="Q168" s="91" t="s">
        <v>5552</v>
      </c>
      <c r="R168" s="17"/>
      <c r="S168" s="17"/>
      <c r="T168" s="17"/>
      <c r="U168" s="17"/>
      <c r="V168" s="17"/>
      <c r="W168" s="17"/>
    </row>
    <row r="169" spans="1:23" s="20" customFormat="1" ht="15.75" customHeight="1">
      <c r="A169" s="9">
        <v>44441</v>
      </c>
      <c r="B169" s="91" t="s">
        <v>23</v>
      </c>
      <c r="C169" s="123" t="s">
        <v>6157</v>
      </c>
      <c r="D169" s="92" t="s">
        <v>6158</v>
      </c>
      <c r="E169" s="844" t="s">
        <v>3334</v>
      </c>
      <c r="F169" s="844" t="s">
        <v>3335</v>
      </c>
      <c r="G169" s="56">
        <v>1</v>
      </c>
      <c r="H169" s="845">
        <v>73000</v>
      </c>
      <c r="I169" s="86">
        <f t="shared" si="8"/>
        <v>73000</v>
      </c>
      <c r="J169" s="17">
        <f t="shared" si="12"/>
        <v>14600</v>
      </c>
      <c r="K169" s="171">
        <f t="shared" si="10"/>
        <v>58400</v>
      </c>
      <c r="L169" s="17"/>
      <c r="M169" s="17"/>
      <c r="N169" s="17">
        <f t="shared" si="11"/>
        <v>58400</v>
      </c>
      <c r="O169" s="91" t="s">
        <v>23</v>
      </c>
      <c r="P169" s="191"/>
      <c r="Q169" s="91" t="s">
        <v>5552</v>
      </c>
      <c r="R169" s="17"/>
      <c r="S169" s="17"/>
      <c r="T169" s="17"/>
      <c r="U169" s="17"/>
      <c r="V169" s="17"/>
      <c r="W169" s="17"/>
    </row>
    <row r="170" spans="1:23" s="20" customFormat="1" ht="15.75" customHeight="1">
      <c r="A170" s="9">
        <v>44441</v>
      </c>
      <c r="B170" s="91" t="s">
        <v>23</v>
      </c>
      <c r="C170" s="123" t="s">
        <v>6157</v>
      </c>
      <c r="D170" s="92" t="s">
        <v>6158</v>
      </c>
      <c r="E170" s="844" t="s">
        <v>6174</v>
      </c>
      <c r="F170" s="844" t="s">
        <v>6175</v>
      </c>
      <c r="G170" s="56">
        <v>1</v>
      </c>
      <c r="H170" s="845">
        <v>129000</v>
      </c>
      <c r="I170" s="86">
        <f t="shared" si="8"/>
        <v>129000</v>
      </c>
      <c r="J170" s="17">
        <f t="shared" si="12"/>
        <v>25800</v>
      </c>
      <c r="K170" s="171">
        <f t="shared" si="10"/>
        <v>103200</v>
      </c>
      <c r="L170" s="17"/>
      <c r="M170" s="17"/>
      <c r="N170" s="17">
        <f t="shared" si="11"/>
        <v>103200</v>
      </c>
      <c r="O170" s="91" t="s">
        <v>23</v>
      </c>
      <c r="P170" s="191"/>
      <c r="Q170" s="91" t="s">
        <v>5552</v>
      </c>
      <c r="R170" s="17"/>
      <c r="S170" s="17"/>
      <c r="T170" s="17"/>
      <c r="U170" s="17"/>
      <c r="V170" s="17"/>
      <c r="W170" s="17"/>
    </row>
    <row r="171" spans="1:23" s="20" customFormat="1" ht="15.75" customHeight="1">
      <c r="A171" s="9">
        <v>44441</v>
      </c>
      <c r="B171" s="91" t="s">
        <v>23</v>
      </c>
      <c r="C171" s="123" t="s">
        <v>6157</v>
      </c>
      <c r="D171" s="92" t="s">
        <v>6158</v>
      </c>
      <c r="E171" s="844" t="s">
        <v>6176</v>
      </c>
      <c r="F171" s="844" t="s">
        <v>34</v>
      </c>
      <c r="G171" s="56">
        <v>1</v>
      </c>
      <c r="H171" s="845">
        <v>75000</v>
      </c>
      <c r="I171" s="86">
        <f t="shared" si="8"/>
        <v>75000</v>
      </c>
      <c r="J171" s="17">
        <f t="shared" si="12"/>
        <v>15000</v>
      </c>
      <c r="K171" s="171">
        <f t="shared" si="10"/>
        <v>60000</v>
      </c>
      <c r="L171" s="17"/>
      <c r="M171" s="17"/>
      <c r="N171" s="17">
        <f t="shared" si="11"/>
        <v>60000</v>
      </c>
      <c r="O171" s="91" t="s">
        <v>23</v>
      </c>
      <c r="P171" s="92"/>
      <c r="Q171" s="91" t="s">
        <v>5552</v>
      </c>
      <c r="R171" s="17"/>
      <c r="S171" s="17"/>
      <c r="T171" s="17"/>
      <c r="U171" s="17"/>
      <c r="V171" s="17"/>
      <c r="W171" s="17"/>
    </row>
    <row r="172" spans="1:23" s="20" customFormat="1" ht="15.75" customHeight="1">
      <c r="A172" s="9">
        <v>44441</v>
      </c>
      <c r="B172" s="91" t="s">
        <v>23</v>
      </c>
      <c r="C172" s="123" t="s">
        <v>6157</v>
      </c>
      <c r="D172" s="92" t="s">
        <v>6158</v>
      </c>
      <c r="E172" s="844" t="s">
        <v>6177</v>
      </c>
      <c r="F172" s="844" t="s">
        <v>34</v>
      </c>
      <c r="G172" s="56">
        <v>1</v>
      </c>
      <c r="H172" s="845">
        <v>79000</v>
      </c>
      <c r="I172" s="86">
        <f t="shared" si="8"/>
        <v>79000</v>
      </c>
      <c r="J172" s="17">
        <f t="shared" si="12"/>
        <v>15800</v>
      </c>
      <c r="K172" s="171">
        <f t="shared" si="10"/>
        <v>63200</v>
      </c>
      <c r="L172" s="17"/>
      <c r="M172" s="17"/>
      <c r="N172" s="17">
        <f t="shared" si="11"/>
        <v>63200</v>
      </c>
      <c r="O172" s="91" t="s">
        <v>23</v>
      </c>
      <c r="P172" s="92"/>
      <c r="Q172" s="91" t="s">
        <v>5552</v>
      </c>
      <c r="R172" s="17"/>
      <c r="S172" s="17"/>
      <c r="T172" s="17"/>
      <c r="U172" s="17"/>
      <c r="V172" s="17"/>
      <c r="W172" s="17"/>
    </row>
    <row r="173" spans="1:23" s="20" customFormat="1" ht="15.75" customHeight="1">
      <c r="A173" s="9">
        <v>44441</v>
      </c>
      <c r="B173" s="91" t="s">
        <v>23</v>
      </c>
      <c r="C173" s="123" t="s">
        <v>6157</v>
      </c>
      <c r="D173" s="92" t="s">
        <v>6158</v>
      </c>
      <c r="E173" s="844" t="s">
        <v>6178</v>
      </c>
      <c r="F173" s="844" t="s">
        <v>34</v>
      </c>
      <c r="G173" s="56">
        <v>1</v>
      </c>
      <c r="H173" s="845">
        <v>97000</v>
      </c>
      <c r="I173" s="86">
        <f t="shared" si="8"/>
        <v>97000</v>
      </c>
      <c r="J173" s="17">
        <f t="shared" si="12"/>
        <v>19400</v>
      </c>
      <c r="K173" s="171">
        <f t="shared" si="10"/>
        <v>77600</v>
      </c>
      <c r="L173" s="17"/>
      <c r="M173" s="17"/>
      <c r="N173" s="17">
        <f t="shared" si="11"/>
        <v>77600</v>
      </c>
      <c r="O173" s="91" t="s">
        <v>23</v>
      </c>
      <c r="P173" s="191"/>
      <c r="Q173" s="91" t="s">
        <v>5552</v>
      </c>
      <c r="R173" s="17"/>
      <c r="S173" s="17"/>
      <c r="T173" s="17"/>
      <c r="U173" s="17"/>
      <c r="V173" s="17"/>
      <c r="W173" s="17"/>
    </row>
    <row r="174" spans="1:23" s="20" customFormat="1" ht="15.75" customHeight="1">
      <c r="A174" s="9">
        <v>44441</v>
      </c>
      <c r="B174" s="91" t="s">
        <v>23</v>
      </c>
      <c r="C174" s="123" t="s">
        <v>6157</v>
      </c>
      <c r="D174" s="92" t="s">
        <v>6158</v>
      </c>
      <c r="E174" s="844" t="s">
        <v>5635</v>
      </c>
      <c r="F174" s="844" t="s">
        <v>5636</v>
      </c>
      <c r="G174" s="56">
        <v>1</v>
      </c>
      <c r="H174" s="845">
        <v>59000</v>
      </c>
      <c r="I174" s="86">
        <f t="shared" si="8"/>
        <v>59000</v>
      </c>
      <c r="J174" s="17">
        <f t="shared" si="12"/>
        <v>11800</v>
      </c>
      <c r="K174" s="171">
        <f t="shared" si="10"/>
        <v>47200</v>
      </c>
      <c r="L174" s="17"/>
      <c r="M174" s="17"/>
      <c r="N174" s="17">
        <f t="shared" si="11"/>
        <v>47200</v>
      </c>
      <c r="O174" s="91" t="s">
        <v>23</v>
      </c>
      <c r="P174" s="191"/>
      <c r="Q174" s="91" t="s">
        <v>5552</v>
      </c>
      <c r="R174" s="17"/>
      <c r="S174" s="17"/>
      <c r="T174" s="17"/>
      <c r="U174" s="17"/>
      <c r="V174" s="17"/>
      <c r="W174" s="17"/>
    </row>
    <row r="175" spans="1:23" s="20" customFormat="1" ht="15.75" customHeight="1">
      <c r="A175" s="9">
        <v>44441</v>
      </c>
      <c r="B175" s="91" t="s">
        <v>23</v>
      </c>
      <c r="C175" s="123" t="s">
        <v>6157</v>
      </c>
      <c r="D175" s="92" t="s">
        <v>6158</v>
      </c>
      <c r="E175" s="844" t="s">
        <v>6179</v>
      </c>
      <c r="F175" s="844" t="s">
        <v>6180</v>
      </c>
      <c r="G175" s="56">
        <v>1</v>
      </c>
      <c r="H175" s="845">
        <v>117000</v>
      </c>
      <c r="I175" s="86">
        <f t="shared" si="8"/>
        <v>117000</v>
      </c>
      <c r="J175" s="17">
        <f t="shared" si="12"/>
        <v>23400</v>
      </c>
      <c r="K175" s="171">
        <f t="shared" si="10"/>
        <v>93600</v>
      </c>
      <c r="L175" s="17"/>
      <c r="M175" s="17"/>
      <c r="N175" s="17">
        <f t="shared" si="11"/>
        <v>93600</v>
      </c>
      <c r="O175" s="91" t="s">
        <v>23</v>
      </c>
      <c r="P175" s="72"/>
      <c r="Q175" s="91" t="s">
        <v>5552</v>
      </c>
      <c r="R175" s="17"/>
      <c r="S175" s="17"/>
      <c r="T175" s="17"/>
      <c r="U175" s="17"/>
      <c r="V175" s="17"/>
      <c r="W175" s="17"/>
    </row>
    <row r="176" spans="1:23" s="20" customFormat="1" ht="15.75" customHeight="1">
      <c r="A176" s="9">
        <v>44441</v>
      </c>
      <c r="B176" s="91" t="s">
        <v>23</v>
      </c>
      <c r="C176" s="123" t="s">
        <v>6157</v>
      </c>
      <c r="D176" s="92" t="s">
        <v>6158</v>
      </c>
      <c r="E176" s="844" t="s">
        <v>6181</v>
      </c>
      <c r="F176" s="844" t="s">
        <v>6182</v>
      </c>
      <c r="G176" s="56">
        <v>1</v>
      </c>
      <c r="H176" s="845">
        <v>51000</v>
      </c>
      <c r="I176" s="86">
        <f t="shared" si="8"/>
        <v>51000</v>
      </c>
      <c r="J176" s="17">
        <f t="shared" si="12"/>
        <v>10200</v>
      </c>
      <c r="K176" s="171">
        <f t="shared" si="10"/>
        <v>40800</v>
      </c>
      <c r="L176" s="17"/>
      <c r="M176" s="17"/>
      <c r="N176" s="17">
        <f t="shared" si="11"/>
        <v>40800</v>
      </c>
      <c r="O176" s="91" t="s">
        <v>23</v>
      </c>
      <c r="P176" s="72"/>
      <c r="Q176" s="91" t="s">
        <v>5552</v>
      </c>
      <c r="R176" s="17"/>
      <c r="S176" s="13"/>
      <c r="T176" s="17"/>
      <c r="U176" s="17"/>
      <c r="V176" s="17"/>
      <c r="W176" s="17"/>
    </row>
    <row r="177" spans="1:23" s="20" customFormat="1" ht="15.75" customHeight="1">
      <c r="A177" s="9">
        <v>44441</v>
      </c>
      <c r="B177" s="91" t="s">
        <v>23</v>
      </c>
      <c r="C177" s="123" t="s">
        <v>6157</v>
      </c>
      <c r="D177" s="92" t="s">
        <v>6158</v>
      </c>
      <c r="E177" s="844" t="s">
        <v>5412</v>
      </c>
      <c r="F177" s="844" t="s">
        <v>5413</v>
      </c>
      <c r="G177" s="56">
        <v>1</v>
      </c>
      <c r="H177" s="845">
        <v>116000</v>
      </c>
      <c r="I177" s="86">
        <f t="shared" si="8"/>
        <v>116000</v>
      </c>
      <c r="J177" s="17">
        <f t="shared" si="12"/>
        <v>23200</v>
      </c>
      <c r="K177" s="171">
        <f t="shared" si="10"/>
        <v>92800</v>
      </c>
      <c r="L177" s="17"/>
      <c r="M177" s="17"/>
      <c r="N177" s="17">
        <f t="shared" si="11"/>
        <v>92800</v>
      </c>
      <c r="O177" s="91" t="s">
        <v>23</v>
      </c>
      <c r="P177" s="183"/>
      <c r="Q177" s="91" t="s">
        <v>5552</v>
      </c>
      <c r="R177" s="17"/>
      <c r="S177" s="17"/>
      <c r="T177" s="17"/>
      <c r="U177" s="17"/>
      <c r="V177" s="17"/>
      <c r="W177" s="17"/>
    </row>
    <row r="178" spans="1:23" s="20" customFormat="1" ht="15.75" customHeight="1">
      <c r="A178" s="9">
        <v>44441</v>
      </c>
      <c r="B178" s="91" t="s">
        <v>23</v>
      </c>
      <c r="C178" s="123" t="s">
        <v>6157</v>
      </c>
      <c r="D178" s="92" t="s">
        <v>6158</v>
      </c>
      <c r="E178" s="844" t="s">
        <v>5696</v>
      </c>
      <c r="F178" s="844" t="s">
        <v>5697</v>
      </c>
      <c r="G178" s="56">
        <v>1</v>
      </c>
      <c r="H178" s="845">
        <v>60000</v>
      </c>
      <c r="I178" s="86">
        <f t="shared" si="8"/>
        <v>60000</v>
      </c>
      <c r="J178" s="17">
        <f t="shared" si="12"/>
        <v>12000</v>
      </c>
      <c r="K178" s="171">
        <f t="shared" si="10"/>
        <v>48000</v>
      </c>
      <c r="L178" s="17"/>
      <c r="M178" s="17"/>
      <c r="N178" s="17">
        <f t="shared" si="11"/>
        <v>48000</v>
      </c>
      <c r="O178" s="91" t="s">
        <v>23</v>
      </c>
      <c r="P178" s="183"/>
      <c r="Q178" s="91" t="s">
        <v>5552</v>
      </c>
      <c r="R178" s="17"/>
      <c r="S178" s="17"/>
      <c r="T178" s="17"/>
      <c r="U178" s="17"/>
      <c r="V178" s="17"/>
      <c r="W178" s="17"/>
    </row>
    <row r="179" spans="1:23" s="20" customFormat="1" ht="15.75" customHeight="1">
      <c r="A179" s="9">
        <v>44441</v>
      </c>
      <c r="B179" s="91" t="s">
        <v>23</v>
      </c>
      <c r="C179" s="123" t="s">
        <v>6157</v>
      </c>
      <c r="D179" s="92" t="s">
        <v>6158</v>
      </c>
      <c r="E179" s="844" t="s">
        <v>6183</v>
      </c>
      <c r="F179" s="844" t="s">
        <v>6184</v>
      </c>
      <c r="G179" s="56">
        <v>1</v>
      </c>
      <c r="H179" s="845">
        <v>59000</v>
      </c>
      <c r="I179" s="86">
        <f t="shared" si="8"/>
        <v>59000</v>
      </c>
      <c r="J179" s="17">
        <f t="shared" si="12"/>
        <v>11800</v>
      </c>
      <c r="K179" s="171">
        <f t="shared" si="10"/>
        <v>47200</v>
      </c>
      <c r="L179" s="17"/>
      <c r="M179" s="17"/>
      <c r="N179" s="17">
        <f t="shared" si="11"/>
        <v>47200</v>
      </c>
      <c r="O179" s="91" t="s">
        <v>23</v>
      </c>
      <c r="P179" s="183"/>
      <c r="Q179" s="91" t="s">
        <v>5552</v>
      </c>
      <c r="R179" s="17"/>
      <c r="S179" s="17"/>
      <c r="T179" s="17"/>
      <c r="U179" s="17"/>
      <c r="V179" s="17"/>
      <c r="W179" s="17"/>
    </row>
    <row r="180" spans="1:23" s="20" customFormat="1">
      <c r="A180" s="9">
        <v>44441</v>
      </c>
      <c r="B180" s="91" t="s">
        <v>23</v>
      </c>
      <c r="C180" s="123" t="s">
        <v>6185</v>
      </c>
      <c r="D180" s="92" t="s">
        <v>6186</v>
      </c>
      <c r="E180" s="740" t="s">
        <v>6187</v>
      </c>
      <c r="F180" s="740" t="s">
        <v>6188</v>
      </c>
      <c r="G180" s="56">
        <v>2</v>
      </c>
      <c r="H180" s="846">
        <v>59000</v>
      </c>
      <c r="I180" s="86">
        <f t="shared" si="8"/>
        <v>118000</v>
      </c>
      <c r="J180" s="17">
        <f t="shared" si="12"/>
        <v>23600</v>
      </c>
      <c r="K180" s="171">
        <f t="shared" si="10"/>
        <v>94400</v>
      </c>
      <c r="L180" s="17">
        <v>55400</v>
      </c>
      <c r="M180" s="17"/>
      <c r="N180" s="17">
        <f t="shared" si="11"/>
        <v>149800</v>
      </c>
      <c r="O180" s="91" t="s">
        <v>23</v>
      </c>
      <c r="P180" s="183"/>
      <c r="Q180" s="91" t="s">
        <v>40</v>
      </c>
      <c r="R180" s="17"/>
      <c r="S180" s="17"/>
      <c r="T180" s="17"/>
      <c r="U180" s="17"/>
      <c r="V180" s="17"/>
      <c r="W180" s="17"/>
    </row>
    <row r="181" spans="1:23" s="20" customFormat="1">
      <c r="A181" s="9">
        <v>44441</v>
      </c>
      <c r="B181" s="91" t="s">
        <v>23</v>
      </c>
      <c r="C181" s="123" t="s">
        <v>6189</v>
      </c>
      <c r="D181" s="92" t="s">
        <v>6190</v>
      </c>
      <c r="E181" s="740" t="s">
        <v>3704</v>
      </c>
      <c r="F181" s="740" t="s">
        <v>3705</v>
      </c>
      <c r="G181" s="56">
        <v>3</v>
      </c>
      <c r="H181" s="846">
        <v>114000</v>
      </c>
      <c r="I181" s="86">
        <f t="shared" si="8"/>
        <v>342000</v>
      </c>
      <c r="J181" s="17">
        <f t="shared" si="12"/>
        <v>68400</v>
      </c>
      <c r="K181" s="171">
        <f t="shared" si="10"/>
        <v>273600</v>
      </c>
      <c r="L181" s="17">
        <v>23000</v>
      </c>
      <c r="M181" s="17"/>
      <c r="N181" s="17">
        <f t="shared" si="11"/>
        <v>296600</v>
      </c>
      <c r="O181" s="91" t="s">
        <v>23</v>
      </c>
      <c r="P181" s="183"/>
      <c r="Q181" s="91" t="s">
        <v>54</v>
      </c>
      <c r="R181" s="17"/>
      <c r="S181" s="17"/>
      <c r="T181" s="17"/>
      <c r="U181" s="17"/>
      <c r="V181" s="17"/>
      <c r="W181" s="17"/>
    </row>
    <row r="182" spans="1:23" s="20" customFormat="1">
      <c r="A182" s="9">
        <v>44441</v>
      </c>
      <c r="B182" s="91" t="s">
        <v>23</v>
      </c>
      <c r="C182" s="91" t="s">
        <v>6191</v>
      </c>
      <c r="D182" s="92" t="s">
        <v>6192</v>
      </c>
      <c r="E182" s="740" t="s">
        <v>6193</v>
      </c>
      <c r="F182" s="740" t="s">
        <v>6194</v>
      </c>
      <c r="G182" s="56">
        <v>1</v>
      </c>
      <c r="H182" s="846">
        <v>189000</v>
      </c>
      <c r="I182" s="86">
        <f t="shared" si="8"/>
        <v>189000</v>
      </c>
      <c r="J182" s="17">
        <f t="shared" si="12"/>
        <v>37800</v>
      </c>
      <c r="K182" s="171">
        <f t="shared" si="10"/>
        <v>151200</v>
      </c>
      <c r="L182" s="17">
        <v>17000</v>
      </c>
      <c r="M182" s="17"/>
      <c r="N182" s="17">
        <f t="shared" si="11"/>
        <v>168200</v>
      </c>
      <c r="O182" s="91" t="s">
        <v>23</v>
      </c>
      <c r="P182" s="72"/>
      <c r="Q182" s="91" t="s">
        <v>40</v>
      </c>
      <c r="R182" s="17"/>
      <c r="S182" s="17"/>
      <c r="T182" s="17"/>
      <c r="U182" s="17"/>
      <c r="V182" s="17"/>
      <c r="W182" s="17"/>
    </row>
    <row r="183" spans="1:23" s="20" customFormat="1">
      <c r="A183" s="9">
        <v>44441</v>
      </c>
      <c r="B183" s="91" t="s">
        <v>43</v>
      </c>
      <c r="C183" s="91" t="s">
        <v>6195</v>
      </c>
      <c r="D183" s="92" t="s">
        <v>6196</v>
      </c>
      <c r="E183" s="740" t="s">
        <v>152</v>
      </c>
      <c r="F183" s="740" t="s">
        <v>153</v>
      </c>
      <c r="G183" s="56">
        <v>1</v>
      </c>
      <c r="H183" s="846">
        <v>62500</v>
      </c>
      <c r="I183" s="86">
        <f t="shared" si="8"/>
        <v>62500</v>
      </c>
      <c r="J183" s="17"/>
      <c r="K183" s="171">
        <f t="shared" si="10"/>
        <v>62500</v>
      </c>
      <c r="L183" s="17"/>
      <c r="M183" s="17">
        <v>-3500</v>
      </c>
      <c r="N183" s="17">
        <f t="shared" si="11"/>
        <v>59000</v>
      </c>
      <c r="O183" s="91" t="s">
        <v>43</v>
      </c>
      <c r="P183" s="72"/>
      <c r="Q183" s="91" t="s">
        <v>176</v>
      </c>
      <c r="R183" s="17"/>
      <c r="S183" s="17"/>
      <c r="T183" s="17"/>
      <c r="U183" s="17"/>
      <c r="V183" s="17"/>
      <c r="W183" s="17"/>
    </row>
    <row r="184" spans="1:23" s="20" customFormat="1">
      <c r="A184" s="9">
        <v>44441</v>
      </c>
      <c r="B184" s="91" t="s">
        <v>43</v>
      </c>
      <c r="C184" s="91" t="s">
        <v>6197</v>
      </c>
      <c r="D184" s="92" t="s">
        <v>6198</v>
      </c>
      <c r="E184" s="740" t="s">
        <v>6199</v>
      </c>
      <c r="F184" s="758" t="s">
        <v>6200</v>
      </c>
      <c r="G184" s="56">
        <v>1</v>
      </c>
      <c r="H184" s="846">
        <v>82500</v>
      </c>
      <c r="I184" s="86">
        <f t="shared" si="8"/>
        <v>82500</v>
      </c>
      <c r="J184" s="17">
        <v>16500</v>
      </c>
      <c r="K184" s="171">
        <f t="shared" si="10"/>
        <v>66000</v>
      </c>
      <c r="L184" s="17">
        <v>-3696</v>
      </c>
      <c r="M184" s="17"/>
      <c r="N184" s="17">
        <f t="shared" si="11"/>
        <v>62304</v>
      </c>
      <c r="O184" s="91" t="s">
        <v>43</v>
      </c>
      <c r="P184" s="72"/>
      <c r="Q184" s="91" t="s">
        <v>176</v>
      </c>
      <c r="R184" s="17"/>
      <c r="S184" s="17"/>
      <c r="T184" s="17"/>
      <c r="U184" s="17"/>
      <c r="V184" s="17"/>
      <c r="W184" s="17"/>
    </row>
    <row r="185" spans="1:23" s="20" customFormat="1">
      <c r="A185" s="9">
        <v>44441</v>
      </c>
      <c r="B185" s="91" t="s">
        <v>23</v>
      </c>
      <c r="C185" s="123" t="s">
        <v>6201</v>
      </c>
      <c r="D185" s="92" t="s">
        <v>6202</v>
      </c>
      <c r="E185" s="740" t="s">
        <v>6203</v>
      </c>
      <c r="F185" s="740" t="s">
        <v>6204</v>
      </c>
      <c r="G185" s="56">
        <v>1</v>
      </c>
      <c r="H185" s="846">
        <v>79500</v>
      </c>
      <c r="I185" s="86">
        <f t="shared" si="8"/>
        <v>79500</v>
      </c>
      <c r="J185" s="17"/>
      <c r="K185" s="171">
        <f t="shared" si="10"/>
        <v>79500</v>
      </c>
      <c r="L185" s="17">
        <v>17000</v>
      </c>
      <c r="M185" s="17"/>
      <c r="N185" s="17">
        <f t="shared" si="11"/>
        <v>96500</v>
      </c>
      <c r="O185" s="91" t="s">
        <v>23</v>
      </c>
      <c r="P185" s="183"/>
      <c r="Q185" s="91" t="s">
        <v>40</v>
      </c>
      <c r="R185" s="17"/>
      <c r="S185" s="17"/>
      <c r="T185" s="17"/>
      <c r="U185" s="17"/>
      <c r="V185" s="17"/>
      <c r="W185" s="17"/>
    </row>
    <row r="186" spans="1:23" s="20" customFormat="1" ht="288">
      <c r="A186" s="290">
        <v>44441</v>
      </c>
      <c r="B186" s="213" t="s">
        <v>23</v>
      </c>
      <c r="C186" s="123" t="s">
        <v>6205</v>
      </c>
      <c r="D186" s="881" t="s">
        <v>9439</v>
      </c>
      <c r="E186" s="847" t="s">
        <v>3291</v>
      </c>
      <c r="F186" s="847" t="s">
        <v>3292</v>
      </c>
      <c r="G186" s="221">
        <v>1</v>
      </c>
      <c r="H186" s="846">
        <v>126000</v>
      </c>
      <c r="I186" s="86">
        <f t="shared" si="8"/>
        <v>126000</v>
      </c>
      <c r="J186" s="17">
        <f>I186*20%</f>
        <v>25200</v>
      </c>
      <c r="K186" s="171">
        <f t="shared" si="10"/>
        <v>100800</v>
      </c>
      <c r="L186" s="17">
        <v>51000</v>
      </c>
      <c r="M186" s="17"/>
      <c r="N186" s="17">
        <f t="shared" si="11"/>
        <v>151800</v>
      </c>
      <c r="O186" s="213" t="s">
        <v>23</v>
      </c>
      <c r="P186" s="72"/>
      <c r="Q186" s="213" t="s">
        <v>895</v>
      </c>
      <c r="R186" s="17"/>
      <c r="S186" s="17"/>
      <c r="T186" s="17"/>
      <c r="U186" s="17"/>
      <c r="V186" s="17"/>
      <c r="W186" s="17"/>
    </row>
    <row r="187" spans="1:23" s="20" customFormat="1">
      <c r="A187" s="9">
        <v>44442</v>
      </c>
      <c r="B187" s="91" t="s">
        <v>43</v>
      </c>
      <c r="C187" s="123" t="s">
        <v>6206</v>
      </c>
      <c r="D187" s="92" t="s">
        <v>6207</v>
      </c>
      <c r="E187" s="740" t="s">
        <v>5308</v>
      </c>
      <c r="F187" s="758" t="s">
        <v>5309</v>
      </c>
      <c r="G187" s="56">
        <v>2</v>
      </c>
      <c r="H187" s="846">
        <v>69000</v>
      </c>
      <c r="I187" s="86">
        <f t="shared" si="8"/>
        <v>138000</v>
      </c>
      <c r="J187" s="17">
        <v>27600</v>
      </c>
      <c r="K187" s="171">
        <f t="shared" si="10"/>
        <v>110400</v>
      </c>
      <c r="L187" s="17"/>
      <c r="M187" s="17"/>
      <c r="N187" s="17">
        <f t="shared" si="11"/>
        <v>110400</v>
      </c>
      <c r="O187" s="91" t="s">
        <v>43</v>
      </c>
      <c r="P187" s="72"/>
      <c r="Q187" s="91" t="s">
        <v>176</v>
      </c>
      <c r="R187" s="17"/>
      <c r="S187" s="17"/>
      <c r="T187" s="17"/>
      <c r="U187" s="17"/>
      <c r="V187" s="17"/>
      <c r="W187" s="17"/>
    </row>
    <row r="188" spans="1:23" s="20" customFormat="1">
      <c r="A188" s="9">
        <v>44442</v>
      </c>
      <c r="B188" s="91" t="s">
        <v>43</v>
      </c>
      <c r="C188" s="91" t="s">
        <v>6208</v>
      </c>
      <c r="D188" s="92" t="s">
        <v>6209</v>
      </c>
      <c r="E188" s="740" t="s">
        <v>5308</v>
      </c>
      <c r="F188" s="758" t="s">
        <v>5309</v>
      </c>
      <c r="G188" s="56">
        <v>1</v>
      </c>
      <c r="H188" s="846">
        <v>69000</v>
      </c>
      <c r="I188" s="86">
        <f t="shared" si="8"/>
        <v>69000</v>
      </c>
      <c r="J188" s="17">
        <v>13800</v>
      </c>
      <c r="K188" s="171">
        <f t="shared" si="10"/>
        <v>55200</v>
      </c>
      <c r="L188" s="17"/>
      <c r="M188" s="17">
        <v>-3091</v>
      </c>
      <c r="N188" s="17">
        <f t="shared" si="11"/>
        <v>52109</v>
      </c>
      <c r="O188" s="91" t="s">
        <v>43</v>
      </c>
      <c r="P188" s="72"/>
      <c r="Q188" s="91" t="s">
        <v>176</v>
      </c>
      <c r="R188" s="17"/>
      <c r="S188" s="17"/>
      <c r="T188" s="17"/>
      <c r="U188" s="17"/>
      <c r="V188" s="17"/>
      <c r="W188" s="17"/>
    </row>
    <row r="189" spans="1:23" s="20" customFormat="1">
      <c r="A189" s="9">
        <v>44442</v>
      </c>
      <c r="B189" s="91" t="s">
        <v>43</v>
      </c>
      <c r="C189" s="91" t="s">
        <v>6210</v>
      </c>
      <c r="D189" s="92" t="s">
        <v>6211</v>
      </c>
      <c r="E189" s="740" t="s">
        <v>4306</v>
      </c>
      <c r="F189" s="740" t="s">
        <v>4307</v>
      </c>
      <c r="G189" s="56">
        <v>1</v>
      </c>
      <c r="H189" s="846">
        <v>99000</v>
      </c>
      <c r="I189" s="86">
        <f t="shared" si="8"/>
        <v>99000</v>
      </c>
      <c r="J189" s="17">
        <v>19800</v>
      </c>
      <c r="K189" s="171">
        <f t="shared" si="10"/>
        <v>79200</v>
      </c>
      <c r="L189" s="17"/>
      <c r="M189" s="17">
        <v>-4435</v>
      </c>
      <c r="N189" s="17">
        <f t="shared" si="11"/>
        <v>74765</v>
      </c>
      <c r="O189" s="91" t="s">
        <v>43</v>
      </c>
      <c r="P189" s="72"/>
      <c r="Q189" s="91" t="s">
        <v>176</v>
      </c>
      <c r="R189" s="17"/>
      <c r="S189" s="17"/>
      <c r="T189" s="17"/>
      <c r="U189" s="17"/>
      <c r="V189" s="17"/>
      <c r="W189" s="17"/>
    </row>
    <row r="190" spans="1:23" s="20" customFormat="1">
      <c r="A190" s="9">
        <v>44442</v>
      </c>
      <c r="B190" s="91" t="s">
        <v>43</v>
      </c>
      <c r="C190" s="91" t="s">
        <v>6212</v>
      </c>
      <c r="D190" s="92" t="s">
        <v>6213</v>
      </c>
      <c r="E190" s="740" t="s">
        <v>6214</v>
      </c>
      <c r="F190" s="740" t="s">
        <v>6215</v>
      </c>
      <c r="G190" s="56">
        <v>1</v>
      </c>
      <c r="H190" s="846">
        <v>102500</v>
      </c>
      <c r="I190" s="86">
        <f t="shared" si="8"/>
        <v>102500</v>
      </c>
      <c r="J190" s="17">
        <v>20500</v>
      </c>
      <c r="K190" s="171">
        <f t="shared" si="10"/>
        <v>82000</v>
      </c>
      <c r="L190" s="17"/>
      <c r="M190" s="17">
        <v>-3075</v>
      </c>
      <c r="N190" s="17">
        <f t="shared" si="11"/>
        <v>78925</v>
      </c>
      <c r="O190" s="91" t="s">
        <v>43</v>
      </c>
      <c r="P190" s="72"/>
      <c r="Q190" s="91" t="s">
        <v>54</v>
      </c>
      <c r="R190" s="17"/>
      <c r="S190" s="17"/>
      <c r="T190" s="17"/>
      <c r="U190" s="17"/>
      <c r="V190" s="17"/>
      <c r="W190" s="17"/>
    </row>
    <row r="191" spans="1:23" s="20" customFormat="1">
      <c r="A191" s="9">
        <v>44442</v>
      </c>
      <c r="B191" s="91" t="s">
        <v>43</v>
      </c>
      <c r="C191" s="91" t="s">
        <v>6014</v>
      </c>
      <c r="D191" s="92" t="s">
        <v>6216</v>
      </c>
      <c r="E191" s="740" t="s">
        <v>6217</v>
      </c>
      <c r="F191" s="758" t="s">
        <v>6218</v>
      </c>
      <c r="G191" s="56">
        <v>4</v>
      </c>
      <c r="H191" s="846">
        <v>29000</v>
      </c>
      <c r="I191" s="86">
        <f t="shared" si="8"/>
        <v>116000</v>
      </c>
      <c r="J191" s="17">
        <v>23200</v>
      </c>
      <c r="K191" s="171">
        <f t="shared" si="10"/>
        <v>92800</v>
      </c>
      <c r="L191" s="17"/>
      <c r="M191" s="17">
        <v>-5197</v>
      </c>
      <c r="N191" s="17">
        <f t="shared" si="11"/>
        <v>87603</v>
      </c>
      <c r="O191" s="91" t="s">
        <v>43</v>
      </c>
      <c r="P191" s="72"/>
      <c r="Q191" s="91" t="s">
        <v>176</v>
      </c>
      <c r="R191" s="17"/>
      <c r="S191" s="17"/>
      <c r="T191" s="17"/>
      <c r="U191" s="17"/>
      <c r="V191" s="17"/>
      <c r="W191" s="17"/>
    </row>
    <row r="192" spans="1:23" s="20" customFormat="1">
      <c r="A192" s="9">
        <v>44442</v>
      </c>
      <c r="B192" s="91" t="s">
        <v>23</v>
      </c>
      <c r="C192" s="123" t="s">
        <v>6219</v>
      </c>
      <c r="D192" s="92" t="s">
        <v>6220</v>
      </c>
      <c r="E192" s="758" t="s">
        <v>6102</v>
      </c>
      <c r="F192" s="758" t="s">
        <v>6103</v>
      </c>
      <c r="G192" s="56">
        <v>1</v>
      </c>
      <c r="H192" s="846">
        <v>111000</v>
      </c>
      <c r="I192" s="86">
        <f t="shared" si="8"/>
        <v>111000</v>
      </c>
      <c r="J192" s="17">
        <f>I192*20%</f>
        <v>22200</v>
      </c>
      <c r="K192" s="171">
        <f t="shared" si="10"/>
        <v>88800</v>
      </c>
      <c r="L192" s="17">
        <v>57000</v>
      </c>
      <c r="M192" s="17"/>
      <c r="N192" s="17">
        <f t="shared" si="11"/>
        <v>145800</v>
      </c>
      <c r="O192" s="91" t="s">
        <v>23</v>
      </c>
      <c r="P192" s="72"/>
      <c r="Q192" s="91" t="s">
        <v>40</v>
      </c>
      <c r="R192" s="17"/>
      <c r="S192" s="17"/>
      <c r="T192" s="17"/>
      <c r="U192" s="17"/>
      <c r="V192" s="17"/>
      <c r="W192" s="17"/>
    </row>
    <row r="193" spans="1:23" s="20" customFormat="1">
      <c r="A193" s="9">
        <v>44442</v>
      </c>
      <c r="B193" s="91" t="s">
        <v>23</v>
      </c>
      <c r="C193" s="123" t="s">
        <v>6221</v>
      </c>
      <c r="D193" s="92" t="s">
        <v>6222</v>
      </c>
      <c r="E193" s="740" t="s">
        <v>5677</v>
      </c>
      <c r="F193" s="740" t="s">
        <v>5678</v>
      </c>
      <c r="G193" s="56">
        <v>1</v>
      </c>
      <c r="H193" s="846">
        <v>98000</v>
      </c>
      <c r="I193" s="86">
        <f t="shared" ref="I193:I256" si="13">H193*G193</f>
        <v>98000</v>
      </c>
      <c r="J193" s="17"/>
      <c r="K193" s="171">
        <f t="shared" ref="K193:K256" si="14">I193-J193</f>
        <v>98000</v>
      </c>
      <c r="L193" s="17">
        <v>23000</v>
      </c>
      <c r="M193" s="17"/>
      <c r="N193" s="17">
        <f t="shared" ref="N193:N256" si="15">K193+L193+M193</f>
        <v>121000</v>
      </c>
      <c r="O193" s="91" t="s">
        <v>23</v>
      </c>
      <c r="P193" s="72"/>
      <c r="Q193" s="91" t="s">
        <v>54</v>
      </c>
      <c r="R193" s="17"/>
      <c r="S193" s="17"/>
      <c r="T193" s="17"/>
      <c r="U193" s="17"/>
      <c r="V193" s="17"/>
      <c r="W193" s="17"/>
    </row>
    <row r="194" spans="1:23" s="20" customFormat="1">
      <c r="A194" s="9">
        <v>44442</v>
      </c>
      <c r="B194" s="91" t="s">
        <v>23</v>
      </c>
      <c r="C194" s="123" t="s">
        <v>6223</v>
      </c>
      <c r="D194" s="92" t="s">
        <v>6224</v>
      </c>
      <c r="E194" s="740" t="s">
        <v>5542</v>
      </c>
      <c r="F194" s="758" t="s">
        <v>5543</v>
      </c>
      <c r="G194" s="56">
        <v>1</v>
      </c>
      <c r="H194" s="846">
        <v>86000</v>
      </c>
      <c r="I194" s="86">
        <f t="shared" si="13"/>
        <v>86000</v>
      </c>
      <c r="J194" s="17"/>
      <c r="K194" s="171">
        <f t="shared" si="14"/>
        <v>86000</v>
      </c>
      <c r="L194" s="17">
        <v>57000</v>
      </c>
      <c r="M194" s="17"/>
      <c r="N194" s="17">
        <f t="shared" si="15"/>
        <v>143000</v>
      </c>
      <c r="O194" s="91" t="s">
        <v>23</v>
      </c>
      <c r="P194" s="72"/>
      <c r="Q194" s="91" t="s">
        <v>40</v>
      </c>
      <c r="R194" s="17"/>
      <c r="S194" s="17"/>
      <c r="T194" s="17"/>
      <c r="U194" s="17"/>
      <c r="V194" s="17"/>
      <c r="W194" s="17"/>
    </row>
    <row r="195" spans="1:23" s="20" customFormat="1">
      <c r="A195" s="9">
        <v>44442</v>
      </c>
      <c r="B195" s="91" t="s">
        <v>23</v>
      </c>
      <c r="C195" s="123" t="s">
        <v>6225</v>
      </c>
      <c r="D195" s="92" t="s">
        <v>6226</v>
      </c>
      <c r="E195" s="740" t="s">
        <v>4078</v>
      </c>
      <c r="F195" s="758" t="s">
        <v>6227</v>
      </c>
      <c r="G195" s="56">
        <v>1</v>
      </c>
      <c r="H195" s="846">
        <v>81000</v>
      </c>
      <c r="I195" s="86">
        <f t="shared" si="13"/>
        <v>81000</v>
      </c>
      <c r="J195" s="17">
        <f>I195*20%</f>
        <v>16200</v>
      </c>
      <c r="K195" s="171">
        <f t="shared" si="14"/>
        <v>64800</v>
      </c>
      <c r="L195" s="17">
        <v>24000</v>
      </c>
      <c r="M195" s="17"/>
      <c r="N195" s="17">
        <f t="shared" si="15"/>
        <v>88800</v>
      </c>
      <c r="O195" s="91" t="s">
        <v>23</v>
      </c>
      <c r="P195" s="72"/>
      <c r="Q195" s="91" t="s">
        <v>40</v>
      </c>
      <c r="R195" s="17"/>
      <c r="S195" s="17"/>
      <c r="T195" s="17"/>
      <c r="U195" s="17"/>
      <c r="V195" s="17"/>
      <c r="W195" s="17"/>
    </row>
    <row r="196" spans="1:23" s="20" customFormat="1">
      <c r="A196" s="9">
        <v>44442</v>
      </c>
      <c r="B196" s="10" t="s">
        <v>23</v>
      </c>
      <c r="C196" s="10" t="s">
        <v>6228</v>
      </c>
      <c r="D196" s="92" t="s">
        <v>6229</v>
      </c>
      <c r="E196" s="758" t="s">
        <v>2667</v>
      </c>
      <c r="F196" s="758" t="s">
        <v>2668</v>
      </c>
      <c r="G196" s="56">
        <v>1</v>
      </c>
      <c r="H196" s="846">
        <v>127000</v>
      </c>
      <c r="I196" s="86">
        <f t="shared" si="13"/>
        <v>127000</v>
      </c>
      <c r="J196" s="17"/>
      <c r="K196" s="171">
        <f t="shared" si="14"/>
        <v>127000</v>
      </c>
      <c r="L196" s="17">
        <v>34000</v>
      </c>
      <c r="M196" s="17"/>
      <c r="N196" s="17">
        <f t="shared" si="15"/>
        <v>161000</v>
      </c>
      <c r="O196" s="10" t="s">
        <v>23</v>
      </c>
      <c r="P196" s="183"/>
      <c r="Q196" s="10" t="s">
        <v>40</v>
      </c>
      <c r="R196" s="17"/>
      <c r="S196" s="17"/>
      <c r="T196" s="17"/>
      <c r="U196" s="17"/>
      <c r="V196" s="17"/>
      <c r="W196" s="17"/>
    </row>
    <row r="197" spans="1:23" s="20" customFormat="1">
      <c r="A197" s="9">
        <v>44442</v>
      </c>
      <c r="B197" s="91" t="s">
        <v>23</v>
      </c>
      <c r="C197" s="123" t="s">
        <v>6230</v>
      </c>
      <c r="D197" s="92" t="s">
        <v>6231</v>
      </c>
      <c r="E197" s="758" t="s">
        <v>4636</v>
      </c>
      <c r="F197" s="758" t="s">
        <v>6232</v>
      </c>
      <c r="G197" s="56">
        <v>1</v>
      </c>
      <c r="H197" s="846">
        <v>77000</v>
      </c>
      <c r="I197" s="86">
        <f t="shared" si="13"/>
        <v>77000</v>
      </c>
      <c r="J197" s="17"/>
      <c r="K197" s="171">
        <f t="shared" si="14"/>
        <v>77000</v>
      </c>
      <c r="L197" s="17">
        <v>11000</v>
      </c>
      <c r="M197" s="17"/>
      <c r="N197" s="17">
        <f t="shared" si="15"/>
        <v>88000</v>
      </c>
      <c r="O197" s="91" t="s">
        <v>23</v>
      </c>
      <c r="P197" s="183"/>
      <c r="Q197" s="91" t="s">
        <v>40</v>
      </c>
      <c r="R197" s="17"/>
      <c r="S197" s="17"/>
      <c r="T197" s="17"/>
      <c r="U197" s="17"/>
      <c r="V197" s="17"/>
      <c r="W197" s="17"/>
    </row>
    <row r="198" spans="1:23" s="20" customFormat="1">
      <c r="A198" s="9">
        <v>44442</v>
      </c>
      <c r="B198" s="91" t="s">
        <v>23</v>
      </c>
      <c r="C198" s="91" t="s">
        <v>6233</v>
      </c>
      <c r="D198" s="92" t="s">
        <v>6234</v>
      </c>
      <c r="E198" s="740" t="s">
        <v>2448</v>
      </c>
      <c r="F198" s="740" t="s">
        <v>2449</v>
      </c>
      <c r="G198" s="56">
        <v>1</v>
      </c>
      <c r="H198" s="846">
        <v>96000</v>
      </c>
      <c r="I198" s="86">
        <f t="shared" si="13"/>
        <v>96000</v>
      </c>
      <c r="J198" s="17">
        <f>I198*20%</f>
        <v>19200</v>
      </c>
      <c r="K198" s="171">
        <f t="shared" si="14"/>
        <v>76800</v>
      </c>
      <c r="L198" s="17">
        <v>51000</v>
      </c>
      <c r="M198" s="17"/>
      <c r="N198" s="17">
        <f t="shared" si="15"/>
        <v>127800</v>
      </c>
      <c r="O198" s="91" t="s">
        <v>23</v>
      </c>
      <c r="P198" s="183"/>
      <c r="Q198" s="91" t="s">
        <v>40</v>
      </c>
      <c r="R198" s="17"/>
      <c r="S198" s="17"/>
      <c r="T198" s="17"/>
      <c r="U198" s="17"/>
      <c r="V198" s="17"/>
      <c r="W198" s="17"/>
    </row>
    <row r="199" spans="1:23" s="20" customFormat="1">
      <c r="A199" s="9">
        <v>44442</v>
      </c>
      <c r="B199" s="10" t="s">
        <v>43</v>
      </c>
      <c r="C199" s="11" t="s">
        <v>6235</v>
      </c>
      <c r="D199" s="92" t="s">
        <v>6236</v>
      </c>
      <c r="E199" s="740" t="s">
        <v>5953</v>
      </c>
      <c r="F199" s="740" t="s">
        <v>5954</v>
      </c>
      <c r="G199" s="56">
        <v>1</v>
      </c>
      <c r="H199" s="846">
        <v>61000</v>
      </c>
      <c r="I199" s="86">
        <f t="shared" si="13"/>
        <v>61000</v>
      </c>
      <c r="J199" s="17"/>
      <c r="K199" s="171">
        <f t="shared" si="14"/>
        <v>61000</v>
      </c>
      <c r="L199" s="17"/>
      <c r="M199" s="17">
        <v>-3416</v>
      </c>
      <c r="N199" s="17">
        <f t="shared" si="15"/>
        <v>57584</v>
      </c>
      <c r="O199" s="10" t="s">
        <v>43</v>
      </c>
      <c r="P199" s="183"/>
      <c r="Q199" s="91" t="s">
        <v>54</v>
      </c>
      <c r="R199" s="17"/>
      <c r="S199" s="17"/>
      <c r="T199" s="17"/>
      <c r="U199" s="17"/>
      <c r="V199" s="17"/>
      <c r="W199" s="17"/>
    </row>
    <row r="200" spans="1:23" s="20" customFormat="1">
      <c r="A200" s="9">
        <v>44442</v>
      </c>
      <c r="B200" s="10" t="s">
        <v>23</v>
      </c>
      <c r="C200" s="10" t="s">
        <v>6237</v>
      </c>
      <c r="D200" s="92" t="s">
        <v>6238</v>
      </c>
      <c r="E200" s="740" t="s">
        <v>4051</v>
      </c>
      <c r="F200" s="740" t="s">
        <v>392</v>
      </c>
      <c r="G200" s="56">
        <v>1</v>
      </c>
      <c r="H200" s="846">
        <v>59000</v>
      </c>
      <c r="I200" s="86">
        <f t="shared" si="13"/>
        <v>59000</v>
      </c>
      <c r="J200" s="17">
        <f>I200*20%</f>
        <v>11800</v>
      </c>
      <c r="K200" s="171">
        <f t="shared" si="14"/>
        <v>47200</v>
      </c>
      <c r="L200" s="17">
        <v>23000</v>
      </c>
      <c r="M200" s="17"/>
      <c r="N200" s="17">
        <f t="shared" si="15"/>
        <v>70200</v>
      </c>
      <c r="O200" s="10" t="s">
        <v>23</v>
      </c>
      <c r="P200" s="183"/>
      <c r="Q200" s="10" t="s">
        <v>54</v>
      </c>
      <c r="R200" s="17"/>
      <c r="S200" s="17"/>
      <c r="T200" s="17"/>
      <c r="U200" s="17"/>
      <c r="V200" s="17"/>
      <c r="W200" s="17"/>
    </row>
    <row r="201" spans="1:23" s="20" customFormat="1">
      <c r="A201" s="9">
        <v>44442</v>
      </c>
      <c r="B201" s="282" t="s">
        <v>23</v>
      </c>
      <c r="C201" s="17" t="s">
        <v>6239</v>
      </c>
      <c r="D201" s="92" t="s">
        <v>6240</v>
      </c>
      <c r="E201" s="848" t="s">
        <v>6241</v>
      </c>
      <c r="F201" s="848" t="s">
        <v>6242</v>
      </c>
      <c r="G201" s="56">
        <v>3</v>
      </c>
      <c r="H201" s="849">
        <v>93000</v>
      </c>
      <c r="I201" s="86">
        <f t="shared" si="13"/>
        <v>279000</v>
      </c>
      <c r="J201" s="17">
        <f>I201*35%</f>
        <v>97650</v>
      </c>
      <c r="K201" s="171">
        <f t="shared" si="14"/>
        <v>181350</v>
      </c>
      <c r="L201" s="17">
        <v>294000</v>
      </c>
      <c r="M201" s="17"/>
      <c r="N201" s="17">
        <f t="shared" si="15"/>
        <v>475350</v>
      </c>
      <c r="O201" s="282" t="s">
        <v>23</v>
      </c>
      <c r="P201" s="72"/>
      <c r="Q201" s="282" t="s">
        <v>5552</v>
      </c>
      <c r="R201" s="17"/>
      <c r="S201" s="13"/>
      <c r="T201" s="17"/>
      <c r="U201" s="17"/>
      <c r="V201" s="17"/>
      <c r="W201" s="17"/>
    </row>
    <row r="202" spans="1:23" s="20" customFormat="1">
      <c r="A202" s="9">
        <v>44442</v>
      </c>
      <c r="B202" s="282" t="s">
        <v>23</v>
      </c>
      <c r="C202" s="17" t="s">
        <v>6239</v>
      </c>
      <c r="D202" s="92" t="s">
        <v>6240</v>
      </c>
      <c r="E202" s="848" t="s">
        <v>6243</v>
      </c>
      <c r="F202" s="848" t="s">
        <v>6244</v>
      </c>
      <c r="G202" s="56">
        <v>3</v>
      </c>
      <c r="H202" s="850">
        <v>71000</v>
      </c>
      <c r="I202" s="86">
        <f t="shared" si="13"/>
        <v>213000</v>
      </c>
      <c r="J202" s="17">
        <f t="shared" ref="J202:J239" si="16">I202*35%</f>
        <v>74550</v>
      </c>
      <c r="K202" s="171">
        <f t="shared" si="14"/>
        <v>138450</v>
      </c>
      <c r="L202" s="17"/>
      <c r="M202" s="17"/>
      <c r="N202" s="17">
        <f t="shared" si="15"/>
        <v>138450</v>
      </c>
      <c r="O202" s="282" t="s">
        <v>23</v>
      </c>
      <c r="P202" s="183"/>
      <c r="Q202" s="282" t="s">
        <v>5552</v>
      </c>
      <c r="R202" s="17"/>
      <c r="S202" s="13"/>
      <c r="T202" s="17"/>
      <c r="U202" s="17"/>
      <c r="V202" s="17"/>
      <c r="W202" s="17"/>
    </row>
    <row r="203" spans="1:23" s="20" customFormat="1">
      <c r="A203" s="9">
        <v>44442</v>
      </c>
      <c r="B203" s="282" t="s">
        <v>23</v>
      </c>
      <c r="C203" s="17" t="s">
        <v>6239</v>
      </c>
      <c r="D203" s="92" t="s">
        <v>6240</v>
      </c>
      <c r="E203" s="848" t="s">
        <v>6245</v>
      </c>
      <c r="F203" s="848" t="s">
        <v>6246</v>
      </c>
      <c r="G203" s="56">
        <v>3</v>
      </c>
      <c r="H203" s="849">
        <v>70000</v>
      </c>
      <c r="I203" s="86">
        <f t="shared" si="13"/>
        <v>210000</v>
      </c>
      <c r="J203" s="17">
        <f t="shared" si="16"/>
        <v>73500</v>
      </c>
      <c r="K203" s="171">
        <f t="shared" si="14"/>
        <v>136500</v>
      </c>
      <c r="L203" s="17"/>
      <c r="M203" s="17"/>
      <c r="N203" s="17">
        <f t="shared" si="15"/>
        <v>136500</v>
      </c>
      <c r="O203" s="282" t="s">
        <v>23</v>
      </c>
      <c r="P203" s="72"/>
      <c r="Q203" s="282" t="s">
        <v>5552</v>
      </c>
      <c r="R203" s="17"/>
      <c r="S203" s="17"/>
      <c r="T203" s="17"/>
      <c r="U203" s="17"/>
      <c r="V203" s="17"/>
      <c r="W203" s="17"/>
    </row>
    <row r="204" spans="1:23" s="20" customFormat="1">
      <c r="A204" s="9">
        <v>44442</v>
      </c>
      <c r="B204" s="282" t="s">
        <v>23</v>
      </c>
      <c r="C204" s="17" t="s">
        <v>6239</v>
      </c>
      <c r="D204" s="92" t="s">
        <v>6240</v>
      </c>
      <c r="E204" s="848" t="s">
        <v>4947</v>
      </c>
      <c r="F204" s="848" t="s">
        <v>4948</v>
      </c>
      <c r="G204" s="56">
        <v>3</v>
      </c>
      <c r="H204" s="849">
        <v>116000</v>
      </c>
      <c r="I204" s="86">
        <f t="shared" si="13"/>
        <v>348000</v>
      </c>
      <c r="J204" s="17">
        <f t="shared" si="16"/>
        <v>121799.99999999999</v>
      </c>
      <c r="K204" s="171">
        <f t="shared" si="14"/>
        <v>226200</v>
      </c>
      <c r="L204" s="17"/>
      <c r="M204" s="17"/>
      <c r="N204" s="17">
        <f t="shared" si="15"/>
        <v>226200</v>
      </c>
      <c r="O204" s="282" t="s">
        <v>23</v>
      </c>
      <c r="P204" s="183"/>
      <c r="Q204" s="282" t="s">
        <v>5552</v>
      </c>
      <c r="R204" s="17"/>
      <c r="S204" s="17"/>
      <c r="T204" s="17"/>
      <c r="U204" s="17"/>
      <c r="V204" s="17"/>
      <c r="W204" s="17"/>
    </row>
    <row r="205" spans="1:23" s="17" customFormat="1">
      <c r="A205" s="9">
        <v>44442</v>
      </c>
      <c r="B205" s="282" t="s">
        <v>23</v>
      </c>
      <c r="C205" s="17" t="s">
        <v>6239</v>
      </c>
      <c r="D205" s="92" t="s">
        <v>6240</v>
      </c>
      <c r="E205" s="848" t="s">
        <v>931</v>
      </c>
      <c r="F205" s="848" t="s">
        <v>932</v>
      </c>
      <c r="G205" s="56">
        <v>3</v>
      </c>
      <c r="H205" s="849">
        <v>117000</v>
      </c>
      <c r="I205" s="86">
        <f t="shared" si="13"/>
        <v>351000</v>
      </c>
      <c r="J205" s="17">
        <f t="shared" si="16"/>
        <v>122849.99999999999</v>
      </c>
      <c r="K205" s="171">
        <f t="shared" si="14"/>
        <v>228150</v>
      </c>
      <c r="N205" s="17">
        <f t="shared" si="15"/>
        <v>228150</v>
      </c>
      <c r="O205" s="282" t="s">
        <v>23</v>
      </c>
      <c r="P205" s="183"/>
      <c r="Q205" s="282" t="s">
        <v>5552</v>
      </c>
      <c r="S205" s="13"/>
    </row>
    <row r="206" spans="1:23" s="17" customFormat="1">
      <c r="A206" s="9">
        <v>44442</v>
      </c>
      <c r="B206" s="282" t="s">
        <v>23</v>
      </c>
      <c r="C206" s="17" t="s">
        <v>6239</v>
      </c>
      <c r="D206" s="92" t="s">
        <v>6240</v>
      </c>
      <c r="E206" s="848" t="s">
        <v>46</v>
      </c>
      <c r="F206" s="848" t="s">
        <v>4040</v>
      </c>
      <c r="G206" s="56">
        <v>3</v>
      </c>
      <c r="H206" s="849">
        <v>92000</v>
      </c>
      <c r="I206" s="86">
        <f t="shared" si="13"/>
        <v>276000</v>
      </c>
      <c r="J206" s="17">
        <f t="shared" si="16"/>
        <v>96600</v>
      </c>
      <c r="K206" s="171">
        <f t="shared" si="14"/>
        <v>179400</v>
      </c>
      <c r="N206" s="17">
        <f t="shared" si="15"/>
        <v>179400</v>
      </c>
      <c r="O206" s="282" t="s">
        <v>23</v>
      </c>
      <c r="P206" s="183"/>
      <c r="Q206" s="282" t="s">
        <v>5552</v>
      </c>
    </row>
    <row r="207" spans="1:23" s="17" customFormat="1">
      <c r="A207" s="9">
        <v>44442</v>
      </c>
      <c r="B207" s="282" t="s">
        <v>23</v>
      </c>
      <c r="C207" s="17" t="s">
        <v>6239</v>
      </c>
      <c r="D207" s="92" t="s">
        <v>6240</v>
      </c>
      <c r="E207" s="851" t="s">
        <v>3190</v>
      </c>
      <c r="F207" s="848" t="s">
        <v>3191</v>
      </c>
      <c r="G207" s="56">
        <v>3</v>
      </c>
      <c r="H207" s="849">
        <v>104000</v>
      </c>
      <c r="I207" s="86">
        <f t="shared" si="13"/>
        <v>312000</v>
      </c>
      <c r="J207" s="17">
        <f t="shared" si="16"/>
        <v>109200</v>
      </c>
      <c r="K207" s="171">
        <f t="shared" si="14"/>
        <v>202800</v>
      </c>
      <c r="N207" s="17">
        <f t="shared" si="15"/>
        <v>202800</v>
      </c>
      <c r="O207" s="282" t="s">
        <v>23</v>
      </c>
      <c r="P207" s="183"/>
      <c r="Q207" s="282" t="s">
        <v>5552</v>
      </c>
    </row>
    <row r="208" spans="1:23" s="17" customFormat="1">
      <c r="A208" s="9">
        <v>44442</v>
      </c>
      <c r="B208" s="282" t="s">
        <v>23</v>
      </c>
      <c r="C208" s="17" t="s">
        <v>6239</v>
      </c>
      <c r="D208" s="92" t="s">
        <v>6240</v>
      </c>
      <c r="E208" s="851" t="s">
        <v>6247</v>
      </c>
      <c r="F208" s="851" t="s">
        <v>6248</v>
      </c>
      <c r="G208" s="56">
        <v>3</v>
      </c>
      <c r="H208" s="849">
        <v>66500</v>
      </c>
      <c r="I208" s="86">
        <f t="shared" si="13"/>
        <v>199500</v>
      </c>
      <c r="J208" s="17">
        <f t="shared" si="16"/>
        <v>69825</v>
      </c>
      <c r="K208" s="171">
        <f t="shared" si="14"/>
        <v>129675</v>
      </c>
      <c r="N208" s="17">
        <f t="shared" si="15"/>
        <v>129675</v>
      </c>
      <c r="O208" s="282" t="s">
        <v>23</v>
      </c>
      <c r="P208" s="72"/>
      <c r="Q208" s="282" t="s">
        <v>5552</v>
      </c>
    </row>
    <row r="209" spans="1:19" s="17" customFormat="1">
      <c r="A209" s="9">
        <v>44442</v>
      </c>
      <c r="B209" s="282" t="s">
        <v>23</v>
      </c>
      <c r="C209" s="17" t="s">
        <v>6239</v>
      </c>
      <c r="D209" s="92" t="s">
        <v>6240</v>
      </c>
      <c r="E209" s="851" t="s">
        <v>6249</v>
      </c>
      <c r="F209" s="851" t="s">
        <v>6165</v>
      </c>
      <c r="G209" s="56">
        <v>3</v>
      </c>
      <c r="H209" s="849">
        <v>145000</v>
      </c>
      <c r="I209" s="86">
        <f t="shared" si="13"/>
        <v>435000</v>
      </c>
      <c r="J209" s="17">
        <f t="shared" si="16"/>
        <v>152250</v>
      </c>
      <c r="K209" s="171">
        <f t="shared" si="14"/>
        <v>282750</v>
      </c>
      <c r="N209" s="17">
        <f t="shared" si="15"/>
        <v>282750</v>
      </c>
      <c r="O209" s="282" t="s">
        <v>23</v>
      </c>
      <c r="P209" s="72"/>
      <c r="Q209" s="282" t="s">
        <v>5552</v>
      </c>
    </row>
    <row r="210" spans="1:19" s="17" customFormat="1">
      <c r="A210" s="9">
        <v>44442</v>
      </c>
      <c r="B210" s="282" t="s">
        <v>23</v>
      </c>
      <c r="C210" s="17" t="s">
        <v>6239</v>
      </c>
      <c r="D210" s="92" t="s">
        <v>6240</v>
      </c>
      <c r="E210" s="851" t="s">
        <v>6250</v>
      </c>
      <c r="F210" s="851" t="s">
        <v>6251</v>
      </c>
      <c r="G210" s="56">
        <v>3</v>
      </c>
      <c r="H210" s="849">
        <v>59500</v>
      </c>
      <c r="I210" s="86">
        <f t="shared" si="13"/>
        <v>178500</v>
      </c>
      <c r="J210" s="17">
        <f t="shared" si="16"/>
        <v>62474.999999999993</v>
      </c>
      <c r="K210" s="171">
        <f t="shared" si="14"/>
        <v>116025</v>
      </c>
      <c r="N210" s="17">
        <f t="shared" si="15"/>
        <v>116025</v>
      </c>
      <c r="O210" s="282" t="s">
        <v>23</v>
      </c>
      <c r="P210" s="183"/>
      <c r="Q210" s="282" t="s">
        <v>5552</v>
      </c>
    </row>
    <row r="211" spans="1:19" s="17" customFormat="1">
      <c r="A211" s="9">
        <v>44442</v>
      </c>
      <c r="B211" s="282" t="s">
        <v>23</v>
      </c>
      <c r="C211" s="17" t="s">
        <v>6239</v>
      </c>
      <c r="D211" s="92" t="s">
        <v>6240</v>
      </c>
      <c r="E211" s="848" t="s">
        <v>5433</v>
      </c>
      <c r="F211" s="848" t="s">
        <v>5434</v>
      </c>
      <c r="G211" s="56">
        <v>3</v>
      </c>
      <c r="H211" s="849">
        <v>82000</v>
      </c>
      <c r="I211" s="86">
        <f t="shared" si="13"/>
        <v>246000</v>
      </c>
      <c r="J211" s="17">
        <f t="shared" si="16"/>
        <v>86100</v>
      </c>
      <c r="K211" s="171">
        <f t="shared" si="14"/>
        <v>159900</v>
      </c>
      <c r="N211" s="17">
        <f t="shared" si="15"/>
        <v>159900</v>
      </c>
      <c r="O211" s="282" t="s">
        <v>23</v>
      </c>
      <c r="P211" s="183"/>
      <c r="Q211" s="282" t="s">
        <v>5552</v>
      </c>
      <c r="S211" s="13"/>
    </row>
    <row r="212" spans="1:19" s="17" customFormat="1">
      <c r="A212" s="9">
        <v>44442</v>
      </c>
      <c r="B212" s="282" t="s">
        <v>23</v>
      </c>
      <c r="C212" s="17" t="s">
        <v>6239</v>
      </c>
      <c r="D212" s="92" t="s">
        <v>6240</v>
      </c>
      <c r="E212" s="851" t="s">
        <v>6252</v>
      </c>
      <c r="F212" s="851" t="s">
        <v>2232</v>
      </c>
      <c r="G212" s="56">
        <v>3</v>
      </c>
      <c r="H212" s="849">
        <v>161000</v>
      </c>
      <c r="I212" s="86">
        <f t="shared" si="13"/>
        <v>483000</v>
      </c>
      <c r="J212" s="17">
        <f t="shared" si="16"/>
        <v>169050</v>
      </c>
      <c r="K212" s="171">
        <f t="shared" si="14"/>
        <v>313950</v>
      </c>
      <c r="N212" s="17">
        <f t="shared" si="15"/>
        <v>313950</v>
      </c>
      <c r="O212" s="282" t="s">
        <v>23</v>
      </c>
      <c r="P212" s="183"/>
      <c r="Q212" s="282" t="s">
        <v>5552</v>
      </c>
      <c r="S212" s="13"/>
    </row>
    <row r="213" spans="1:19" s="17" customFormat="1">
      <c r="A213" s="9">
        <v>44442</v>
      </c>
      <c r="B213" s="282" t="s">
        <v>23</v>
      </c>
      <c r="C213" s="17" t="s">
        <v>6239</v>
      </c>
      <c r="D213" s="92" t="s">
        <v>6240</v>
      </c>
      <c r="E213" s="851" t="s">
        <v>2454</v>
      </c>
      <c r="F213" s="851" t="s">
        <v>2455</v>
      </c>
      <c r="G213" s="56">
        <v>3</v>
      </c>
      <c r="H213" s="849">
        <v>126000</v>
      </c>
      <c r="I213" s="86">
        <f t="shared" si="13"/>
        <v>378000</v>
      </c>
      <c r="J213" s="17">
        <f t="shared" si="16"/>
        <v>132300</v>
      </c>
      <c r="K213" s="171">
        <f t="shared" si="14"/>
        <v>245700</v>
      </c>
      <c r="N213" s="17">
        <f t="shared" si="15"/>
        <v>245700</v>
      </c>
      <c r="O213" s="282" t="s">
        <v>23</v>
      </c>
      <c r="P213" s="183"/>
      <c r="Q213" s="282" t="s">
        <v>5552</v>
      </c>
      <c r="S213" s="13"/>
    </row>
    <row r="214" spans="1:19" s="17" customFormat="1">
      <c r="A214" s="9">
        <v>44442</v>
      </c>
      <c r="B214" s="282" t="s">
        <v>23</v>
      </c>
      <c r="C214" s="17" t="s">
        <v>6239</v>
      </c>
      <c r="D214" s="92" t="s">
        <v>6240</v>
      </c>
      <c r="E214" s="851" t="s">
        <v>2635</v>
      </c>
      <c r="F214" s="851" t="s">
        <v>2636</v>
      </c>
      <c r="G214" s="56">
        <v>3</v>
      </c>
      <c r="H214" s="849">
        <v>159000</v>
      </c>
      <c r="I214" s="86">
        <f t="shared" si="13"/>
        <v>477000</v>
      </c>
      <c r="J214" s="17">
        <f t="shared" si="16"/>
        <v>166950</v>
      </c>
      <c r="K214" s="171">
        <f t="shared" si="14"/>
        <v>310050</v>
      </c>
      <c r="N214" s="17">
        <f t="shared" si="15"/>
        <v>310050</v>
      </c>
      <c r="O214" s="282" t="s">
        <v>23</v>
      </c>
      <c r="P214" s="72"/>
      <c r="Q214" s="282" t="s">
        <v>5552</v>
      </c>
    </row>
    <row r="215" spans="1:19" s="17" customFormat="1">
      <c r="A215" s="9">
        <v>44442</v>
      </c>
      <c r="B215" s="282" t="s">
        <v>23</v>
      </c>
      <c r="C215" s="17" t="s">
        <v>6239</v>
      </c>
      <c r="D215" s="92" t="s">
        <v>6240</v>
      </c>
      <c r="E215" s="851" t="s">
        <v>6253</v>
      </c>
      <c r="F215" s="848" t="s">
        <v>6254</v>
      </c>
      <c r="G215" s="56">
        <v>3</v>
      </c>
      <c r="H215" s="849">
        <v>82000</v>
      </c>
      <c r="I215" s="86">
        <f t="shared" si="13"/>
        <v>246000</v>
      </c>
      <c r="J215" s="17">
        <f t="shared" si="16"/>
        <v>86100</v>
      </c>
      <c r="K215" s="171">
        <f t="shared" si="14"/>
        <v>159900</v>
      </c>
      <c r="N215" s="17">
        <f t="shared" si="15"/>
        <v>159900</v>
      </c>
      <c r="O215" s="282" t="s">
        <v>23</v>
      </c>
      <c r="P215" s="183"/>
      <c r="Q215" s="282" t="s">
        <v>5552</v>
      </c>
    </row>
    <row r="216" spans="1:19" s="17" customFormat="1">
      <c r="A216" s="9">
        <v>44442</v>
      </c>
      <c r="B216" s="282" t="s">
        <v>23</v>
      </c>
      <c r="C216" s="17" t="s">
        <v>6239</v>
      </c>
      <c r="D216" s="92" t="s">
        <v>6240</v>
      </c>
      <c r="E216" s="851" t="s">
        <v>6255</v>
      </c>
      <c r="F216" s="851" t="s">
        <v>6256</v>
      </c>
      <c r="G216" s="56">
        <v>3</v>
      </c>
      <c r="H216" s="849">
        <v>78000</v>
      </c>
      <c r="I216" s="86">
        <f t="shared" si="13"/>
        <v>234000</v>
      </c>
      <c r="J216" s="17">
        <f t="shared" si="16"/>
        <v>81900</v>
      </c>
      <c r="K216" s="171">
        <f t="shared" si="14"/>
        <v>152100</v>
      </c>
      <c r="N216" s="17">
        <f t="shared" si="15"/>
        <v>152100</v>
      </c>
      <c r="O216" s="282" t="s">
        <v>23</v>
      </c>
      <c r="P216" s="183"/>
      <c r="Q216" s="282" t="s">
        <v>5552</v>
      </c>
    </row>
    <row r="217" spans="1:19" s="17" customFormat="1">
      <c r="A217" s="9">
        <v>44442</v>
      </c>
      <c r="B217" s="282" t="s">
        <v>23</v>
      </c>
      <c r="C217" s="17" t="s">
        <v>6239</v>
      </c>
      <c r="D217" s="92" t="s">
        <v>6240</v>
      </c>
      <c r="E217" s="851" t="s">
        <v>6257</v>
      </c>
      <c r="F217" s="848" t="s">
        <v>6258</v>
      </c>
      <c r="G217" s="56">
        <v>3</v>
      </c>
      <c r="H217" s="849">
        <v>78000</v>
      </c>
      <c r="I217" s="86">
        <f t="shared" si="13"/>
        <v>234000</v>
      </c>
      <c r="J217" s="17">
        <f t="shared" si="16"/>
        <v>81900</v>
      </c>
      <c r="K217" s="171">
        <f t="shared" si="14"/>
        <v>152100</v>
      </c>
      <c r="N217" s="17">
        <f t="shared" si="15"/>
        <v>152100</v>
      </c>
      <c r="O217" s="282" t="s">
        <v>23</v>
      </c>
      <c r="P217" s="72"/>
      <c r="Q217" s="282" t="s">
        <v>5552</v>
      </c>
    </row>
    <row r="218" spans="1:19" s="17" customFormat="1">
      <c r="A218" s="9">
        <v>44442</v>
      </c>
      <c r="B218" s="282" t="s">
        <v>23</v>
      </c>
      <c r="C218" s="17" t="s">
        <v>6239</v>
      </c>
      <c r="D218" s="92" t="s">
        <v>6240</v>
      </c>
      <c r="E218" s="848" t="s">
        <v>1394</v>
      </c>
      <c r="F218" s="848" t="s">
        <v>1395</v>
      </c>
      <c r="G218" s="56">
        <v>3</v>
      </c>
      <c r="H218" s="849">
        <v>63000</v>
      </c>
      <c r="I218" s="86">
        <f t="shared" si="13"/>
        <v>189000</v>
      </c>
      <c r="J218" s="17">
        <f t="shared" si="16"/>
        <v>66150</v>
      </c>
      <c r="K218" s="171">
        <f t="shared" si="14"/>
        <v>122850</v>
      </c>
      <c r="N218" s="17">
        <f t="shared" si="15"/>
        <v>122850</v>
      </c>
      <c r="O218" s="282" t="s">
        <v>23</v>
      </c>
      <c r="P218" s="72"/>
      <c r="Q218" s="282" t="s">
        <v>5552</v>
      </c>
      <c r="S218" s="13"/>
    </row>
    <row r="219" spans="1:19" s="17" customFormat="1">
      <c r="A219" s="9">
        <v>44442</v>
      </c>
      <c r="B219" s="282" t="s">
        <v>23</v>
      </c>
      <c r="C219" s="17" t="s">
        <v>6239</v>
      </c>
      <c r="D219" s="92" t="s">
        <v>6240</v>
      </c>
      <c r="E219" s="851" t="s">
        <v>6259</v>
      </c>
      <c r="F219" s="852" t="s">
        <v>6260</v>
      </c>
      <c r="G219" s="56">
        <v>3</v>
      </c>
      <c r="H219" s="849">
        <v>65000</v>
      </c>
      <c r="I219" s="86">
        <f t="shared" si="13"/>
        <v>195000</v>
      </c>
      <c r="J219" s="17">
        <f t="shared" si="16"/>
        <v>68250</v>
      </c>
      <c r="K219" s="171">
        <f t="shared" si="14"/>
        <v>126750</v>
      </c>
      <c r="N219" s="17">
        <f t="shared" si="15"/>
        <v>126750</v>
      </c>
      <c r="O219" s="282" t="s">
        <v>23</v>
      </c>
      <c r="P219" s="72"/>
      <c r="Q219" s="282" t="s">
        <v>5552</v>
      </c>
    </row>
    <row r="220" spans="1:19" s="17" customFormat="1">
      <c r="A220" s="9">
        <v>44442</v>
      </c>
      <c r="B220" s="282" t="s">
        <v>23</v>
      </c>
      <c r="C220" s="17" t="s">
        <v>6239</v>
      </c>
      <c r="D220" s="92" t="s">
        <v>6240</v>
      </c>
      <c r="E220" s="851" t="s">
        <v>6261</v>
      </c>
      <c r="F220" s="851" t="s">
        <v>1993</v>
      </c>
      <c r="G220" s="56">
        <v>3</v>
      </c>
      <c r="H220" s="849">
        <v>78500</v>
      </c>
      <c r="I220" s="86">
        <f t="shared" si="13"/>
        <v>235500</v>
      </c>
      <c r="J220" s="17">
        <f t="shared" si="16"/>
        <v>82425</v>
      </c>
      <c r="K220" s="171">
        <f t="shared" si="14"/>
        <v>153075</v>
      </c>
      <c r="N220" s="17">
        <f t="shared" si="15"/>
        <v>153075</v>
      </c>
      <c r="O220" s="282" t="s">
        <v>23</v>
      </c>
      <c r="P220" s="72"/>
      <c r="Q220" s="282" t="s">
        <v>5552</v>
      </c>
    </row>
    <row r="221" spans="1:19" s="17" customFormat="1">
      <c r="A221" s="9">
        <v>44442</v>
      </c>
      <c r="B221" s="282" t="s">
        <v>23</v>
      </c>
      <c r="C221" s="17" t="s">
        <v>6239</v>
      </c>
      <c r="D221" s="92" t="s">
        <v>6240</v>
      </c>
      <c r="E221" s="851" t="s">
        <v>6262</v>
      </c>
      <c r="F221" s="851" t="s">
        <v>6263</v>
      </c>
      <c r="G221" s="56">
        <v>3</v>
      </c>
      <c r="H221" s="849">
        <v>151000</v>
      </c>
      <c r="I221" s="86">
        <f t="shared" si="13"/>
        <v>453000</v>
      </c>
      <c r="J221" s="17">
        <f t="shared" si="16"/>
        <v>158550</v>
      </c>
      <c r="K221" s="171">
        <f t="shared" si="14"/>
        <v>294450</v>
      </c>
      <c r="N221" s="17">
        <f t="shared" si="15"/>
        <v>294450</v>
      </c>
      <c r="O221" s="282" t="s">
        <v>23</v>
      </c>
      <c r="P221" s="183"/>
      <c r="Q221" s="282" t="s">
        <v>5552</v>
      </c>
    </row>
    <row r="222" spans="1:19" s="17" customFormat="1">
      <c r="A222" s="9">
        <v>44442</v>
      </c>
      <c r="B222" s="282" t="s">
        <v>23</v>
      </c>
      <c r="C222" s="17" t="s">
        <v>6239</v>
      </c>
      <c r="D222" s="92" t="s">
        <v>6240</v>
      </c>
      <c r="E222" s="851" t="s">
        <v>1295</v>
      </c>
      <c r="F222" s="851" t="s">
        <v>1296</v>
      </c>
      <c r="G222" s="56">
        <v>3</v>
      </c>
      <c r="H222" s="849">
        <v>84000</v>
      </c>
      <c r="I222" s="86">
        <f t="shared" si="13"/>
        <v>252000</v>
      </c>
      <c r="J222" s="17">
        <f t="shared" si="16"/>
        <v>88200</v>
      </c>
      <c r="K222" s="171">
        <f t="shared" si="14"/>
        <v>163800</v>
      </c>
      <c r="N222" s="17">
        <f t="shared" si="15"/>
        <v>163800</v>
      </c>
      <c r="O222" s="282" t="s">
        <v>23</v>
      </c>
      <c r="P222" s="183"/>
      <c r="Q222" s="282" t="s">
        <v>5552</v>
      </c>
    </row>
    <row r="223" spans="1:19" s="17" customFormat="1">
      <c r="A223" s="9">
        <v>44442</v>
      </c>
      <c r="B223" s="282" t="s">
        <v>23</v>
      </c>
      <c r="C223" s="17" t="s">
        <v>6239</v>
      </c>
      <c r="D223" s="92" t="s">
        <v>6240</v>
      </c>
      <c r="E223" s="851" t="s">
        <v>6264</v>
      </c>
      <c r="F223" s="851" t="s">
        <v>6265</v>
      </c>
      <c r="G223" s="56">
        <v>3</v>
      </c>
      <c r="H223" s="849">
        <v>85500</v>
      </c>
      <c r="I223" s="86">
        <f t="shared" si="13"/>
        <v>256500</v>
      </c>
      <c r="J223" s="17">
        <f t="shared" si="16"/>
        <v>89775</v>
      </c>
      <c r="K223" s="171">
        <f t="shared" si="14"/>
        <v>166725</v>
      </c>
      <c r="N223" s="17">
        <f t="shared" si="15"/>
        <v>166725</v>
      </c>
      <c r="O223" s="282" t="s">
        <v>23</v>
      </c>
      <c r="P223" s="183"/>
      <c r="Q223" s="282" t="s">
        <v>5552</v>
      </c>
    </row>
    <row r="224" spans="1:19" s="17" customFormat="1">
      <c r="A224" s="9">
        <v>44442</v>
      </c>
      <c r="B224" s="282" t="s">
        <v>23</v>
      </c>
      <c r="C224" s="17" t="s">
        <v>6239</v>
      </c>
      <c r="D224" s="92" t="s">
        <v>6240</v>
      </c>
      <c r="E224" s="851" t="s">
        <v>4315</v>
      </c>
      <c r="F224" s="848" t="s">
        <v>4316</v>
      </c>
      <c r="G224" s="56">
        <v>3</v>
      </c>
      <c r="H224" s="849">
        <v>103000</v>
      </c>
      <c r="I224" s="86">
        <f t="shared" si="13"/>
        <v>309000</v>
      </c>
      <c r="J224" s="17">
        <f t="shared" si="16"/>
        <v>108150</v>
      </c>
      <c r="K224" s="171">
        <f t="shared" si="14"/>
        <v>200850</v>
      </c>
      <c r="N224" s="17">
        <f t="shared" si="15"/>
        <v>200850</v>
      </c>
      <c r="O224" s="282" t="s">
        <v>23</v>
      </c>
      <c r="P224" s="183"/>
      <c r="Q224" s="282" t="s">
        <v>5552</v>
      </c>
    </row>
    <row r="225" spans="1:17" s="17" customFormat="1">
      <c r="A225" s="9">
        <v>44442</v>
      </c>
      <c r="B225" s="282" t="s">
        <v>23</v>
      </c>
      <c r="C225" s="17" t="s">
        <v>6239</v>
      </c>
      <c r="D225" s="92" t="s">
        <v>6240</v>
      </c>
      <c r="E225" s="848" t="s">
        <v>2390</v>
      </c>
      <c r="F225" s="848" t="s">
        <v>2391</v>
      </c>
      <c r="G225" s="56">
        <v>3</v>
      </c>
      <c r="H225" s="849">
        <v>94000</v>
      </c>
      <c r="I225" s="86">
        <f t="shared" si="13"/>
        <v>282000</v>
      </c>
      <c r="J225" s="17">
        <f t="shared" si="16"/>
        <v>98700</v>
      </c>
      <c r="K225" s="171">
        <f t="shared" si="14"/>
        <v>183300</v>
      </c>
      <c r="N225" s="17">
        <f t="shared" si="15"/>
        <v>183300</v>
      </c>
      <c r="O225" s="282" t="s">
        <v>23</v>
      </c>
      <c r="P225" s="183"/>
      <c r="Q225" s="282" t="s">
        <v>5552</v>
      </c>
    </row>
    <row r="226" spans="1:17" s="17" customFormat="1">
      <c r="A226" s="9">
        <v>44442</v>
      </c>
      <c r="B226" s="282" t="s">
        <v>23</v>
      </c>
      <c r="C226" s="17" t="s">
        <v>6239</v>
      </c>
      <c r="D226" s="92" t="s">
        <v>6240</v>
      </c>
      <c r="E226" s="848" t="s">
        <v>1047</v>
      </c>
      <c r="F226" s="848" t="s">
        <v>222</v>
      </c>
      <c r="G226" s="56">
        <v>3</v>
      </c>
      <c r="H226" s="849">
        <v>50000</v>
      </c>
      <c r="I226" s="86">
        <f t="shared" si="13"/>
        <v>150000</v>
      </c>
      <c r="J226" s="17">
        <f t="shared" si="16"/>
        <v>52500</v>
      </c>
      <c r="K226" s="171">
        <f t="shared" si="14"/>
        <v>97500</v>
      </c>
      <c r="N226" s="17">
        <f t="shared" si="15"/>
        <v>97500</v>
      </c>
      <c r="O226" s="282" t="s">
        <v>23</v>
      </c>
      <c r="P226" s="183"/>
      <c r="Q226" s="282" t="s">
        <v>5552</v>
      </c>
    </row>
    <row r="227" spans="1:17" s="17" customFormat="1">
      <c r="A227" s="9">
        <v>44442</v>
      </c>
      <c r="B227" s="282" t="s">
        <v>23</v>
      </c>
      <c r="C227" s="17" t="s">
        <v>6239</v>
      </c>
      <c r="D227" s="92" t="s">
        <v>6240</v>
      </c>
      <c r="E227" s="851" t="s">
        <v>6266</v>
      </c>
      <c r="F227" s="851" t="s">
        <v>6267</v>
      </c>
      <c r="G227" s="56">
        <v>3</v>
      </c>
      <c r="H227" s="849">
        <v>55000</v>
      </c>
      <c r="I227" s="86">
        <f t="shared" si="13"/>
        <v>165000</v>
      </c>
      <c r="J227" s="17">
        <f t="shared" si="16"/>
        <v>57749.999999999993</v>
      </c>
      <c r="K227" s="171">
        <f t="shared" si="14"/>
        <v>107250</v>
      </c>
      <c r="N227" s="17">
        <f t="shared" si="15"/>
        <v>107250</v>
      </c>
      <c r="O227" s="282" t="s">
        <v>23</v>
      </c>
      <c r="P227" s="183"/>
      <c r="Q227" s="282" t="s">
        <v>5552</v>
      </c>
    </row>
    <row r="228" spans="1:17" s="17" customFormat="1">
      <c r="A228" s="9">
        <v>44442</v>
      </c>
      <c r="B228" s="282" t="s">
        <v>23</v>
      </c>
      <c r="C228" s="17" t="s">
        <v>6239</v>
      </c>
      <c r="D228" s="92" t="s">
        <v>6240</v>
      </c>
      <c r="E228" s="851" t="s">
        <v>6268</v>
      </c>
      <c r="F228" s="851" t="s">
        <v>4839</v>
      </c>
      <c r="G228" s="56">
        <v>3</v>
      </c>
      <c r="H228" s="849">
        <v>89000</v>
      </c>
      <c r="I228" s="86">
        <f t="shared" si="13"/>
        <v>267000</v>
      </c>
      <c r="J228" s="17">
        <f t="shared" si="16"/>
        <v>93450</v>
      </c>
      <c r="K228" s="171">
        <f t="shared" si="14"/>
        <v>173550</v>
      </c>
      <c r="N228" s="17">
        <f t="shared" si="15"/>
        <v>173550</v>
      </c>
      <c r="O228" s="282" t="s">
        <v>23</v>
      </c>
      <c r="P228" s="183"/>
      <c r="Q228" s="282" t="s">
        <v>5552</v>
      </c>
    </row>
    <row r="229" spans="1:17" s="17" customFormat="1">
      <c r="A229" s="9">
        <v>44442</v>
      </c>
      <c r="B229" s="282" t="s">
        <v>23</v>
      </c>
      <c r="C229" s="17" t="s">
        <v>6239</v>
      </c>
      <c r="D229" s="92" t="s">
        <v>6240</v>
      </c>
      <c r="E229" s="851" t="s">
        <v>3295</v>
      </c>
      <c r="F229" s="848" t="s">
        <v>3296</v>
      </c>
      <c r="G229" s="56">
        <v>3</v>
      </c>
      <c r="H229" s="849">
        <v>95000</v>
      </c>
      <c r="I229" s="86">
        <f t="shared" si="13"/>
        <v>285000</v>
      </c>
      <c r="J229" s="17">
        <f t="shared" si="16"/>
        <v>99750</v>
      </c>
      <c r="K229" s="171">
        <f t="shared" si="14"/>
        <v>185250</v>
      </c>
      <c r="N229" s="17">
        <f t="shared" si="15"/>
        <v>185250</v>
      </c>
      <c r="O229" s="282" t="s">
        <v>23</v>
      </c>
      <c r="P229" s="183"/>
      <c r="Q229" s="282" t="s">
        <v>5552</v>
      </c>
    </row>
    <row r="230" spans="1:17" s="17" customFormat="1">
      <c r="A230" s="9">
        <v>44442</v>
      </c>
      <c r="B230" s="282" t="s">
        <v>23</v>
      </c>
      <c r="C230" s="17" t="s">
        <v>6239</v>
      </c>
      <c r="D230" s="92" t="s">
        <v>6240</v>
      </c>
      <c r="E230" s="851" t="s">
        <v>6269</v>
      </c>
      <c r="F230" s="848" t="s">
        <v>6270</v>
      </c>
      <c r="G230" s="56">
        <v>3</v>
      </c>
      <c r="H230" s="849">
        <v>128000</v>
      </c>
      <c r="I230" s="86">
        <f t="shared" si="13"/>
        <v>384000</v>
      </c>
      <c r="J230" s="17">
        <f t="shared" si="16"/>
        <v>134400</v>
      </c>
      <c r="K230" s="171">
        <f t="shared" si="14"/>
        <v>249600</v>
      </c>
      <c r="N230" s="17">
        <f t="shared" si="15"/>
        <v>249600</v>
      </c>
      <c r="O230" s="282" t="s">
        <v>23</v>
      </c>
      <c r="P230" s="183"/>
      <c r="Q230" s="282" t="s">
        <v>5552</v>
      </c>
    </row>
    <row r="231" spans="1:17" s="17" customFormat="1">
      <c r="A231" s="9">
        <v>44442</v>
      </c>
      <c r="B231" s="282" t="s">
        <v>23</v>
      </c>
      <c r="C231" s="17" t="s">
        <v>6239</v>
      </c>
      <c r="D231" s="92" t="s">
        <v>6240</v>
      </c>
      <c r="E231" s="851" t="s">
        <v>6271</v>
      </c>
      <c r="F231" s="848" t="s">
        <v>6272</v>
      </c>
      <c r="G231" s="56">
        <v>3</v>
      </c>
      <c r="H231" s="849">
        <v>101000</v>
      </c>
      <c r="I231" s="86">
        <f t="shared" si="13"/>
        <v>303000</v>
      </c>
      <c r="J231" s="17">
        <f t="shared" si="16"/>
        <v>106050</v>
      </c>
      <c r="K231" s="171">
        <f t="shared" si="14"/>
        <v>196950</v>
      </c>
      <c r="N231" s="17">
        <f t="shared" si="15"/>
        <v>196950</v>
      </c>
      <c r="O231" s="282" t="s">
        <v>23</v>
      </c>
      <c r="P231" s="183"/>
      <c r="Q231" s="282" t="s">
        <v>5552</v>
      </c>
    </row>
    <row r="232" spans="1:17" s="17" customFormat="1">
      <c r="A232" s="9">
        <v>44442</v>
      </c>
      <c r="B232" s="282" t="s">
        <v>23</v>
      </c>
      <c r="C232" s="17" t="s">
        <v>6239</v>
      </c>
      <c r="D232" s="92" t="s">
        <v>6240</v>
      </c>
      <c r="E232" s="851" t="s">
        <v>489</v>
      </c>
      <c r="F232" s="851" t="s">
        <v>490</v>
      </c>
      <c r="G232" s="56">
        <v>3</v>
      </c>
      <c r="H232" s="849">
        <v>72000</v>
      </c>
      <c r="I232" s="86">
        <f t="shared" si="13"/>
        <v>216000</v>
      </c>
      <c r="J232" s="17">
        <f t="shared" si="16"/>
        <v>75600</v>
      </c>
      <c r="K232" s="171">
        <f t="shared" si="14"/>
        <v>140400</v>
      </c>
      <c r="N232" s="17">
        <f t="shared" si="15"/>
        <v>140400</v>
      </c>
      <c r="O232" s="282" t="s">
        <v>23</v>
      </c>
      <c r="P232" s="183"/>
      <c r="Q232" s="282" t="s">
        <v>5552</v>
      </c>
    </row>
    <row r="233" spans="1:17" s="17" customFormat="1">
      <c r="A233" s="9">
        <v>44442</v>
      </c>
      <c r="B233" s="282" t="s">
        <v>23</v>
      </c>
      <c r="C233" s="17" t="s">
        <v>6239</v>
      </c>
      <c r="D233" s="92" t="s">
        <v>6240</v>
      </c>
      <c r="E233" s="851" t="s">
        <v>6273</v>
      </c>
      <c r="F233" s="851" t="s">
        <v>6032</v>
      </c>
      <c r="G233" s="56">
        <v>3</v>
      </c>
      <c r="H233" s="849">
        <v>93000</v>
      </c>
      <c r="I233" s="86">
        <f t="shared" si="13"/>
        <v>279000</v>
      </c>
      <c r="J233" s="17">
        <f t="shared" si="16"/>
        <v>97650</v>
      </c>
      <c r="K233" s="171">
        <f t="shared" si="14"/>
        <v>181350</v>
      </c>
      <c r="N233" s="17">
        <f t="shared" si="15"/>
        <v>181350</v>
      </c>
      <c r="O233" s="282" t="s">
        <v>23</v>
      </c>
      <c r="P233" s="72"/>
      <c r="Q233" s="282" t="s">
        <v>5552</v>
      </c>
    </row>
    <row r="234" spans="1:17" s="17" customFormat="1">
      <c r="A234" s="9">
        <v>44442</v>
      </c>
      <c r="B234" s="282" t="s">
        <v>23</v>
      </c>
      <c r="C234" s="17" t="s">
        <v>6239</v>
      </c>
      <c r="D234" s="92" t="s">
        <v>6240</v>
      </c>
      <c r="E234" s="851" t="s">
        <v>6274</v>
      </c>
      <c r="F234" s="851" t="s">
        <v>2173</v>
      </c>
      <c r="G234" s="56">
        <v>3</v>
      </c>
      <c r="H234" s="849">
        <v>78500</v>
      </c>
      <c r="I234" s="86">
        <f t="shared" si="13"/>
        <v>235500</v>
      </c>
      <c r="J234" s="17">
        <f t="shared" si="16"/>
        <v>82425</v>
      </c>
      <c r="K234" s="171">
        <f t="shared" si="14"/>
        <v>153075</v>
      </c>
      <c r="N234" s="17">
        <f t="shared" si="15"/>
        <v>153075</v>
      </c>
      <c r="O234" s="282" t="s">
        <v>23</v>
      </c>
      <c r="P234" s="183"/>
      <c r="Q234" s="282" t="s">
        <v>5552</v>
      </c>
    </row>
    <row r="235" spans="1:17" s="17" customFormat="1">
      <c r="A235" s="9">
        <v>44442</v>
      </c>
      <c r="B235" s="282" t="s">
        <v>23</v>
      </c>
      <c r="C235" s="17" t="s">
        <v>6239</v>
      </c>
      <c r="D235" s="92" t="s">
        <v>6240</v>
      </c>
      <c r="E235" s="848" t="s">
        <v>221</v>
      </c>
      <c r="F235" s="848" t="s">
        <v>222</v>
      </c>
      <c r="G235" s="56">
        <v>3</v>
      </c>
      <c r="H235" s="849">
        <v>44000</v>
      </c>
      <c r="I235" s="86">
        <f t="shared" si="13"/>
        <v>132000</v>
      </c>
      <c r="J235" s="17">
        <f t="shared" si="16"/>
        <v>46200</v>
      </c>
      <c r="K235" s="171">
        <f t="shared" si="14"/>
        <v>85800</v>
      </c>
      <c r="N235" s="17">
        <f t="shared" si="15"/>
        <v>85800</v>
      </c>
      <c r="O235" s="282" t="s">
        <v>23</v>
      </c>
      <c r="P235" s="72"/>
      <c r="Q235" s="282" t="s">
        <v>5552</v>
      </c>
    </row>
    <row r="236" spans="1:17" s="17" customFormat="1">
      <c r="A236" s="9">
        <v>44442</v>
      </c>
      <c r="B236" s="282" t="s">
        <v>23</v>
      </c>
      <c r="C236" s="17" t="s">
        <v>6239</v>
      </c>
      <c r="D236" s="92" t="s">
        <v>6240</v>
      </c>
      <c r="E236" s="851" t="s">
        <v>5878</v>
      </c>
      <c r="F236" s="851" t="s">
        <v>905</v>
      </c>
      <c r="G236" s="56">
        <v>3</v>
      </c>
      <c r="H236" s="849">
        <v>81000</v>
      </c>
      <c r="I236" s="86">
        <f t="shared" si="13"/>
        <v>243000</v>
      </c>
      <c r="J236" s="17">
        <f t="shared" si="16"/>
        <v>85050</v>
      </c>
      <c r="K236" s="171">
        <f t="shared" si="14"/>
        <v>157950</v>
      </c>
      <c r="N236" s="17">
        <f t="shared" si="15"/>
        <v>157950</v>
      </c>
      <c r="O236" s="282" t="s">
        <v>23</v>
      </c>
      <c r="P236" s="72"/>
      <c r="Q236" s="282" t="s">
        <v>5552</v>
      </c>
    </row>
    <row r="237" spans="1:17" s="17" customFormat="1">
      <c r="A237" s="9">
        <v>44442</v>
      </c>
      <c r="B237" s="282" t="s">
        <v>23</v>
      </c>
      <c r="C237" s="17" t="s">
        <v>6239</v>
      </c>
      <c r="D237" s="92" t="s">
        <v>6240</v>
      </c>
      <c r="E237" s="848" t="s">
        <v>4847</v>
      </c>
      <c r="F237" s="848" t="s">
        <v>4848</v>
      </c>
      <c r="G237" s="56">
        <v>3</v>
      </c>
      <c r="H237" s="849">
        <v>61000</v>
      </c>
      <c r="I237" s="86">
        <f t="shared" si="13"/>
        <v>183000</v>
      </c>
      <c r="J237" s="17">
        <f t="shared" si="16"/>
        <v>64049.999999999993</v>
      </c>
      <c r="K237" s="171">
        <f t="shared" si="14"/>
        <v>118950</v>
      </c>
      <c r="N237" s="17">
        <f t="shared" si="15"/>
        <v>118950</v>
      </c>
      <c r="O237" s="282" t="s">
        <v>23</v>
      </c>
      <c r="P237" s="183"/>
      <c r="Q237" s="282" t="s">
        <v>5552</v>
      </c>
    </row>
    <row r="238" spans="1:17" s="17" customFormat="1">
      <c r="A238" s="9">
        <v>44442</v>
      </c>
      <c r="B238" s="282" t="s">
        <v>23</v>
      </c>
      <c r="C238" s="17" t="s">
        <v>6239</v>
      </c>
      <c r="D238" s="92" t="s">
        <v>6240</v>
      </c>
      <c r="E238" s="851" t="s">
        <v>162</v>
      </c>
      <c r="F238" s="851" t="s">
        <v>163</v>
      </c>
      <c r="G238" s="56">
        <v>3</v>
      </c>
      <c r="H238" s="849">
        <v>95000</v>
      </c>
      <c r="I238" s="86">
        <f t="shared" si="13"/>
        <v>285000</v>
      </c>
      <c r="J238" s="17">
        <f t="shared" si="16"/>
        <v>99750</v>
      </c>
      <c r="K238" s="171">
        <f t="shared" si="14"/>
        <v>185250</v>
      </c>
      <c r="N238" s="17">
        <f t="shared" si="15"/>
        <v>185250</v>
      </c>
      <c r="O238" s="282" t="s">
        <v>23</v>
      </c>
      <c r="P238" s="72"/>
      <c r="Q238" s="282" t="s">
        <v>5552</v>
      </c>
    </row>
    <row r="239" spans="1:17" s="17" customFormat="1">
      <c r="A239" s="9">
        <v>44442</v>
      </c>
      <c r="B239" s="282" t="s">
        <v>23</v>
      </c>
      <c r="C239" s="17" t="s">
        <v>6239</v>
      </c>
      <c r="D239" s="92" t="s">
        <v>6240</v>
      </c>
      <c r="E239" s="851" t="s">
        <v>1330</v>
      </c>
      <c r="F239" s="851" t="s">
        <v>6275</v>
      </c>
      <c r="G239" s="56">
        <v>3</v>
      </c>
      <c r="H239" s="849">
        <v>57000</v>
      </c>
      <c r="I239" s="86">
        <f t="shared" si="13"/>
        <v>171000</v>
      </c>
      <c r="J239" s="17">
        <f t="shared" si="16"/>
        <v>59849.999999999993</v>
      </c>
      <c r="K239" s="171">
        <f t="shared" si="14"/>
        <v>111150</v>
      </c>
      <c r="N239" s="17">
        <f t="shared" si="15"/>
        <v>111150</v>
      </c>
      <c r="O239" s="282" t="s">
        <v>23</v>
      </c>
      <c r="P239" s="72"/>
      <c r="Q239" s="282" t="s">
        <v>5552</v>
      </c>
    </row>
    <row r="240" spans="1:17" s="17" customFormat="1">
      <c r="A240" s="9">
        <v>44445</v>
      </c>
      <c r="B240" s="10" t="s">
        <v>170</v>
      </c>
      <c r="C240" s="10" t="s">
        <v>6276</v>
      </c>
      <c r="D240" s="92" t="s">
        <v>6277</v>
      </c>
      <c r="E240" s="740" t="s">
        <v>3196</v>
      </c>
      <c r="F240" s="758" t="s">
        <v>3197</v>
      </c>
      <c r="G240" s="56">
        <v>1</v>
      </c>
      <c r="H240" s="849">
        <v>70000</v>
      </c>
      <c r="I240" s="86">
        <f t="shared" si="13"/>
        <v>70000</v>
      </c>
      <c r="K240" s="171">
        <f t="shared" si="14"/>
        <v>70000</v>
      </c>
      <c r="L240" s="17">
        <f>19000-19000</f>
        <v>0</v>
      </c>
      <c r="M240" s="17">
        <v>-350</v>
      </c>
      <c r="N240" s="171">
        <f t="shared" si="15"/>
        <v>69650</v>
      </c>
      <c r="O240" s="10" t="s">
        <v>170</v>
      </c>
      <c r="P240" s="92"/>
      <c r="Q240" s="10" t="s">
        <v>54</v>
      </c>
    </row>
    <row r="241" spans="1:17" s="17" customFormat="1">
      <c r="A241" s="9">
        <v>44445</v>
      </c>
      <c r="B241" s="91" t="s">
        <v>43</v>
      </c>
      <c r="C241" s="123" t="s">
        <v>6278</v>
      </c>
      <c r="D241" s="92" t="s">
        <v>6279</v>
      </c>
      <c r="E241" s="740" t="s">
        <v>5955</v>
      </c>
      <c r="F241" s="758" t="s">
        <v>5956</v>
      </c>
      <c r="G241" s="56">
        <v>1</v>
      </c>
      <c r="H241" s="849">
        <v>99000</v>
      </c>
      <c r="I241" s="86">
        <f t="shared" si="13"/>
        <v>99000</v>
      </c>
      <c r="J241" s="17">
        <f>I241*20%</f>
        <v>19800</v>
      </c>
      <c r="K241" s="171">
        <f t="shared" si="14"/>
        <v>79200</v>
      </c>
      <c r="M241" s="17">
        <v>-4435</v>
      </c>
      <c r="N241" s="171">
        <f t="shared" si="15"/>
        <v>74765</v>
      </c>
      <c r="O241" s="91" t="s">
        <v>43</v>
      </c>
      <c r="P241" s="183"/>
      <c r="Q241" s="91" t="s">
        <v>176</v>
      </c>
    </row>
    <row r="242" spans="1:17" s="17" customFormat="1">
      <c r="A242" s="9">
        <v>44445</v>
      </c>
      <c r="B242" s="91" t="s">
        <v>43</v>
      </c>
      <c r="C242" s="123" t="s">
        <v>6280</v>
      </c>
      <c r="D242" s="92" t="s">
        <v>6281</v>
      </c>
      <c r="E242" s="740" t="s">
        <v>4306</v>
      </c>
      <c r="F242" s="740" t="s">
        <v>4307</v>
      </c>
      <c r="G242" s="56">
        <v>2</v>
      </c>
      <c r="H242" s="849">
        <v>99000</v>
      </c>
      <c r="I242" s="86">
        <f t="shared" si="13"/>
        <v>198000</v>
      </c>
      <c r="J242" s="17">
        <f>I242*20%</f>
        <v>39600</v>
      </c>
      <c r="K242" s="171">
        <f t="shared" si="14"/>
        <v>158400</v>
      </c>
      <c r="M242" s="17">
        <v>-8870</v>
      </c>
      <c r="N242" s="171">
        <f t="shared" si="15"/>
        <v>149530</v>
      </c>
      <c r="O242" s="91" t="s">
        <v>43</v>
      </c>
      <c r="P242" s="183"/>
      <c r="Q242" s="91" t="s">
        <v>176</v>
      </c>
    </row>
    <row r="243" spans="1:17" s="17" customFormat="1">
      <c r="A243" s="9">
        <v>44445</v>
      </c>
      <c r="B243" s="91" t="s">
        <v>43</v>
      </c>
      <c r="C243" s="91" t="s">
        <v>6282</v>
      </c>
      <c r="D243" s="92" t="s">
        <v>6283</v>
      </c>
      <c r="E243" s="833" t="s">
        <v>1699</v>
      </c>
      <c r="F243" s="833" t="s">
        <v>1219</v>
      </c>
      <c r="G243" s="56">
        <v>1</v>
      </c>
      <c r="H243" s="849">
        <v>94500</v>
      </c>
      <c r="I243" s="86">
        <f t="shared" si="13"/>
        <v>94500</v>
      </c>
      <c r="K243" s="171">
        <f t="shared" si="14"/>
        <v>94500</v>
      </c>
      <c r="M243" s="17">
        <v>-9968</v>
      </c>
      <c r="N243" s="171">
        <f t="shared" si="15"/>
        <v>84532</v>
      </c>
      <c r="O243" s="91" t="s">
        <v>43</v>
      </c>
      <c r="P243" s="183"/>
      <c r="Q243" s="91" t="s">
        <v>176</v>
      </c>
    </row>
    <row r="244" spans="1:17" s="17" customFormat="1">
      <c r="A244" s="9">
        <v>44445</v>
      </c>
      <c r="B244" s="91" t="s">
        <v>43</v>
      </c>
      <c r="C244" s="91" t="s">
        <v>6282</v>
      </c>
      <c r="D244" s="92" t="s">
        <v>6283</v>
      </c>
      <c r="E244" s="833" t="s">
        <v>233</v>
      </c>
      <c r="F244" s="833" t="s">
        <v>234</v>
      </c>
      <c r="G244" s="56">
        <v>1</v>
      </c>
      <c r="H244" s="849">
        <v>83500</v>
      </c>
      <c r="I244" s="86">
        <f t="shared" si="13"/>
        <v>83500</v>
      </c>
      <c r="K244" s="171">
        <f t="shared" si="14"/>
        <v>83500</v>
      </c>
      <c r="N244" s="171">
        <f t="shared" si="15"/>
        <v>83500</v>
      </c>
      <c r="O244" s="91" t="s">
        <v>43</v>
      </c>
      <c r="P244" s="183"/>
      <c r="Q244" s="91" t="s">
        <v>176</v>
      </c>
    </row>
    <row r="245" spans="1:17" s="17" customFormat="1">
      <c r="A245" s="9">
        <v>44445</v>
      </c>
      <c r="B245" s="91" t="s">
        <v>43</v>
      </c>
      <c r="C245" s="123" t="s">
        <v>6284</v>
      </c>
      <c r="D245" s="92" t="s">
        <v>6285</v>
      </c>
      <c r="E245" s="740" t="s">
        <v>3322</v>
      </c>
      <c r="F245" s="758" t="s">
        <v>3323</v>
      </c>
      <c r="G245" s="56">
        <v>1</v>
      </c>
      <c r="H245" s="849">
        <v>195000</v>
      </c>
      <c r="I245" s="86">
        <f t="shared" si="13"/>
        <v>195000</v>
      </c>
      <c r="J245" s="17">
        <f>I245*20%</f>
        <v>39000</v>
      </c>
      <c r="K245" s="171">
        <f t="shared" si="14"/>
        <v>156000</v>
      </c>
      <c r="M245" s="17">
        <v>-8736</v>
      </c>
      <c r="N245" s="171">
        <f t="shared" si="15"/>
        <v>147264</v>
      </c>
      <c r="O245" s="91" t="s">
        <v>43</v>
      </c>
      <c r="P245" s="183"/>
      <c r="Q245" s="91" t="s">
        <v>176</v>
      </c>
    </row>
    <row r="246" spans="1:17" s="17" customFormat="1">
      <c r="A246" s="9">
        <v>44445</v>
      </c>
      <c r="B246" s="91" t="s">
        <v>43</v>
      </c>
      <c r="C246" s="91" t="s">
        <v>6286</v>
      </c>
      <c r="D246" s="92" t="s">
        <v>6287</v>
      </c>
      <c r="E246" s="740" t="s">
        <v>679</v>
      </c>
      <c r="F246" s="740" t="s">
        <v>680</v>
      </c>
      <c r="G246" s="56">
        <v>1</v>
      </c>
      <c r="H246" s="849">
        <v>58500</v>
      </c>
      <c r="I246" s="86">
        <f t="shared" si="13"/>
        <v>58500</v>
      </c>
      <c r="J246" s="17">
        <f>I246*20%</f>
        <v>11700</v>
      </c>
      <c r="K246" s="171">
        <f t="shared" si="14"/>
        <v>46800</v>
      </c>
      <c r="M246" s="17">
        <v>-2621</v>
      </c>
      <c r="N246" s="171">
        <f t="shared" si="15"/>
        <v>44179</v>
      </c>
      <c r="O246" s="91" t="s">
        <v>43</v>
      </c>
      <c r="P246" s="183"/>
      <c r="Q246" s="91" t="s">
        <v>176</v>
      </c>
    </row>
    <row r="247" spans="1:17" s="17" customFormat="1">
      <c r="A247" s="9">
        <v>44445</v>
      </c>
      <c r="B247" s="91" t="s">
        <v>206</v>
      </c>
      <c r="C247" s="123" t="s">
        <v>6288</v>
      </c>
      <c r="D247" s="92" t="s">
        <v>6289</v>
      </c>
      <c r="E247" s="839" t="s">
        <v>1992</v>
      </c>
      <c r="F247" s="839" t="s">
        <v>1993</v>
      </c>
      <c r="G247" s="56">
        <v>1</v>
      </c>
      <c r="H247" s="849">
        <v>75500</v>
      </c>
      <c r="I247" s="86">
        <f t="shared" si="13"/>
        <v>75500</v>
      </c>
      <c r="K247" s="171">
        <f t="shared" si="14"/>
        <v>75500</v>
      </c>
      <c r="L247" s="17">
        <v>56200</v>
      </c>
      <c r="N247" s="171">
        <f t="shared" si="15"/>
        <v>131700</v>
      </c>
      <c r="O247" s="91" t="s">
        <v>206</v>
      </c>
      <c r="P247" s="92"/>
      <c r="Q247" s="91" t="s">
        <v>328</v>
      </c>
    </row>
    <row r="248" spans="1:17" s="17" customFormat="1">
      <c r="A248" s="9">
        <v>44445</v>
      </c>
      <c r="B248" s="91" t="s">
        <v>206</v>
      </c>
      <c r="C248" s="123" t="s">
        <v>6288</v>
      </c>
      <c r="D248" s="92" t="s">
        <v>6289</v>
      </c>
      <c r="E248" s="839" t="s">
        <v>4661</v>
      </c>
      <c r="F248" s="839" t="s">
        <v>4662</v>
      </c>
      <c r="G248" s="56">
        <v>1</v>
      </c>
      <c r="H248" s="849">
        <v>92000</v>
      </c>
      <c r="I248" s="86">
        <f t="shared" si="13"/>
        <v>92000</v>
      </c>
      <c r="K248" s="171">
        <f t="shared" si="14"/>
        <v>92000</v>
      </c>
      <c r="N248" s="171">
        <f t="shared" si="15"/>
        <v>92000</v>
      </c>
      <c r="O248" s="91" t="s">
        <v>206</v>
      </c>
      <c r="P248" s="183"/>
      <c r="Q248" s="91" t="s">
        <v>328</v>
      </c>
    </row>
    <row r="249" spans="1:17" s="17" customFormat="1">
      <c r="A249" s="9">
        <v>44445</v>
      </c>
      <c r="B249" s="91" t="s">
        <v>206</v>
      </c>
      <c r="C249" s="123" t="s">
        <v>6288</v>
      </c>
      <c r="D249" s="92" t="s">
        <v>6289</v>
      </c>
      <c r="E249" s="839" t="s">
        <v>1286</v>
      </c>
      <c r="F249" s="839" t="s">
        <v>1287</v>
      </c>
      <c r="G249" s="56">
        <v>1</v>
      </c>
      <c r="H249" s="849">
        <v>73500</v>
      </c>
      <c r="I249" s="86">
        <f t="shared" si="13"/>
        <v>73500</v>
      </c>
      <c r="K249" s="171">
        <f t="shared" si="14"/>
        <v>73500</v>
      </c>
      <c r="N249" s="171">
        <f t="shared" si="15"/>
        <v>73500</v>
      </c>
      <c r="O249" s="91" t="s">
        <v>206</v>
      </c>
      <c r="P249" s="183"/>
      <c r="Q249" s="91" t="s">
        <v>328</v>
      </c>
    </row>
    <row r="250" spans="1:17" s="17" customFormat="1">
      <c r="A250" s="9">
        <v>44445</v>
      </c>
      <c r="B250" s="91" t="s">
        <v>177</v>
      </c>
      <c r="C250" s="91" t="s">
        <v>6290</v>
      </c>
      <c r="D250" s="92" t="s">
        <v>6291</v>
      </c>
      <c r="E250" s="853" t="s">
        <v>1236</v>
      </c>
      <c r="F250" s="853" t="s">
        <v>1237</v>
      </c>
      <c r="G250" s="56">
        <v>1</v>
      </c>
      <c r="H250" s="849">
        <v>100000</v>
      </c>
      <c r="I250" s="86">
        <f t="shared" si="13"/>
        <v>100000</v>
      </c>
      <c r="J250" s="17">
        <f>I250*20%</f>
        <v>20000</v>
      </c>
      <c r="K250" s="171">
        <f t="shared" si="14"/>
        <v>80000</v>
      </c>
      <c r="L250" s="17">
        <v>9000</v>
      </c>
      <c r="N250" s="171">
        <f t="shared" si="15"/>
        <v>89000</v>
      </c>
      <c r="O250" s="91" t="s">
        <v>177</v>
      </c>
      <c r="P250" s="191"/>
      <c r="Q250" s="91" t="s">
        <v>54</v>
      </c>
    </row>
    <row r="251" spans="1:17" s="17" customFormat="1">
      <c r="A251" s="9">
        <v>44445</v>
      </c>
      <c r="B251" s="91" t="s">
        <v>177</v>
      </c>
      <c r="C251" s="91" t="s">
        <v>6290</v>
      </c>
      <c r="D251" s="92" t="s">
        <v>6291</v>
      </c>
      <c r="E251" s="854" t="s">
        <v>6292</v>
      </c>
      <c r="F251" s="854" t="s">
        <v>222</v>
      </c>
      <c r="G251" s="56">
        <v>1</v>
      </c>
      <c r="H251" s="849">
        <v>50000</v>
      </c>
      <c r="I251" s="86">
        <f t="shared" si="13"/>
        <v>50000</v>
      </c>
      <c r="J251" s="17">
        <f>I251*20%</f>
        <v>10000</v>
      </c>
      <c r="K251" s="171">
        <f t="shared" si="14"/>
        <v>40000</v>
      </c>
      <c r="N251" s="171">
        <f t="shared" si="15"/>
        <v>40000</v>
      </c>
      <c r="O251" s="91" t="s">
        <v>177</v>
      </c>
      <c r="P251" s="191"/>
      <c r="Q251" s="91" t="s">
        <v>54</v>
      </c>
    </row>
    <row r="252" spans="1:17" s="17" customFormat="1">
      <c r="A252" s="9">
        <v>44445</v>
      </c>
      <c r="B252" s="91" t="s">
        <v>313</v>
      </c>
      <c r="C252" s="123" t="s">
        <v>6293</v>
      </c>
      <c r="D252" s="92" t="s">
        <v>6294</v>
      </c>
      <c r="E252" s="758" t="s">
        <v>2349</v>
      </c>
      <c r="F252" s="758" t="s">
        <v>2809</v>
      </c>
      <c r="G252" s="56">
        <v>1</v>
      </c>
      <c r="H252" s="849">
        <v>109000</v>
      </c>
      <c r="I252" s="86">
        <f t="shared" si="13"/>
        <v>109000</v>
      </c>
      <c r="K252" s="171">
        <f t="shared" si="14"/>
        <v>109000</v>
      </c>
      <c r="L252" s="17">
        <v>17036</v>
      </c>
      <c r="N252" s="171">
        <f t="shared" si="15"/>
        <v>126036</v>
      </c>
      <c r="O252" s="91" t="s">
        <v>313</v>
      </c>
      <c r="P252" s="191"/>
      <c r="Q252" s="91" t="s">
        <v>40</v>
      </c>
    </row>
    <row r="253" spans="1:17" s="17" customFormat="1">
      <c r="A253" s="9">
        <v>44445</v>
      </c>
      <c r="B253" s="91" t="s">
        <v>23</v>
      </c>
      <c r="C253" s="91" t="s">
        <v>6295</v>
      </c>
      <c r="D253" s="92" t="s">
        <v>6296</v>
      </c>
      <c r="E253" s="146" t="s">
        <v>3365</v>
      </c>
      <c r="F253" s="146" t="s">
        <v>3366</v>
      </c>
      <c r="G253" s="779">
        <v>1</v>
      </c>
      <c r="H253" s="849">
        <v>112000</v>
      </c>
      <c r="I253" s="86">
        <f t="shared" si="13"/>
        <v>112000</v>
      </c>
      <c r="K253" s="171">
        <f t="shared" si="14"/>
        <v>112000</v>
      </c>
      <c r="L253" s="17">
        <v>75000</v>
      </c>
      <c r="N253" s="171">
        <f t="shared" si="15"/>
        <v>187000</v>
      </c>
      <c r="O253" s="91" t="s">
        <v>23</v>
      </c>
      <c r="P253" s="191"/>
      <c r="Q253" s="91" t="s">
        <v>40</v>
      </c>
    </row>
    <row r="254" spans="1:17" s="17" customFormat="1">
      <c r="A254" s="9">
        <v>44445</v>
      </c>
      <c r="B254" s="91" t="s">
        <v>313</v>
      </c>
      <c r="C254" s="123" t="s">
        <v>6297</v>
      </c>
      <c r="D254" s="92" t="s">
        <v>6298</v>
      </c>
      <c r="E254" s="855" t="s">
        <v>6044</v>
      </c>
      <c r="F254" s="856" t="s">
        <v>6045</v>
      </c>
      <c r="G254" s="56">
        <v>1</v>
      </c>
      <c r="H254" s="849">
        <v>122000</v>
      </c>
      <c r="I254" s="86">
        <f t="shared" si="13"/>
        <v>122000</v>
      </c>
      <c r="K254" s="171">
        <f t="shared" si="14"/>
        <v>122000</v>
      </c>
      <c r="L254" s="17">
        <v>7096</v>
      </c>
      <c r="N254" s="171">
        <f t="shared" si="15"/>
        <v>129096</v>
      </c>
      <c r="O254" s="91" t="s">
        <v>23</v>
      </c>
      <c r="P254" s="191"/>
      <c r="Q254" s="91" t="s">
        <v>28</v>
      </c>
    </row>
    <row r="255" spans="1:17" s="17" customFormat="1">
      <c r="A255" s="9">
        <v>44445</v>
      </c>
      <c r="B255" s="91" t="s">
        <v>313</v>
      </c>
      <c r="C255" s="123" t="s">
        <v>6297</v>
      </c>
      <c r="D255" s="92" t="s">
        <v>6298</v>
      </c>
      <c r="E255" s="856" t="s">
        <v>2667</v>
      </c>
      <c r="F255" s="856" t="s">
        <v>2668</v>
      </c>
      <c r="G255" s="56">
        <v>1</v>
      </c>
      <c r="H255" s="849">
        <v>127000</v>
      </c>
      <c r="I255" s="86">
        <f t="shared" si="13"/>
        <v>127000</v>
      </c>
      <c r="K255" s="171">
        <f t="shared" si="14"/>
        <v>127000</v>
      </c>
      <c r="N255" s="171">
        <f t="shared" si="15"/>
        <v>127000</v>
      </c>
      <c r="O255" s="91" t="s">
        <v>23</v>
      </c>
      <c r="P255" s="191"/>
      <c r="Q255" s="91" t="s">
        <v>28</v>
      </c>
    </row>
    <row r="256" spans="1:17" s="17" customFormat="1">
      <c r="A256" s="9">
        <v>44445</v>
      </c>
      <c r="B256" s="91" t="s">
        <v>43</v>
      </c>
      <c r="C256" s="123" t="s">
        <v>6299</v>
      </c>
      <c r="D256" s="92" t="s">
        <v>6300</v>
      </c>
      <c r="E256" s="740" t="s">
        <v>4574</v>
      </c>
      <c r="F256" s="740" t="s">
        <v>4048</v>
      </c>
      <c r="G256" s="56">
        <v>1</v>
      </c>
      <c r="H256" s="849">
        <v>192500</v>
      </c>
      <c r="I256" s="86">
        <f t="shared" si="13"/>
        <v>192500</v>
      </c>
      <c r="J256" s="17">
        <f>I256*20%</f>
        <v>38500</v>
      </c>
      <c r="K256" s="171">
        <f t="shared" si="14"/>
        <v>154000</v>
      </c>
      <c r="M256" s="17">
        <v>-8624</v>
      </c>
      <c r="N256" s="171">
        <f t="shared" si="15"/>
        <v>145376</v>
      </c>
      <c r="O256" s="91" t="s">
        <v>43</v>
      </c>
      <c r="P256" s="191"/>
      <c r="Q256" s="91" t="s">
        <v>54</v>
      </c>
    </row>
    <row r="257" spans="1:19" s="17" customFormat="1">
      <c r="A257" s="9">
        <v>44445</v>
      </c>
      <c r="B257" s="91" t="s">
        <v>23</v>
      </c>
      <c r="C257" s="91" t="s">
        <v>6301</v>
      </c>
      <c r="D257" s="92" t="s">
        <v>6302</v>
      </c>
      <c r="E257" s="758" t="s">
        <v>6303</v>
      </c>
      <c r="F257" s="758" t="s">
        <v>6304</v>
      </c>
      <c r="G257" s="56">
        <v>1</v>
      </c>
      <c r="H257" s="849">
        <v>113000</v>
      </c>
      <c r="I257" s="86">
        <f t="shared" ref="I257:I320" si="17">H257*G257</f>
        <v>113000</v>
      </c>
      <c r="J257" s="17">
        <f>I257*20%</f>
        <v>22600</v>
      </c>
      <c r="K257" s="171">
        <f t="shared" ref="K257:K320" si="18">I257-J257</f>
        <v>90400</v>
      </c>
      <c r="L257" s="17">
        <v>19000</v>
      </c>
      <c r="N257" s="171">
        <f t="shared" ref="N257:N320" si="19">K257+L257+M257</f>
        <v>109400</v>
      </c>
      <c r="O257" s="91" t="s">
        <v>23</v>
      </c>
      <c r="P257" s="191"/>
      <c r="Q257" s="91" t="s">
        <v>40</v>
      </c>
    </row>
    <row r="258" spans="1:19" s="17" customFormat="1">
      <c r="A258" s="9">
        <v>44446</v>
      </c>
      <c r="B258" s="91" t="s">
        <v>43</v>
      </c>
      <c r="C258" s="123" t="s">
        <v>6305</v>
      </c>
      <c r="D258" s="92" t="s">
        <v>6306</v>
      </c>
      <c r="E258" s="76" t="s">
        <v>5026</v>
      </c>
      <c r="F258" s="76" t="s">
        <v>5027</v>
      </c>
      <c r="G258" s="30">
        <v>1</v>
      </c>
      <c r="H258" s="849">
        <v>61500</v>
      </c>
      <c r="I258" s="86">
        <f t="shared" si="17"/>
        <v>61500</v>
      </c>
      <c r="K258" s="171">
        <f t="shared" si="18"/>
        <v>61500</v>
      </c>
      <c r="M258" s="17">
        <v>-3444</v>
      </c>
      <c r="N258" s="171">
        <f t="shared" si="19"/>
        <v>58056</v>
      </c>
      <c r="O258" s="91" t="s">
        <v>43</v>
      </c>
      <c r="P258" s="191"/>
      <c r="Q258" s="91" t="s">
        <v>176</v>
      </c>
    </row>
    <row r="259" spans="1:19" s="17" customFormat="1">
      <c r="A259" s="9">
        <v>44446</v>
      </c>
      <c r="B259" s="91" t="s">
        <v>177</v>
      </c>
      <c r="C259" s="91" t="s">
        <v>6307</v>
      </c>
      <c r="D259" s="92" t="s">
        <v>6308</v>
      </c>
      <c r="E259" s="76" t="s">
        <v>6309</v>
      </c>
      <c r="F259" s="76" t="s">
        <v>6310</v>
      </c>
      <c r="G259" s="30">
        <v>1</v>
      </c>
      <c r="H259" s="849">
        <v>114500</v>
      </c>
      <c r="I259" s="86">
        <f t="shared" si="17"/>
        <v>114500</v>
      </c>
      <c r="J259" s="17">
        <f>I259*20%</f>
        <v>22900</v>
      </c>
      <c r="K259" s="171">
        <f t="shared" si="18"/>
        <v>91600</v>
      </c>
      <c r="L259" s="17">
        <v>3000</v>
      </c>
      <c r="N259" s="171">
        <f t="shared" si="19"/>
        <v>94600</v>
      </c>
      <c r="O259" s="91" t="s">
        <v>177</v>
      </c>
      <c r="P259" s="191"/>
      <c r="Q259" s="91" t="s">
        <v>54</v>
      </c>
      <c r="S259" s="13"/>
    </row>
    <row r="260" spans="1:19" s="17" customFormat="1">
      <c r="A260" s="9">
        <v>44446</v>
      </c>
      <c r="B260" s="91" t="s">
        <v>23</v>
      </c>
      <c r="C260" s="123" t="s">
        <v>6311</v>
      </c>
      <c r="D260" s="92" t="s">
        <v>6312</v>
      </c>
      <c r="E260" s="76" t="s">
        <v>5542</v>
      </c>
      <c r="F260" s="739" t="s">
        <v>5543</v>
      </c>
      <c r="G260" s="30">
        <v>1</v>
      </c>
      <c r="H260" s="849">
        <v>86000</v>
      </c>
      <c r="I260" s="86">
        <f t="shared" si="17"/>
        <v>86000</v>
      </c>
      <c r="J260" s="17">
        <f>I260*20%</f>
        <v>17200</v>
      </c>
      <c r="K260" s="171">
        <f t="shared" si="18"/>
        <v>68800</v>
      </c>
      <c r="L260" s="17">
        <v>58000</v>
      </c>
      <c r="N260" s="171">
        <f t="shared" si="19"/>
        <v>126800</v>
      </c>
      <c r="O260" s="91" t="s">
        <v>23</v>
      </c>
      <c r="P260" s="191"/>
      <c r="Q260" s="91" t="s">
        <v>54</v>
      </c>
      <c r="S260" s="13"/>
    </row>
    <row r="261" spans="1:19" s="17" customFormat="1">
      <c r="A261" s="9">
        <v>44446</v>
      </c>
      <c r="B261" s="91" t="s">
        <v>23</v>
      </c>
      <c r="C261" s="123" t="s">
        <v>6313</v>
      </c>
      <c r="D261" s="92" t="s">
        <v>6314</v>
      </c>
      <c r="E261" s="739" t="s">
        <v>3583</v>
      </c>
      <c r="F261" s="739" t="s">
        <v>3584</v>
      </c>
      <c r="G261" s="30">
        <v>1</v>
      </c>
      <c r="H261" s="849">
        <v>66000</v>
      </c>
      <c r="I261" s="86">
        <f t="shared" si="17"/>
        <v>66000</v>
      </c>
      <c r="J261" s="17">
        <f>I261*20%</f>
        <v>13200</v>
      </c>
      <c r="K261" s="171">
        <f t="shared" si="18"/>
        <v>52800</v>
      </c>
      <c r="L261" s="17">
        <v>82000</v>
      </c>
      <c r="N261" s="171">
        <f t="shared" si="19"/>
        <v>134800</v>
      </c>
      <c r="O261" s="91" t="s">
        <v>23</v>
      </c>
      <c r="P261" s="191"/>
      <c r="Q261" s="91" t="s">
        <v>54</v>
      </c>
      <c r="S261" s="13"/>
    </row>
    <row r="262" spans="1:19" s="17" customFormat="1">
      <c r="A262" s="9">
        <v>44446</v>
      </c>
      <c r="B262" s="91" t="s">
        <v>23</v>
      </c>
      <c r="C262" s="91" t="s">
        <v>6315</v>
      </c>
      <c r="D262" s="92" t="s">
        <v>6316</v>
      </c>
      <c r="E262" s="739" t="s">
        <v>4980</v>
      </c>
      <c r="F262" s="739" t="s">
        <v>4981</v>
      </c>
      <c r="G262" s="30">
        <v>1</v>
      </c>
      <c r="H262" s="849">
        <v>79000</v>
      </c>
      <c r="I262" s="86">
        <f t="shared" si="17"/>
        <v>79000</v>
      </c>
      <c r="J262" s="17">
        <f>I262*20%</f>
        <v>15800</v>
      </c>
      <c r="K262" s="171">
        <f t="shared" si="18"/>
        <v>63200</v>
      </c>
      <c r="L262" s="17">
        <v>17000</v>
      </c>
      <c r="N262" s="171">
        <f t="shared" si="19"/>
        <v>80200</v>
      </c>
      <c r="O262" s="91" t="s">
        <v>23</v>
      </c>
      <c r="P262" s="191"/>
      <c r="Q262" s="91" t="s">
        <v>40</v>
      </c>
      <c r="S262" s="13"/>
    </row>
    <row r="263" spans="1:19" s="17" customFormat="1">
      <c r="A263" s="9">
        <v>44446</v>
      </c>
      <c r="B263" s="91" t="s">
        <v>23</v>
      </c>
      <c r="C263" s="123" t="s">
        <v>6317</v>
      </c>
      <c r="D263" s="92" t="s">
        <v>6318</v>
      </c>
      <c r="E263" s="857" t="s">
        <v>6319</v>
      </c>
      <c r="F263" s="857" t="s">
        <v>6320</v>
      </c>
      <c r="G263" s="30">
        <v>1</v>
      </c>
      <c r="H263" s="849">
        <v>75000</v>
      </c>
      <c r="I263" s="86">
        <f t="shared" si="17"/>
        <v>75000</v>
      </c>
      <c r="K263" s="171">
        <f t="shared" si="18"/>
        <v>75000</v>
      </c>
      <c r="L263" s="17">
        <v>50093</v>
      </c>
      <c r="N263" s="171">
        <f t="shared" si="19"/>
        <v>125093</v>
      </c>
      <c r="O263" s="91" t="s">
        <v>23</v>
      </c>
      <c r="P263" s="72"/>
      <c r="Q263" s="91" t="s">
        <v>40</v>
      </c>
    </row>
    <row r="264" spans="1:19" s="17" customFormat="1">
      <c r="A264" s="9">
        <v>44446</v>
      </c>
      <c r="B264" s="91" t="s">
        <v>23</v>
      </c>
      <c r="C264" s="123" t="s">
        <v>6317</v>
      </c>
      <c r="D264" s="92" t="s">
        <v>6318</v>
      </c>
      <c r="E264" s="857" t="s">
        <v>6321</v>
      </c>
      <c r="F264" s="857" t="s">
        <v>6322</v>
      </c>
      <c r="G264" s="30">
        <v>1</v>
      </c>
      <c r="H264" s="849">
        <v>84500</v>
      </c>
      <c r="I264" s="86">
        <f t="shared" si="17"/>
        <v>84500</v>
      </c>
      <c r="K264" s="171">
        <f t="shared" si="18"/>
        <v>84500</v>
      </c>
      <c r="N264" s="171">
        <f t="shared" si="19"/>
        <v>84500</v>
      </c>
      <c r="O264" s="91" t="s">
        <v>23</v>
      </c>
      <c r="P264" s="72"/>
      <c r="Q264" s="91" t="s">
        <v>40</v>
      </c>
    </row>
    <row r="265" spans="1:19" s="17" customFormat="1">
      <c r="A265" s="9">
        <v>44446</v>
      </c>
      <c r="B265" s="91" t="s">
        <v>23</v>
      </c>
      <c r="C265" s="123" t="s">
        <v>6323</v>
      </c>
      <c r="D265" s="92" t="s">
        <v>6324</v>
      </c>
      <c r="E265" s="76" t="s">
        <v>1056</v>
      </c>
      <c r="F265" s="76" t="s">
        <v>1057</v>
      </c>
      <c r="G265" s="30">
        <v>1</v>
      </c>
      <c r="H265" s="849">
        <v>193000</v>
      </c>
      <c r="I265" s="86">
        <f t="shared" si="17"/>
        <v>193000</v>
      </c>
      <c r="J265" s="17">
        <f>I265*20%</f>
        <v>38600</v>
      </c>
      <c r="K265" s="171">
        <f t="shared" si="18"/>
        <v>154400</v>
      </c>
      <c r="L265" s="17">
        <v>17000</v>
      </c>
      <c r="N265" s="171">
        <f t="shared" si="19"/>
        <v>171400</v>
      </c>
      <c r="O265" s="91" t="s">
        <v>23</v>
      </c>
      <c r="P265" s="183"/>
      <c r="Q265" s="91" t="s">
        <v>40</v>
      </c>
    </row>
    <row r="266" spans="1:19" s="17" customFormat="1">
      <c r="A266" s="9">
        <v>44446</v>
      </c>
      <c r="B266" s="91" t="s">
        <v>23</v>
      </c>
      <c r="C266" s="123" t="s">
        <v>6325</v>
      </c>
      <c r="D266" s="92" t="s">
        <v>6326</v>
      </c>
      <c r="E266" s="76" t="s">
        <v>800</v>
      </c>
      <c r="F266" s="76" t="s">
        <v>801</v>
      </c>
      <c r="G266" s="30">
        <v>1</v>
      </c>
      <c r="H266" s="849">
        <v>73000</v>
      </c>
      <c r="I266" s="86">
        <f t="shared" si="17"/>
        <v>73000</v>
      </c>
      <c r="J266" s="17">
        <f>I266*20%</f>
        <v>14600</v>
      </c>
      <c r="K266" s="171">
        <f t="shared" si="18"/>
        <v>58400</v>
      </c>
      <c r="L266" s="17">
        <v>57000</v>
      </c>
      <c r="N266" s="171">
        <f t="shared" si="19"/>
        <v>115400</v>
      </c>
      <c r="O266" s="91" t="s">
        <v>23</v>
      </c>
      <c r="P266" s="72"/>
      <c r="Q266" s="91" t="s">
        <v>40</v>
      </c>
    </row>
    <row r="267" spans="1:19" s="17" customFormat="1">
      <c r="A267" s="9">
        <v>44446</v>
      </c>
      <c r="B267" s="91" t="s">
        <v>23</v>
      </c>
      <c r="C267" s="123" t="s">
        <v>6327</v>
      </c>
      <c r="D267" s="92" t="s">
        <v>6328</v>
      </c>
      <c r="E267" s="781" t="s">
        <v>100</v>
      </c>
      <c r="F267" s="781" t="s">
        <v>120</v>
      </c>
      <c r="G267" s="30">
        <v>2</v>
      </c>
      <c r="H267" s="849">
        <v>136000</v>
      </c>
      <c r="I267" s="86">
        <f t="shared" si="17"/>
        <v>272000</v>
      </c>
      <c r="J267" s="17">
        <f>I267*30%</f>
        <v>81600</v>
      </c>
      <c r="K267" s="171">
        <f t="shared" si="18"/>
        <v>190400</v>
      </c>
      <c r="L267" s="17">
        <v>50000</v>
      </c>
      <c r="N267" s="171">
        <f t="shared" si="19"/>
        <v>240400</v>
      </c>
      <c r="O267" s="91" t="s">
        <v>23</v>
      </c>
      <c r="P267" s="183"/>
      <c r="Q267" s="91" t="s">
        <v>40</v>
      </c>
    </row>
    <row r="268" spans="1:19" s="17" customFormat="1">
      <c r="A268" s="9">
        <v>44446</v>
      </c>
      <c r="B268" s="91" t="s">
        <v>23</v>
      </c>
      <c r="C268" s="123" t="s">
        <v>6327</v>
      </c>
      <c r="D268" s="92" t="s">
        <v>6328</v>
      </c>
      <c r="E268" s="781" t="s">
        <v>82</v>
      </c>
      <c r="F268" s="781" t="s">
        <v>106</v>
      </c>
      <c r="G268" s="30">
        <v>2</v>
      </c>
      <c r="H268" s="849">
        <v>60000</v>
      </c>
      <c r="I268" s="86">
        <f t="shared" si="17"/>
        <v>120000</v>
      </c>
      <c r="J268" s="17">
        <f t="shared" ref="J268:J275" si="20">I268*30%</f>
        <v>36000</v>
      </c>
      <c r="K268" s="171">
        <f t="shared" si="18"/>
        <v>84000</v>
      </c>
      <c r="N268" s="171">
        <f t="shared" si="19"/>
        <v>84000</v>
      </c>
      <c r="O268" s="91" t="s">
        <v>23</v>
      </c>
      <c r="P268" s="183"/>
      <c r="Q268" s="91" t="s">
        <v>40</v>
      </c>
      <c r="S268" s="13"/>
    </row>
    <row r="269" spans="1:19" s="17" customFormat="1">
      <c r="A269" s="9">
        <v>44446</v>
      </c>
      <c r="B269" s="91" t="s">
        <v>23</v>
      </c>
      <c r="C269" s="123" t="s">
        <v>6327</v>
      </c>
      <c r="D269" s="92" t="s">
        <v>6328</v>
      </c>
      <c r="E269" s="781" t="s">
        <v>84</v>
      </c>
      <c r="F269" s="781" t="s">
        <v>6329</v>
      </c>
      <c r="G269" s="30">
        <v>2</v>
      </c>
      <c r="H269" s="849">
        <v>107000</v>
      </c>
      <c r="I269" s="86">
        <f t="shared" si="17"/>
        <v>214000</v>
      </c>
      <c r="J269" s="17">
        <f t="shared" si="20"/>
        <v>64200</v>
      </c>
      <c r="K269" s="171">
        <f t="shared" si="18"/>
        <v>149800</v>
      </c>
      <c r="N269" s="171">
        <f t="shared" si="19"/>
        <v>149800</v>
      </c>
      <c r="O269" s="91" t="s">
        <v>23</v>
      </c>
      <c r="P269" s="183"/>
      <c r="Q269" s="91" t="s">
        <v>40</v>
      </c>
    </row>
    <row r="270" spans="1:19" s="17" customFormat="1">
      <c r="A270" s="9">
        <v>44446</v>
      </c>
      <c r="B270" s="91" t="s">
        <v>23</v>
      </c>
      <c r="C270" s="123" t="s">
        <v>6327</v>
      </c>
      <c r="D270" s="92" t="s">
        <v>6328</v>
      </c>
      <c r="E270" s="781" t="s">
        <v>87</v>
      </c>
      <c r="F270" s="781" t="s">
        <v>110</v>
      </c>
      <c r="G270" s="30">
        <v>2</v>
      </c>
      <c r="H270" s="849">
        <v>75000</v>
      </c>
      <c r="I270" s="86">
        <f t="shared" si="17"/>
        <v>150000</v>
      </c>
      <c r="J270" s="17">
        <f t="shared" si="20"/>
        <v>45000</v>
      </c>
      <c r="K270" s="171">
        <f t="shared" si="18"/>
        <v>105000</v>
      </c>
      <c r="N270" s="171">
        <f t="shared" si="19"/>
        <v>105000</v>
      </c>
      <c r="O270" s="91" t="s">
        <v>23</v>
      </c>
      <c r="P270" s="183"/>
      <c r="Q270" s="91" t="s">
        <v>40</v>
      </c>
    </row>
    <row r="271" spans="1:19" s="17" customFormat="1">
      <c r="A271" s="9">
        <v>44446</v>
      </c>
      <c r="B271" s="91" t="s">
        <v>23</v>
      </c>
      <c r="C271" s="123" t="s">
        <v>6327</v>
      </c>
      <c r="D271" s="92" t="s">
        <v>6328</v>
      </c>
      <c r="E271" s="760" t="s">
        <v>104</v>
      </c>
      <c r="F271" s="760" t="s">
        <v>127</v>
      </c>
      <c r="G271" s="30">
        <v>2</v>
      </c>
      <c r="H271" s="849">
        <v>82500</v>
      </c>
      <c r="I271" s="86">
        <f t="shared" si="17"/>
        <v>165000</v>
      </c>
      <c r="J271" s="17">
        <f t="shared" si="20"/>
        <v>49500</v>
      </c>
      <c r="K271" s="171">
        <f t="shared" si="18"/>
        <v>115500</v>
      </c>
      <c r="N271" s="171">
        <f t="shared" si="19"/>
        <v>115500</v>
      </c>
      <c r="O271" s="91" t="s">
        <v>23</v>
      </c>
      <c r="P271" s="183"/>
      <c r="Q271" s="91" t="s">
        <v>40</v>
      </c>
    </row>
    <row r="272" spans="1:19" s="17" customFormat="1">
      <c r="A272" s="9">
        <v>44446</v>
      </c>
      <c r="B272" s="91" t="s">
        <v>23</v>
      </c>
      <c r="C272" s="123" t="s">
        <v>6327</v>
      </c>
      <c r="D272" s="92" t="s">
        <v>6328</v>
      </c>
      <c r="E272" s="781" t="s">
        <v>97</v>
      </c>
      <c r="F272" s="781" t="s">
        <v>1423</v>
      </c>
      <c r="G272" s="30">
        <v>2</v>
      </c>
      <c r="H272" s="849">
        <v>85500</v>
      </c>
      <c r="I272" s="86">
        <f t="shared" si="17"/>
        <v>171000</v>
      </c>
      <c r="J272" s="17">
        <f t="shared" si="20"/>
        <v>51300</v>
      </c>
      <c r="K272" s="171">
        <f t="shared" si="18"/>
        <v>119700</v>
      </c>
      <c r="N272" s="171">
        <f t="shared" si="19"/>
        <v>119700</v>
      </c>
      <c r="O272" s="91" t="s">
        <v>23</v>
      </c>
      <c r="P272" s="72"/>
      <c r="Q272" s="91" t="s">
        <v>40</v>
      </c>
    </row>
    <row r="273" spans="1:23" s="17" customFormat="1">
      <c r="A273" s="9">
        <v>44446</v>
      </c>
      <c r="B273" s="91" t="s">
        <v>23</v>
      </c>
      <c r="C273" s="123" t="s">
        <v>6327</v>
      </c>
      <c r="D273" s="92" t="s">
        <v>6328</v>
      </c>
      <c r="E273" s="781" t="s">
        <v>1415</v>
      </c>
      <c r="F273" s="781" t="s">
        <v>1416</v>
      </c>
      <c r="G273" s="30">
        <v>2</v>
      </c>
      <c r="H273" s="849">
        <v>105000</v>
      </c>
      <c r="I273" s="86">
        <f t="shared" si="17"/>
        <v>210000</v>
      </c>
      <c r="J273" s="17">
        <f t="shared" si="20"/>
        <v>63000</v>
      </c>
      <c r="K273" s="171">
        <f t="shared" si="18"/>
        <v>147000</v>
      </c>
      <c r="N273" s="171">
        <f t="shared" si="19"/>
        <v>147000</v>
      </c>
      <c r="O273" s="91" t="s">
        <v>23</v>
      </c>
      <c r="P273" s="72"/>
      <c r="Q273" s="91" t="s">
        <v>40</v>
      </c>
    </row>
    <row r="274" spans="1:23" s="17" customFormat="1">
      <c r="A274" s="9">
        <v>44446</v>
      </c>
      <c r="B274" s="91" t="s">
        <v>23</v>
      </c>
      <c r="C274" s="123" t="s">
        <v>6327</v>
      </c>
      <c r="D274" s="92" t="s">
        <v>6328</v>
      </c>
      <c r="E274" s="781" t="s">
        <v>4999</v>
      </c>
      <c r="F274" s="781" t="s">
        <v>5000</v>
      </c>
      <c r="G274" s="30">
        <v>2</v>
      </c>
      <c r="H274" s="849">
        <v>124500</v>
      </c>
      <c r="I274" s="86">
        <f t="shared" si="17"/>
        <v>249000</v>
      </c>
      <c r="J274" s="17">
        <f t="shared" si="20"/>
        <v>74700</v>
      </c>
      <c r="K274" s="171">
        <f t="shared" si="18"/>
        <v>174300</v>
      </c>
      <c r="N274" s="171">
        <f t="shared" si="19"/>
        <v>174300</v>
      </c>
      <c r="O274" s="91" t="s">
        <v>23</v>
      </c>
      <c r="P274" s="183"/>
      <c r="Q274" s="91" t="s">
        <v>40</v>
      </c>
    </row>
    <row r="275" spans="1:23" s="17" customFormat="1">
      <c r="A275" s="9">
        <v>44446</v>
      </c>
      <c r="B275" s="91" t="s">
        <v>23</v>
      </c>
      <c r="C275" s="123" t="s">
        <v>6327</v>
      </c>
      <c r="D275" s="92" t="s">
        <v>6328</v>
      </c>
      <c r="E275" s="760" t="s">
        <v>6330</v>
      </c>
      <c r="F275" s="760" t="s">
        <v>6331</v>
      </c>
      <c r="G275" s="30">
        <v>2</v>
      </c>
      <c r="H275" s="849">
        <v>137000</v>
      </c>
      <c r="I275" s="86">
        <f t="shared" si="17"/>
        <v>274000</v>
      </c>
      <c r="J275" s="17">
        <f t="shared" si="20"/>
        <v>82200</v>
      </c>
      <c r="K275" s="171">
        <f t="shared" si="18"/>
        <v>191800</v>
      </c>
      <c r="N275" s="171">
        <f t="shared" si="19"/>
        <v>191800</v>
      </c>
      <c r="O275" s="91" t="s">
        <v>23</v>
      </c>
      <c r="P275" s="183"/>
      <c r="Q275" s="91" t="s">
        <v>40</v>
      </c>
    </row>
    <row r="276" spans="1:23" s="17" customFormat="1">
      <c r="A276" s="9">
        <v>44446</v>
      </c>
      <c r="B276" s="91" t="s">
        <v>23</v>
      </c>
      <c r="C276" s="91" t="s">
        <v>6332</v>
      </c>
      <c r="D276" s="92" t="s">
        <v>6333</v>
      </c>
      <c r="E276" s="739" t="s">
        <v>6334</v>
      </c>
      <c r="F276" s="739" t="s">
        <v>6335</v>
      </c>
      <c r="G276" s="30">
        <v>1</v>
      </c>
      <c r="H276" s="849">
        <v>180000</v>
      </c>
      <c r="I276" s="86">
        <f t="shared" si="17"/>
        <v>180000</v>
      </c>
      <c r="K276" s="171">
        <f t="shared" si="18"/>
        <v>180000</v>
      </c>
      <c r="L276" s="17">
        <v>7060</v>
      </c>
      <c r="N276" s="171">
        <f t="shared" si="19"/>
        <v>187060</v>
      </c>
      <c r="O276" s="91" t="s">
        <v>23</v>
      </c>
      <c r="P276" s="183"/>
      <c r="Q276" s="91" t="s">
        <v>28</v>
      </c>
    </row>
    <row r="277" spans="1:23" s="17" customFormat="1">
      <c r="A277" s="9">
        <v>44446</v>
      </c>
      <c r="B277" s="91" t="s">
        <v>23</v>
      </c>
      <c r="C277" s="123" t="s">
        <v>5930</v>
      </c>
      <c r="D277" s="92" t="s">
        <v>6336</v>
      </c>
      <c r="E277" s="754" t="s">
        <v>5627</v>
      </c>
      <c r="F277" s="754" t="s">
        <v>5628</v>
      </c>
      <c r="G277" s="30">
        <v>1</v>
      </c>
      <c r="H277" s="849">
        <v>37000</v>
      </c>
      <c r="I277" s="86">
        <f t="shared" si="17"/>
        <v>37000</v>
      </c>
      <c r="J277" s="17">
        <f>I277*20%</f>
        <v>7400</v>
      </c>
      <c r="K277" s="171">
        <f t="shared" si="18"/>
        <v>29600</v>
      </c>
      <c r="L277" s="17">
        <v>16000</v>
      </c>
      <c r="N277" s="171">
        <f t="shared" si="19"/>
        <v>45600</v>
      </c>
      <c r="O277" s="91" t="s">
        <v>23</v>
      </c>
      <c r="P277" s="183"/>
      <c r="Q277" s="91" t="s">
        <v>40</v>
      </c>
    </row>
    <row r="278" spans="1:23" s="17" customFormat="1">
      <c r="A278" s="9">
        <v>44446</v>
      </c>
      <c r="B278" s="91" t="s">
        <v>23</v>
      </c>
      <c r="C278" s="123" t="s">
        <v>5930</v>
      </c>
      <c r="D278" s="92" t="s">
        <v>6336</v>
      </c>
      <c r="E278" s="754" t="s">
        <v>6337</v>
      </c>
      <c r="F278" s="754" t="s">
        <v>6338</v>
      </c>
      <c r="G278" s="30">
        <v>1</v>
      </c>
      <c r="H278" s="849">
        <v>90000</v>
      </c>
      <c r="I278" s="86">
        <f t="shared" si="17"/>
        <v>90000</v>
      </c>
      <c r="J278" s="17">
        <f t="shared" ref="J278:J279" si="21">I278*20%</f>
        <v>18000</v>
      </c>
      <c r="K278" s="171">
        <f t="shared" si="18"/>
        <v>72000</v>
      </c>
      <c r="N278" s="171">
        <f t="shared" si="19"/>
        <v>72000</v>
      </c>
      <c r="O278" s="91" t="s">
        <v>23</v>
      </c>
      <c r="P278" s="72"/>
      <c r="Q278" s="91" t="s">
        <v>40</v>
      </c>
    </row>
    <row r="279" spans="1:23" s="17" customFormat="1">
      <c r="A279" s="9">
        <v>44446</v>
      </c>
      <c r="B279" s="91" t="s">
        <v>23</v>
      </c>
      <c r="C279" s="123" t="s">
        <v>5930</v>
      </c>
      <c r="D279" s="92" t="s">
        <v>6336</v>
      </c>
      <c r="E279" s="754" t="s">
        <v>2402</v>
      </c>
      <c r="F279" s="754" t="s">
        <v>2403</v>
      </c>
      <c r="G279" s="30">
        <v>1</v>
      </c>
      <c r="H279" s="849">
        <v>55000</v>
      </c>
      <c r="I279" s="86">
        <f t="shared" si="17"/>
        <v>55000</v>
      </c>
      <c r="J279" s="17">
        <f t="shared" si="21"/>
        <v>11000</v>
      </c>
      <c r="K279" s="171">
        <f t="shared" si="18"/>
        <v>44000</v>
      </c>
      <c r="N279" s="171">
        <f t="shared" si="19"/>
        <v>44000</v>
      </c>
      <c r="O279" s="91" t="s">
        <v>23</v>
      </c>
      <c r="P279" s="183"/>
      <c r="Q279" s="91" t="s">
        <v>40</v>
      </c>
    </row>
    <row r="280" spans="1:23" s="17" customFormat="1">
      <c r="A280" s="9">
        <v>44446</v>
      </c>
      <c r="B280" s="91" t="s">
        <v>23</v>
      </c>
      <c r="C280" s="91" t="s">
        <v>6339</v>
      </c>
      <c r="D280" s="92" t="s">
        <v>6340</v>
      </c>
      <c r="E280" s="739" t="s">
        <v>2820</v>
      </c>
      <c r="F280" s="739" t="s">
        <v>2821</v>
      </c>
      <c r="G280" s="30">
        <v>1</v>
      </c>
      <c r="H280" s="849">
        <v>340000</v>
      </c>
      <c r="I280" s="86">
        <f t="shared" si="17"/>
        <v>340000</v>
      </c>
      <c r="J280" s="17">
        <f>I280*20%</f>
        <v>68000</v>
      </c>
      <c r="K280" s="171">
        <f t="shared" si="18"/>
        <v>272000</v>
      </c>
      <c r="L280" s="17">
        <v>16000</v>
      </c>
      <c r="N280" s="171">
        <f t="shared" si="19"/>
        <v>288000</v>
      </c>
      <c r="O280" s="91" t="s">
        <v>23</v>
      </c>
      <c r="P280" s="72"/>
      <c r="Q280" s="91" t="s">
        <v>40</v>
      </c>
    </row>
    <row r="281" spans="1:23" s="17" customFormat="1">
      <c r="A281" s="9">
        <v>44446</v>
      </c>
      <c r="B281" s="91" t="s">
        <v>170</v>
      </c>
      <c r="C281" s="123" t="s">
        <v>6341</v>
      </c>
      <c r="D281" s="92" t="s">
        <v>6342</v>
      </c>
      <c r="E281" s="76" t="s">
        <v>6343</v>
      </c>
      <c r="F281" s="739" t="s">
        <v>6344</v>
      </c>
      <c r="G281" s="30">
        <v>1</v>
      </c>
      <c r="H281" s="849">
        <v>75000</v>
      </c>
      <c r="I281" s="86">
        <f t="shared" si="17"/>
        <v>75000</v>
      </c>
      <c r="K281" s="171">
        <f t="shared" si="18"/>
        <v>75000</v>
      </c>
      <c r="L281" s="17">
        <f>75000-75000</f>
        <v>0</v>
      </c>
      <c r="M281" s="17">
        <v>-375</v>
      </c>
      <c r="N281" s="171">
        <f t="shared" si="19"/>
        <v>74625</v>
      </c>
      <c r="O281" s="91" t="s">
        <v>170</v>
      </c>
      <c r="P281" s="72"/>
      <c r="Q281" s="91" t="s">
        <v>40</v>
      </c>
    </row>
    <row r="282" spans="1:23" s="17" customFormat="1">
      <c r="A282" s="9">
        <v>44446</v>
      </c>
      <c r="B282" s="91" t="s">
        <v>23</v>
      </c>
      <c r="C282" s="91" t="s">
        <v>6345</v>
      </c>
      <c r="D282" s="92" t="s">
        <v>6346</v>
      </c>
      <c r="E282" s="754" t="s">
        <v>6347</v>
      </c>
      <c r="F282" s="754" t="s">
        <v>6348</v>
      </c>
      <c r="G282" s="30">
        <v>1</v>
      </c>
      <c r="H282" s="849">
        <v>78000</v>
      </c>
      <c r="I282" s="86">
        <f t="shared" si="17"/>
        <v>78000</v>
      </c>
      <c r="J282" s="17">
        <f>I282*20%</f>
        <v>15600</v>
      </c>
      <c r="K282" s="171">
        <f t="shared" si="18"/>
        <v>62400</v>
      </c>
      <c r="L282" s="17">
        <v>16000</v>
      </c>
      <c r="N282" s="171">
        <f t="shared" si="19"/>
        <v>78400</v>
      </c>
      <c r="O282" s="91" t="s">
        <v>23</v>
      </c>
      <c r="P282" s="72"/>
      <c r="Q282" s="91" t="s">
        <v>40</v>
      </c>
    </row>
    <row r="283" spans="1:23" s="17" customFormat="1">
      <c r="A283" s="9">
        <v>44446</v>
      </c>
      <c r="B283" s="91" t="s">
        <v>23</v>
      </c>
      <c r="C283" s="91" t="s">
        <v>6345</v>
      </c>
      <c r="D283" s="92" t="s">
        <v>6349</v>
      </c>
      <c r="E283" s="754" t="s">
        <v>6350</v>
      </c>
      <c r="F283" s="754" t="s">
        <v>6351</v>
      </c>
      <c r="G283" s="30">
        <v>1</v>
      </c>
      <c r="H283" s="849">
        <v>164000</v>
      </c>
      <c r="I283" s="86">
        <f t="shared" si="17"/>
        <v>164000</v>
      </c>
      <c r="J283" s="17">
        <f>I283*20%</f>
        <v>32800</v>
      </c>
      <c r="K283" s="171">
        <f t="shared" si="18"/>
        <v>131200</v>
      </c>
      <c r="N283" s="171">
        <f t="shared" si="19"/>
        <v>131200</v>
      </c>
      <c r="O283" s="91" t="s">
        <v>23</v>
      </c>
      <c r="P283" s="183"/>
      <c r="Q283" s="91" t="s">
        <v>40</v>
      </c>
    </row>
    <row r="284" spans="1:23" s="17" customFormat="1">
      <c r="A284" s="9">
        <v>44447</v>
      </c>
      <c r="B284" s="91" t="s">
        <v>43</v>
      </c>
      <c r="C284" s="91" t="s">
        <v>6352</v>
      </c>
      <c r="D284" s="92" t="s">
        <v>6353</v>
      </c>
      <c r="E284" s="739" t="s">
        <v>3752</v>
      </c>
      <c r="F284" s="739" t="s">
        <v>3753</v>
      </c>
      <c r="G284" s="30">
        <v>1</v>
      </c>
      <c r="H284" s="849">
        <v>87000</v>
      </c>
      <c r="I284" s="86">
        <f t="shared" si="17"/>
        <v>87000</v>
      </c>
      <c r="K284" s="171">
        <f t="shared" si="18"/>
        <v>87000</v>
      </c>
      <c r="M284" s="17">
        <v>-4872</v>
      </c>
      <c r="N284" s="171">
        <f t="shared" si="19"/>
        <v>82128</v>
      </c>
      <c r="O284" s="91" t="s">
        <v>43</v>
      </c>
      <c r="P284" s="92"/>
      <c r="Q284" s="91" t="s">
        <v>54</v>
      </c>
    </row>
    <row r="285" spans="1:23" s="17" customFormat="1">
      <c r="A285" s="9">
        <v>44447</v>
      </c>
      <c r="B285" s="91" t="s">
        <v>43</v>
      </c>
      <c r="C285" s="123" t="s">
        <v>6354</v>
      </c>
      <c r="D285" s="92" t="s">
        <v>6355</v>
      </c>
      <c r="E285" s="781" t="s">
        <v>5774</v>
      </c>
      <c r="F285" s="781" t="s">
        <v>5419</v>
      </c>
      <c r="G285" s="30">
        <v>1</v>
      </c>
      <c r="H285" s="849">
        <v>115500</v>
      </c>
      <c r="I285" s="86">
        <f t="shared" si="17"/>
        <v>115500</v>
      </c>
      <c r="K285" s="171">
        <f t="shared" si="18"/>
        <v>115500</v>
      </c>
      <c r="M285" s="17">
        <v>-11508</v>
      </c>
      <c r="N285" s="171">
        <f t="shared" si="19"/>
        <v>103992</v>
      </c>
      <c r="O285" s="91" t="s">
        <v>43</v>
      </c>
      <c r="P285" s="72"/>
      <c r="Q285" s="91" t="s">
        <v>54</v>
      </c>
    </row>
    <row r="286" spans="1:23" s="20" customFormat="1">
      <c r="A286" s="9">
        <v>44447</v>
      </c>
      <c r="B286" s="91" t="s">
        <v>43</v>
      </c>
      <c r="C286" s="123" t="s">
        <v>6354</v>
      </c>
      <c r="D286" s="92" t="s">
        <v>6355</v>
      </c>
      <c r="E286" s="781" t="s">
        <v>5778</v>
      </c>
      <c r="F286" s="781" t="s">
        <v>5779</v>
      </c>
      <c r="G286" s="30">
        <v>1</v>
      </c>
      <c r="H286" s="849">
        <v>90000</v>
      </c>
      <c r="I286" s="86">
        <f t="shared" si="17"/>
        <v>90000</v>
      </c>
      <c r="J286" s="17"/>
      <c r="K286" s="171">
        <f t="shared" si="18"/>
        <v>90000</v>
      </c>
      <c r="L286" s="17"/>
      <c r="M286" s="17"/>
      <c r="N286" s="171">
        <f t="shared" si="19"/>
        <v>90000</v>
      </c>
      <c r="O286" s="91" t="s">
        <v>43</v>
      </c>
      <c r="P286" s="183"/>
      <c r="Q286" s="91" t="s">
        <v>54</v>
      </c>
      <c r="R286" s="17"/>
      <c r="S286" s="17"/>
      <c r="T286" s="17"/>
      <c r="U286" s="17"/>
      <c r="V286" s="17"/>
      <c r="W286" s="17"/>
    </row>
    <row r="287" spans="1:23" s="20" customFormat="1">
      <c r="A287" s="9">
        <v>44447</v>
      </c>
      <c r="B287" s="91" t="s">
        <v>43</v>
      </c>
      <c r="C287" s="123" t="s">
        <v>6356</v>
      </c>
      <c r="D287" s="92" t="s">
        <v>6357</v>
      </c>
      <c r="E287" s="76" t="s">
        <v>1911</v>
      </c>
      <c r="F287" s="76" t="s">
        <v>1912</v>
      </c>
      <c r="G287" s="30">
        <v>1</v>
      </c>
      <c r="H287" s="849">
        <v>98000</v>
      </c>
      <c r="I287" s="86">
        <f t="shared" si="17"/>
        <v>98000</v>
      </c>
      <c r="J287" s="17"/>
      <c r="K287" s="171">
        <f t="shared" si="18"/>
        <v>98000</v>
      </c>
      <c r="L287" s="17"/>
      <c r="M287" s="17">
        <v>-5488</v>
      </c>
      <c r="N287" s="171">
        <f t="shared" si="19"/>
        <v>92512</v>
      </c>
      <c r="O287" s="91" t="s">
        <v>43</v>
      </c>
      <c r="P287" s="72"/>
      <c r="Q287" s="91" t="s">
        <v>54</v>
      </c>
      <c r="R287" s="17"/>
      <c r="S287" s="17"/>
      <c r="T287" s="17"/>
      <c r="U287" s="17"/>
      <c r="V287" s="17"/>
      <c r="W287" s="17"/>
    </row>
    <row r="288" spans="1:23" s="20" customFormat="1">
      <c r="A288" s="9">
        <v>44447</v>
      </c>
      <c r="B288" s="91" t="s">
        <v>23</v>
      </c>
      <c r="C288" s="123" t="s">
        <v>6358</v>
      </c>
      <c r="D288" s="29" t="s">
        <v>6359</v>
      </c>
      <c r="E288" s="781" t="s">
        <v>6360</v>
      </c>
      <c r="F288" s="781" t="s">
        <v>6361</v>
      </c>
      <c r="G288" s="30">
        <v>1</v>
      </c>
      <c r="H288" s="849">
        <v>115000</v>
      </c>
      <c r="I288" s="86">
        <f t="shared" si="17"/>
        <v>115000</v>
      </c>
      <c r="J288" s="17">
        <f>I288*20%</f>
        <v>23000</v>
      </c>
      <c r="K288" s="171">
        <f t="shared" si="18"/>
        <v>92000</v>
      </c>
      <c r="L288" s="17">
        <v>32000</v>
      </c>
      <c r="N288" s="171">
        <f t="shared" si="19"/>
        <v>124000</v>
      </c>
      <c r="O288" s="91" t="s">
        <v>23</v>
      </c>
      <c r="P288" s="183"/>
      <c r="Q288" s="91" t="s">
        <v>40</v>
      </c>
      <c r="R288" s="17"/>
      <c r="S288" s="17"/>
      <c r="T288" s="17"/>
      <c r="U288" s="17"/>
      <c r="V288" s="17"/>
      <c r="W288" s="17"/>
    </row>
    <row r="289" spans="1:23" s="20" customFormat="1">
      <c r="A289" s="9">
        <v>44447</v>
      </c>
      <c r="B289" s="91" t="s">
        <v>23</v>
      </c>
      <c r="C289" s="123" t="s">
        <v>6358</v>
      </c>
      <c r="D289" s="29" t="s">
        <v>6359</v>
      </c>
      <c r="E289" s="781" t="s">
        <v>6362</v>
      </c>
      <c r="F289" s="781" t="s">
        <v>6363</v>
      </c>
      <c r="G289" s="30">
        <v>1</v>
      </c>
      <c r="H289" s="849">
        <v>130000</v>
      </c>
      <c r="I289" s="86">
        <f t="shared" si="17"/>
        <v>130000</v>
      </c>
      <c r="J289" s="17">
        <f t="shared" ref="J289:J292" si="22">I289*20%</f>
        <v>26000</v>
      </c>
      <c r="K289" s="171">
        <f t="shared" si="18"/>
        <v>104000</v>
      </c>
      <c r="L289" s="17"/>
      <c r="M289" s="17"/>
      <c r="N289" s="171">
        <f t="shared" si="19"/>
        <v>104000</v>
      </c>
      <c r="O289" s="91" t="s">
        <v>23</v>
      </c>
      <c r="P289" s="72"/>
      <c r="Q289" s="91" t="s">
        <v>40</v>
      </c>
      <c r="R289" s="17"/>
      <c r="S289" s="17"/>
      <c r="T289" s="17"/>
      <c r="U289" s="17"/>
      <c r="V289" s="17"/>
      <c r="W289" s="17"/>
    </row>
    <row r="290" spans="1:23" s="20" customFormat="1">
      <c r="A290" s="9">
        <v>44447</v>
      </c>
      <c r="B290" s="91" t="s">
        <v>23</v>
      </c>
      <c r="C290" s="123" t="s">
        <v>6358</v>
      </c>
      <c r="D290" s="29" t="s">
        <v>6359</v>
      </c>
      <c r="E290" s="781" t="s">
        <v>6364</v>
      </c>
      <c r="F290" s="781" t="s">
        <v>6365</v>
      </c>
      <c r="G290" s="30">
        <v>1</v>
      </c>
      <c r="H290" s="849">
        <v>93000</v>
      </c>
      <c r="I290" s="86">
        <f t="shared" si="17"/>
        <v>93000</v>
      </c>
      <c r="J290" s="17">
        <f t="shared" si="22"/>
        <v>18600</v>
      </c>
      <c r="K290" s="171">
        <f t="shared" si="18"/>
        <v>74400</v>
      </c>
      <c r="L290" s="17"/>
      <c r="M290" s="17"/>
      <c r="N290" s="171">
        <f t="shared" si="19"/>
        <v>74400</v>
      </c>
      <c r="O290" s="91" t="s">
        <v>23</v>
      </c>
      <c r="P290" s="183"/>
      <c r="Q290" s="91" t="s">
        <v>40</v>
      </c>
      <c r="R290" s="17"/>
      <c r="S290" s="17"/>
      <c r="T290" s="17"/>
      <c r="U290" s="17"/>
      <c r="V290" s="17"/>
      <c r="W290" s="17"/>
    </row>
    <row r="291" spans="1:23" s="20" customFormat="1">
      <c r="A291" s="9">
        <v>44447</v>
      </c>
      <c r="B291" s="91" t="s">
        <v>23</v>
      </c>
      <c r="C291" s="123" t="s">
        <v>6358</v>
      </c>
      <c r="D291" s="29" t="s">
        <v>6359</v>
      </c>
      <c r="E291" s="760" t="s">
        <v>5731</v>
      </c>
      <c r="F291" s="760" t="s">
        <v>5732</v>
      </c>
      <c r="G291" s="30">
        <v>1</v>
      </c>
      <c r="H291" s="849">
        <v>98000</v>
      </c>
      <c r="I291" s="86">
        <f t="shared" si="17"/>
        <v>98000</v>
      </c>
      <c r="J291" s="17">
        <f t="shared" si="22"/>
        <v>19600</v>
      </c>
      <c r="K291" s="171">
        <f t="shared" si="18"/>
        <v>78400</v>
      </c>
      <c r="L291" s="17"/>
      <c r="M291" s="17"/>
      <c r="N291" s="171">
        <f t="shared" si="19"/>
        <v>78400</v>
      </c>
      <c r="O291" s="91" t="s">
        <v>23</v>
      </c>
      <c r="P291" s="72"/>
      <c r="Q291" s="91" t="s">
        <v>40</v>
      </c>
      <c r="R291" s="17"/>
      <c r="S291" s="17"/>
      <c r="T291" s="17"/>
      <c r="U291" s="17"/>
      <c r="V291" s="17"/>
      <c r="W291" s="17"/>
    </row>
    <row r="292" spans="1:23" s="20" customFormat="1">
      <c r="A292" s="9">
        <v>44447</v>
      </c>
      <c r="B292" s="91" t="s">
        <v>23</v>
      </c>
      <c r="C292" s="123" t="s">
        <v>6358</v>
      </c>
      <c r="D292" s="29" t="s">
        <v>6359</v>
      </c>
      <c r="E292" s="760" t="s">
        <v>3282</v>
      </c>
      <c r="F292" s="760" t="s">
        <v>3283</v>
      </c>
      <c r="G292" s="30">
        <v>1</v>
      </c>
      <c r="H292" s="849">
        <v>166000</v>
      </c>
      <c r="I292" s="86">
        <f t="shared" si="17"/>
        <v>166000</v>
      </c>
      <c r="J292" s="17">
        <f t="shared" si="22"/>
        <v>33200</v>
      </c>
      <c r="K292" s="171">
        <f t="shared" si="18"/>
        <v>132800</v>
      </c>
      <c r="L292" s="17"/>
      <c r="M292" s="17"/>
      <c r="N292" s="171">
        <f t="shared" si="19"/>
        <v>132800</v>
      </c>
      <c r="O292" s="91" t="s">
        <v>23</v>
      </c>
      <c r="P292" s="183"/>
      <c r="Q292" s="91" t="s">
        <v>40</v>
      </c>
      <c r="R292" s="17"/>
      <c r="S292" s="17"/>
      <c r="T292" s="17"/>
      <c r="U292" s="17"/>
      <c r="V292" s="17"/>
      <c r="W292" s="17"/>
    </row>
    <row r="293" spans="1:23" s="20" customFormat="1">
      <c r="A293" s="9">
        <v>44447</v>
      </c>
      <c r="B293" s="91" t="s">
        <v>206</v>
      </c>
      <c r="C293" s="91" t="s">
        <v>6366</v>
      </c>
      <c r="D293" s="29" t="s">
        <v>6367</v>
      </c>
      <c r="E293" s="76" t="s">
        <v>568</v>
      </c>
      <c r="F293" s="76" t="s">
        <v>569</v>
      </c>
      <c r="G293" s="30">
        <v>1</v>
      </c>
      <c r="H293" s="849">
        <v>66000</v>
      </c>
      <c r="I293" s="86">
        <f t="shared" si="17"/>
        <v>66000</v>
      </c>
      <c r="J293" s="17"/>
      <c r="K293" s="171">
        <f t="shared" si="18"/>
        <v>66000</v>
      </c>
      <c r="L293" s="17">
        <f>39500-39000</f>
        <v>500</v>
      </c>
      <c r="M293" s="17"/>
      <c r="N293" s="171">
        <f t="shared" si="19"/>
        <v>66500</v>
      </c>
      <c r="O293" s="91" t="s">
        <v>206</v>
      </c>
      <c r="P293" s="183"/>
      <c r="Q293" s="91" t="s">
        <v>328</v>
      </c>
      <c r="R293" s="17"/>
      <c r="S293" s="17"/>
      <c r="T293" s="17"/>
      <c r="U293" s="17"/>
      <c r="V293" s="17"/>
      <c r="W293" s="17"/>
    </row>
    <row r="294" spans="1:23" s="20" customFormat="1">
      <c r="A294" s="9">
        <v>44447</v>
      </c>
      <c r="B294" s="91" t="s">
        <v>23</v>
      </c>
      <c r="C294" s="123" t="s">
        <v>6368</v>
      </c>
      <c r="D294" s="29" t="s">
        <v>6369</v>
      </c>
      <c r="E294" s="76" t="s">
        <v>3016</v>
      </c>
      <c r="F294" s="76" t="s">
        <v>3017</v>
      </c>
      <c r="G294" s="30">
        <v>1</v>
      </c>
      <c r="H294" s="849">
        <v>103000</v>
      </c>
      <c r="I294" s="86">
        <f t="shared" si="17"/>
        <v>103000</v>
      </c>
      <c r="J294" s="17">
        <f>I294*20%</f>
        <v>20600</v>
      </c>
      <c r="K294" s="171">
        <f t="shared" si="18"/>
        <v>82400</v>
      </c>
      <c r="L294" s="17">
        <v>16000</v>
      </c>
      <c r="M294" s="17"/>
      <c r="N294" s="171">
        <f t="shared" si="19"/>
        <v>98400</v>
      </c>
      <c r="O294" s="91" t="s">
        <v>23</v>
      </c>
      <c r="P294" s="183"/>
      <c r="Q294" s="10" t="s">
        <v>4699</v>
      </c>
      <c r="R294" s="17"/>
      <c r="S294" s="17"/>
      <c r="T294" s="17"/>
      <c r="U294" s="17"/>
      <c r="V294" s="17"/>
      <c r="W294" s="17"/>
    </row>
    <row r="295" spans="1:23" s="20" customFormat="1">
      <c r="A295" s="9">
        <v>44448</v>
      </c>
      <c r="B295" s="10" t="s">
        <v>43</v>
      </c>
      <c r="C295" s="11" t="s">
        <v>5318</v>
      </c>
      <c r="D295" s="29" t="s">
        <v>6370</v>
      </c>
      <c r="E295" s="76" t="s">
        <v>407</v>
      </c>
      <c r="F295" s="76" t="s">
        <v>408</v>
      </c>
      <c r="G295" s="30">
        <v>1</v>
      </c>
      <c r="H295" s="849">
        <v>68500</v>
      </c>
      <c r="I295" s="86">
        <f t="shared" si="17"/>
        <v>68500</v>
      </c>
      <c r="J295" s="17"/>
      <c r="K295" s="171">
        <f t="shared" si="18"/>
        <v>68500</v>
      </c>
      <c r="L295" s="17"/>
      <c r="M295" s="17">
        <v>-3836</v>
      </c>
      <c r="N295" s="171">
        <f t="shared" si="19"/>
        <v>64664</v>
      </c>
      <c r="O295" s="10" t="s">
        <v>43</v>
      </c>
      <c r="P295" s="183"/>
      <c r="Q295" s="10" t="s">
        <v>54</v>
      </c>
      <c r="R295" s="17"/>
      <c r="S295" s="17"/>
      <c r="T295" s="17"/>
      <c r="U295" s="17"/>
      <c r="V295" s="17"/>
      <c r="W295" s="17"/>
    </row>
    <row r="296" spans="1:23" s="20" customFormat="1">
      <c r="A296" s="9">
        <v>44448</v>
      </c>
      <c r="B296" s="10" t="s">
        <v>170</v>
      </c>
      <c r="C296" s="11" t="s">
        <v>6371</v>
      </c>
      <c r="D296" s="29" t="s">
        <v>6372</v>
      </c>
      <c r="E296" s="76" t="s">
        <v>6373</v>
      </c>
      <c r="F296" s="76" t="s">
        <v>378</v>
      </c>
      <c r="G296" s="30">
        <v>1</v>
      </c>
      <c r="H296" s="849">
        <v>170000</v>
      </c>
      <c r="I296" s="86">
        <f t="shared" si="17"/>
        <v>170000</v>
      </c>
      <c r="J296" s="17"/>
      <c r="K296" s="171">
        <f t="shared" si="18"/>
        <v>170000</v>
      </c>
      <c r="L296" s="17">
        <f>18000-18000</f>
        <v>0</v>
      </c>
      <c r="M296" s="17">
        <v>-850</v>
      </c>
      <c r="N296" s="171">
        <f t="shared" si="19"/>
        <v>169150</v>
      </c>
      <c r="O296" s="10" t="s">
        <v>170</v>
      </c>
      <c r="P296" s="183"/>
      <c r="Q296" s="10" t="s">
        <v>176</v>
      </c>
      <c r="R296" s="17"/>
      <c r="S296" s="13"/>
      <c r="T296" s="17"/>
      <c r="U296" s="17"/>
      <c r="V296" s="17"/>
      <c r="W296" s="17"/>
    </row>
    <row r="297" spans="1:23" s="20" customFormat="1">
      <c r="A297" s="9">
        <v>44448</v>
      </c>
      <c r="B297" s="10" t="s">
        <v>23</v>
      </c>
      <c r="C297" s="11" t="s">
        <v>6374</v>
      </c>
      <c r="D297" s="29" t="s">
        <v>6375</v>
      </c>
      <c r="E297" s="748" t="s">
        <v>6376</v>
      </c>
      <c r="F297" s="748" t="s">
        <v>6377</v>
      </c>
      <c r="G297" s="30">
        <v>1</v>
      </c>
      <c r="H297" s="849">
        <v>66500</v>
      </c>
      <c r="I297" s="86">
        <f t="shared" si="17"/>
        <v>66500</v>
      </c>
      <c r="J297" s="17">
        <f>I297*20%</f>
        <v>13300</v>
      </c>
      <c r="K297" s="171">
        <f t="shared" si="18"/>
        <v>53200</v>
      </c>
      <c r="L297" s="17">
        <v>17000</v>
      </c>
      <c r="M297" s="17"/>
      <c r="N297" s="171">
        <f t="shared" si="19"/>
        <v>70200</v>
      </c>
      <c r="O297" s="10" t="s">
        <v>23</v>
      </c>
      <c r="P297" s="183"/>
      <c r="Q297" s="10" t="s">
        <v>40</v>
      </c>
      <c r="R297" s="17"/>
      <c r="S297" s="17"/>
      <c r="T297" s="17"/>
      <c r="U297" s="17"/>
      <c r="V297" s="17"/>
      <c r="W297" s="17"/>
    </row>
    <row r="298" spans="1:23" s="20" customFormat="1">
      <c r="A298" s="9">
        <v>44448</v>
      </c>
      <c r="B298" s="10" t="s">
        <v>23</v>
      </c>
      <c r="C298" s="11" t="s">
        <v>6374</v>
      </c>
      <c r="D298" s="29" t="s">
        <v>6375</v>
      </c>
      <c r="E298" s="780" t="s">
        <v>6378</v>
      </c>
      <c r="F298" s="780" t="s">
        <v>813</v>
      </c>
      <c r="G298" s="30">
        <v>1</v>
      </c>
      <c r="H298" s="849">
        <v>82000</v>
      </c>
      <c r="I298" s="86">
        <f t="shared" si="17"/>
        <v>82000</v>
      </c>
      <c r="J298" s="17">
        <f>I298*20%</f>
        <v>16400</v>
      </c>
      <c r="K298" s="171">
        <f t="shared" si="18"/>
        <v>65600</v>
      </c>
      <c r="L298" s="17"/>
      <c r="M298" s="17"/>
      <c r="N298" s="171">
        <f t="shared" si="19"/>
        <v>65600</v>
      </c>
      <c r="O298" s="10" t="s">
        <v>23</v>
      </c>
      <c r="P298" s="183"/>
      <c r="Q298" s="10" t="s">
        <v>40</v>
      </c>
      <c r="R298" s="17"/>
      <c r="S298" s="17"/>
      <c r="T298" s="17"/>
      <c r="U298" s="17"/>
      <c r="V298" s="17"/>
      <c r="W298" s="17"/>
    </row>
    <row r="299" spans="1:23" s="20" customFormat="1">
      <c r="A299" s="9">
        <v>44448</v>
      </c>
      <c r="B299" s="91" t="s">
        <v>23</v>
      </c>
      <c r="C299" s="123" t="s">
        <v>6379</v>
      </c>
      <c r="D299" s="29" t="s">
        <v>6380</v>
      </c>
      <c r="E299" s="739" t="s">
        <v>6381</v>
      </c>
      <c r="F299" s="739" t="s">
        <v>6382</v>
      </c>
      <c r="G299" s="30">
        <v>1</v>
      </c>
      <c r="H299" s="849">
        <v>153000</v>
      </c>
      <c r="I299" s="86">
        <f t="shared" si="17"/>
        <v>153000</v>
      </c>
      <c r="J299" s="20">
        <f>I299*20%</f>
        <v>30600</v>
      </c>
      <c r="K299" s="171">
        <f t="shared" si="18"/>
        <v>122400</v>
      </c>
      <c r="L299" s="17">
        <v>23000</v>
      </c>
      <c r="M299" s="17"/>
      <c r="N299" s="171">
        <f t="shared" si="19"/>
        <v>145400</v>
      </c>
      <c r="O299" s="91" t="s">
        <v>23</v>
      </c>
      <c r="P299" s="72"/>
      <c r="Q299" s="91" t="s">
        <v>54</v>
      </c>
      <c r="R299" s="17"/>
      <c r="S299" s="17"/>
      <c r="T299" s="17"/>
      <c r="U299" s="17"/>
      <c r="V299" s="17"/>
      <c r="W299" s="17"/>
    </row>
    <row r="300" spans="1:23" s="20" customFormat="1">
      <c r="A300" s="9">
        <v>44448</v>
      </c>
      <c r="B300" s="91" t="s">
        <v>23</v>
      </c>
      <c r="C300" s="123" t="s">
        <v>6383</v>
      </c>
      <c r="D300" s="29" t="s">
        <v>6384</v>
      </c>
      <c r="E300" s="739" t="s">
        <v>6385</v>
      </c>
      <c r="F300" s="739" t="s">
        <v>6386</v>
      </c>
      <c r="G300" s="30">
        <v>1</v>
      </c>
      <c r="H300" s="849">
        <v>100000</v>
      </c>
      <c r="I300" s="86">
        <f t="shared" si="17"/>
        <v>100000</v>
      </c>
      <c r="J300" s="20">
        <f>I300*20%</f>
        <v>20000</v>
      </c>
      <c r="K300" s="171">
        <f t="shared" si="18"/>
        <v>80000</v>
      </c>
      <c r="L300" s="17">
        <v>17000</v>
      </c>
      <c r="M300" s="17"/>
      <c r="N300" s="171">
        <f t="shared" si="19"/>
        <v>97000</v>
      </c>
      <c r="O300" s="91" t="s">
        <v>23</v>
      </c>
      <c r="P300" s="72"/>
      <c r="Q300" s="91" t="s">
        <v>40</v>
      </c>
      <c r="R300" s="17"/>
      <c r="S300" s="17"/>
      <c r="T300" s="17"/>
      <c r="U300" s="17"/>
      <c r="V300" s="17"/>
      <c r="W300" s="17"/>
    </row>
    <row r="301" spans="1:23" s="20" customFormat="1">
      <c r="A301" s="9">
        <v>44448</v>
      </c>
      <c r="B301" s="91" t="s">
        <v>313</v>
      </c>
      <c r="C301" s="91" t="s">
        <v>6387</v>
      </c>
      <c r="D301" s="29" t="s">
        <v>6388</v>
      </c>
      <c r="E301" s="76" t="s">
        <v>5953</v>
      </c>
      <c r="F301" s="76" t="s">
        <v>5954</v>
      </c>
      <c r="G301" s="30">
        <v>1</v>
      </c>
      <c r="H301" s="849">
        <v>61000</v>
      </c>
      <c r="I301" s="86">
        <f t="shared" si="17"/>
        <v>61000</v>
      </c>
      <c r="K301" s="171">
        <f t="shared" si="18"/>
        <v>61000</v>
      </c>
      <c r="L301" s="17">
        <v>17063</v>
      </c>
      <c r="M301" s="17"/>
      <c r="N301" s="171">
        <f t="shared" si="19"/>
        <v>78063</v>
      </c>
      <c r="O301" s="91" t="s">
        <v>313</v>
      </c>
      <c r="P301" s="72"/>
      <c r="Q301" s="91" t="s">
        <v>40</v>
      </c>
      <c r="R301" s="17"/>
      <c r="S301" s="17"/>
      <c r="T301" s="17"/>
      <c r="U301" s="17"/>
      <c r="V301" s="17"/>
      <c r="W301" s="17"/>
    </row>
    <row r="302" spans="1:23" s="20" customFormat="1">
      <c r="A302" s="9">
        <v>44448</v>
      </c>
      <c r="B302" s="91" t="s">
        <v>313</v>
      </c>
      <c r="C302" s="123" t="s">
        <v>6389</v>
      </c>
      <c r="D302" s="29" t="s">
        <v>6390</v>
      </c>
      <c r="E302" s="739" t="s">
        <v>6003</v>
      </c>
      <c r="F302" s="739" t="s">
        <v>6004</v>
      </c>
      <c r="G302" s="30">
        <v>1</v>
      </c>
      <c r="H302" s="849">
        <v>210000</v>
      </c>
      <c r="I302" s="86">
        <f t="shared" si="17"/>
        <v>210000</v>
      </c>
      <c r="K302" s="171">
        <f t="shared" si="18"/>
        <v>210000</v>
      </c>
      <c r="L302" s="17">
        <v>17063</v>
      </c>
      <c r="M302" s="17"/>
      <c r="N302" s="171">
        <f t="shared" si="19"/>
        <v>227063</v>
      </c>
      <c r="O302" s="91" t="s">
        <v>313</v>
      </c>
      <c r="P302" s="72"/>
      <c r="Q302" s="91" t="s">
        <v>40</v>
      </c>
      <c r="R302" s="17"/>
      <c r="S302" s="17"/>
      <c r="T302" s="17"/>
      <c r="U302" s="17"/>
      <c r="V302" s="17"/>
      <c r="W302" s="17"/>
    </row>
    <row r="303" spans="1:23" s="20" customFormat="1">
      <c r="A303" s="9">
        <v>44448</v>
      </c>
      <c r="B303" s="91" t="s">
        <v>43</v>
      </c>
      <c r="C303" s="123" t="s">
        <v>6391</v>
      </c>
      <c r="D303" s="29" t="s">
        <v>6392</v>
      </c>
      <c r="E303" s="76" t="s">
        <v>4485</v>
      </c>
      <c r="F303" s="76" t="s">
        <v>4486</v>
      </c>
      <c r="G303" s="30">
        <v>1</v>
      </c>
      <c r="H303" s="849">
        <v>56000</v>
      </c>
      <c r="I303" s="86">
        <f t="shared" si="17"/>
        <v>56000</v>
      </c>
      <c r="K303" s="171">
        <f t="shared" si="18"/>
        <v>56000</v>
      </c>
      <c r="L303" s="17"/>
      <c r="M303" s="17">
        <v>-3136</v>
      </c>
      <c r="N303" s="171">
        <f t="shared" si="19"/>
        <v>52864</v>
      </c>
      <c r="O303" s="91" t="s">
        <v>43</v>
      </c>
      <c r="P303" s="72"/>
      <c r="Q303" s="91" t="s">
        <v>54</v>
      </c>
      <c r="R303" s="17"/>
      <c r="S303" s="17"/>
      <c r="T303" s="17"/>
      <c r="U303" s="17"/>
      <c r="V303" s="17"/>
      <c r="W303" s="17"/>
    </row>
    <row r="304" spans="1:23" s="20" customFormat="1">
      <c r="A304" s="9">
        <v>44448</v>
      </c>
      <c r="B304" s="91" t="s">
        <v>23</v>
      </c>
      <c r="C304" s="91" t="s">
        <v>6393</v>
      </c>
      <c r="D304" s="29" t="s">
        <v>6394</v>
      </c>
      <c r="E304" s="76" t="s">
        <v>2727</v>
      </c>
      <c r="F304" s="76" t="s">
        <v>2728</v>
      </c>
      <c r="G304" s="30">
        <v>1</v>
      </c>
      <c r="H304" s="849">
        <v>64000</v>
      </c>
      <c r="I304" s="86">
        <f t="shared" si="17"/>
        <v>64000</v>
      </c>
      <c r="J304" s="20">
        <f>I304*20%</f>
        <v>12800</v>
      </c>
      <c r="K304" s="171">
        <f t="shared" si="18"/>
        <v>51200</v>
      </c>
      <c r="L304" s="17"/>
      <c r="M304" s="17"/>
      <c r="N304" s="171">
        <f t="shared" si="19"/>
        <v>51200</v>
      </c>
      <c r="O304" s="91" t="s">
        <v>43</v>
      </c>
      <c r="P304" s="183"/>
      <c r="Q304" s="91" t="s">
        <v>176</v>
      </c>
      <c r="R304" s="17"/>
      <c r="S304" s="17"/>
      <c r="T304" s="17"/>
      <c r="U304" s="17"/>
      <c r="V304" s="17"/>
      <c r="W304" s="17"/>
    </row>
    <row r="305" spans="1:23" s="20" customFormat="1">
      <c r="A305" s="9">
        <v>44449</v>
      </c>
      <c r="B305" s="91" t="s">
        <v>23</v>
      </c>
      <c r="C305" s="91" t="s">
        <v>6395</v>
      </c>
      <c r="D305" s="29" t="s">
        <v>6396</v>
      </c>
      <c r="E305" s="76" t="s">
        <v>3700</v>
      </c>
      <c r="F305" s="76" t="s">
        <v>4297</v>
      </c>
      <c r="G305" s="30">
        <v>1</v>
      </c>
      <c r="H305" s="849">
        <v>282000</v>
      </c>
      <c r="I305" s="86">
        <f t="shared" si="17"/>
        <v>282000</v>
      </c>
      <c r="J305" s="17">
        <f>I305*20%</f>
        <v>56400</v>
      </c>
      <c r="K305" s="171">
        <f t="shared" si="18"/>
        <v>225600</v>
      </c>
      <c r="L305" s="17">
        <v>45000</v>
      </c>
      <c r="M305" s="17"/>
      <c r="N305" s="171">
        <f t="shared" si="19"/>
        <v>270600</v>
      </c>
      <c r="O305" s="91" t="s">
        <v>23</v>
      </c>
      <c r="P305" s="183"/>
      <c r="Q305" s="91" t="s">
        <v>40</v>
      </c>
      <c r="R305" s="17"/>
      <c r="S305" s="13"/>
      <c r="T305" s="17"/>
      <c r="U305" s="17"/>
      <c r="V305" s="17"/>
      <c r="W305" s="17"/>
    </row>
    <row r="306" spans="1:23" s="20" customFormat="1">
      <c r="A306" s="9">
        <v>44449</v>
      </c>
      <c r="B306" s="91" t="s">
        <v>43</v>
      </c>
      <c r="C306" s="123" t="s">
        <v>6397</v>
      </c>
      <c r="D306" s="29" t="s">
        <v>6398</v>
      </c>
      <c r="E306" s="76" t="s">
        <v>6399</v>
      </c>
      <c r="F306" s="76" t="s">
        <v>6400</v>
      </c>
      <c r="G306" s="30">
        <v>1</v>
      </c>
      <c r="H306" s="849">
        <v>26000</v>
      </c>
      <c r="I306" s="86">
        <f t="shared" si="17"/>
        <v>26000</v>
      </c>
      <c r="J306" s="17"/>
      <c r="K306" s="171">
        <f t="shared" si="18"/>
        <v>26000</v>
      </c>
      <c r="L306" s="17">
        <v>10000</v>
      </c>
      <c r="M306" s="17">
        <v>-1456</v>
      </c>
      <c r="N306" s="171">
        <f t="shared" si="19"/>
        <v>34544</v>
      </c>
      <c r="O306" s="91" t="s">
        <v>43</v>
      </c>
      <c r="P306" s="183"/>
      <c r="Q306" s="91" t="s">
        <v>176</v>
      </c>
      <c r="R306" s="17"/>
      <c r="S306" s="17"/>
      <c r="T306" s="17"/>
      <c r="U306" s="17"/>
      <c r="V306" s="17"/>
      <c r="W306" s="17"/>
    </row>
    <row r="307" spans="1:23" s="20" customFormat="1">
      <c r="A307" s="9">
        <v>44449</v>
      </c>
      <c r="B307" s="91" t="s">
        <v>43</v>
      </c>
      <c r="C307" s="91" t="s">
        <v>6401</v>
      </c>
      <c r="D307" s="29" t="s">
        <v>6402</v>
      </c>
      <c r="E307" s="76" t="s">
        <v>1212</v>
      </c>
      <c r="F307" s="76" t="s">
        <v>1213</v>
      </c>
      <c r="G307" s="30">
        <v>1</v>
      </c>
      <c r="H307" s="849">
        <v>74000</v>
      </c>
      <c r="I307" s="86">
        <f t="shared" si="17"/>
        <v>74000</v>
      </c>
      <c r="J307" s="17"/>
      <c r="K307" s="171">
        <f t="shared" si="18"/>
        <v>74000</v>
      </c>
      <c r="L307" s="17"/>
      <c r="M307" s="17">
        <v>-4144</v>
      </c>
      <c r="N307" s="171">
        <f t="shared" si="19"/>
        <v>69856</v>
      </c>
      <c r="O307" s="91" t="s">
        <v>43</v>
      </c>
      <c r="P307" s="183"/>
      <c r="Q307" s="91" t="s">
        <v>54</v>
      </c>
      <c r="R307" s="17"/>
      <c r="S307" s="17"/>
      <c r="T307" s="17"/>
      <c r="U307" s="17"/>
      <c r="V307" s="17"/>
      <c r="W307" s="17"/>
    </row>
    <row r="308" spans="1:23" s="20" customFormat="1">
      <c r="A308" s="9">
        <v>44449</v>
      </c>
      <c r="B308" s="91" t="s">
        <v>43</v>
      </c>
      <c r="C308" s="123" t="s">
        <v>6403</v>
      </c>
      <c r="D308" s="29" t="s">
        <v>9437</v>
      </c>
      <c r="E308" s="76" t="s">
        <v>2719</v>
      </c>
      <c r="F308" s="76" t="s">
        <v>2720</v>
      </c>
      <c r="G308" s="30">
        <v>1</v>
      </c>
      <c r="H308" s="849">
        <v>65500</v>
      </c>
      <c r="I308" s="86">
        <f t="shared" si="17"/>
        <v>65500</v>
      </c>
      <c r="J308" s="17"/>
      <c r="K308" s="171">
        <f t="shared" si="18"/>
        <v>65500</v>
      </c>
      <c r="L308" s="17"/>
      <c r="M308" s="17">
        <v>-3688</v>
      </c>
      <c r="N308" s="171">
        <f t="shared" si="19"/>
        <v>61812</v>
      </c>
      <c r="O308" s="91" t="s">
        <v>43</v>
      </c>
      <c r="P308" s="183"/>
      <c r="Q308" s="91" t="s">
        <v>54</v>
      </c>
      <c r="R308" s="17"/>
      <c r="S308" s="17"/>
      <c r="T308" s="17"/>
      <c r="U308" s="17"/>
      <c r="V308" s="17"/>
      <c r="W308" s="17"/>
    </row>
    <row r="309" spans="1:23" s="20" customFormat="1">
      <c r="A309" s="9">
        <v>44449</v>
      </c>
      <c r="B309" s="91" t="s">
        <v>43</v>
      </c>
      <c r="C309" s="123" t="s">
        <v>6404</v>
      </c>
      <c r="D309" s="29" t="s">
        <v>6405</v>
      </c>
      <c r="E309" s="76" t="s">
        <v>6406</v>
      </c>
      <c r="F309" s="76" t="s">
        <v>6407</v>
      </c>
      <c r="G309" s="30">
        <v>1</v>
      </c>
      <c r="H309" s="849">
        <v>93500</v>
      </c>
      <c r="I309" s="86">
        <f t="shared" si="17"/>
        <v>93500</v>
      </c>
      <c r="J309" s="17"/>
      <c r="K309" s="171">
        <f t="shared" si="18"/>
        <v>93500</v>
      </c>
      <c r="L309" s="17"/>
      <c r="M309" s="17">
        <v>-5236</v>
      </c>
      <c r="N309" s="171">
        <f t="shared" si="19"/>
        <v>88264</v>
      </c>
      <c r="O309" s="91" t="s">
        <v>43</v>
      </c>
      <c r="P309" s="72"/>
      <c r="Q309" s="91" t="s">
        <v>54</v>
      </c>
      <c r="R309" s="17"/>
      <c r="S309" s="17"/>
      <c r="T309" s="17"/>
      <c r="U309" s="17"/>
      <c r="V309" s="17"/>
      <c r="W309" s="17"/>
    </row>
    <row r="310" spans="1:23" s="20" customFormat="1">
      <c r="A310" s="9">
        <v>44449</v>
      </c>
      <c r="B310" s="91" t="s">
        <v>43</v>
      </c>
      <c r="C310" s="91" t="s">
        <v>6408</v>
      </c>
      <c r="D310" s="29" t="s">
        <v>6409</v>
      </c>
      <c r="E310" s="76" t="s">
        <v>4574</v>
      </c>
      <c r="F310" s="76" t="s">
        <v>4048</v>
      </c>
      <c r="G310" s="30">
        <v>1</v>
      </c>
      <c r="H310" s="849">
        <v>192500</v>
      </c>
      <c r="I310" s="86">
        <f t="shared" si="17"/>
        <v>192500</v>
      </c>
      <c r="J310" s="17"/>
      <c r="K310" s="171">
        <f t="shared" si="18"/>
        <v>192500</v>
      </c>
      <c r="L310" s="17"/>
      <c r="M310" s="17">
        <v>-10780</v>
      </c>
      <c r="N310" s="171">
        <f t="shared" si="19"/>
        <v>181720</v>
      </c>
      <c r="O310" s="91" t="s">
        <v>43</v>
      </c>
      <c r="P310" s="72"/>
      <c r="Q310" s="91" t="s">
        <v>176</v>
      </c>
      <c r="R310" s="17"/>
      <c r="S310" s="17"/>
      <c r="T310" s="17"/>
      <c r="U310" s="17"/>
      <c r="V310" s="17"/>
      <c r="W310" s="17"/>
    </row>
    <row r="311" spans="1:23" s="20" customFormat="1">
      <c r="A311" s="9">
        <v>44449</v>
      </c>
      <c r="B311" s="91" t="s">
        <v>43</v>
      </c>
      <c r="C311" s="91" t="s">
        <v>6410</v>
      </c>
      <c r="D311" s="29" t="s">
        <v>6411</v>
      </c>
      <c r="E311" s="782" t="s">
        <v>6412</v>
      </c>
      <c r="F311" s="782" t="s">
        <v>6413</v>
      </c>
      <c r="G311" s="30">
        <v>1</v>
      </c>
      <c r="H311" s="849">
        <v>55000</v>
      </c>
      <c r="I311" s="86">
        <f t="shared" si="17"/>
        <v>55000</v>
      </c>
      <c r="J311" s="17"/>
      <c r="K311" s="171">
        <f t="shared" si="18"/>
        <v>55000</v>
      </c>
      <c r="L311" s="17"/>
      <c r="M311" s="17">
        <v>-5731</v>
      </c>
      <c r="N311" s="171">
        <f t="shared" si="19"/>
        <v>49269</v>
      </c>
      <c r="O311" s="91" t="s">
        <v>43</v>
      </c>
      <c r="P311" s="72"/>
      <c r="Q311" s="91" t="s">
        <v>54</v>
      </c>
      <c r="R311" s="17"/>
      <c r="S311" s="17"/>
      <c r="T311" s="17"/>
      <c r="U311" s="17"/>
      <c r="V311" s="17"/>
      <c r="W311" s="17"/>
    </row>
    <row r="312" spans="1:23" s="20" customFormat="1">
      <c r="A312" s="9">
        <v>44449</v>
      </c>
      <c r="B312" s="91" t="s">
        <v>43</v>
      </c>
      <c r="C312" s="91" t="s">
        <v>6410</v>
      </c>
      <c r="D312" s="29" t="s">
        <v>6414</v>
      </c>
      <c r="E312" s="782" t="s">
        <v>1772</v>
      </c>
      <c r="F312" s="782" t="s">
        <v>1773</v>
      </c>
      <c r="G312" s="30">
        <v>1</v>
      </c>
      <c r="H312" s="849">
        <v>65500</v>
      </c>
      <c r="I312" s="86">
        <f t="shared" si="17"/>
        <v>65500</v>
      </c>
      <c r="J312" s="17"/>
      <c r="K312" s="171">
        <f t="shared" si="18"/>
        <v>65500</v>
      </c>
      <c r="L312" s="17"/>
      <c r="M312" s="17"/>
      <c r="N312" s="171">
        <f t="shared" si="19"/>
        <v>65500</v>
      </c>
      <c r="O312" s="91" t="s">
        <v>43</v>
      </c>
      <c r="P312" s="72"/>
      <c r="Q312" s="91" t="s">
        <v>54</v>
      </c>
      <c r="R312" s="17"/>
      <c r="S312" s="17"/>
      <c r="T312" s="17"/>
      <c r="U312" s="17"/>
      <c r="V312" s="17"/>
      <c r="W312" s="17"/>
    </row>
    <row r="313" spans="1:23" s="20" customFormat="1">
      <c r="A313" s="9">
        <v>44449</v>
      </c>
      <c r="B313" s="91" t="s">
        <v>43</v>
      </c>
      <c r="C313" s="123" t="s">
        <v>6415</v>
      </c>
      <c r="D313" s="29" t="s">
        <v>6416</v>
      </c>
      <c r="E313" s="739" t="s">
        <v>306</v>
      </c>
      <c r="F313" s="739" t="s">
        <v>307</v>
      </c>
      <c r="G313" s="30">
        <v>1</v>
      </c>
      <c r="H313" s="849">
        <v>90500</v>
      </c>
      <c r="I313" s="86">
        <f t="shared" si="17"/>
        <v>90500</v>
      </c>
      <c r="J313" s="17"/>
      <c r="K313" s="171">
        <f t="shared" si="18"/>
        <v>90500</v>
      </c>
      <c r="L313" s="17"/>
      <c r="M313" s="17">
        <v>-5068</v>
      </c>
      <c r="N313" s="171">
        <f t="shared" si="19"/>
        <v>85432</v>
      </c>
      <c r="O313" s="91" t="s">
        <v>43</v>
      </c>
      <c r="P313" s="72"/>
      <c r="Q313" s="91" t="s">
        <v>54</v>
      </c>
      <c r="R313" s="17"/>
      <c r="S313" s="17"/>
      <c r="T313" s="17"/>
      <c r="U313" s="17"/>
      <c r="V313" s="17"/>
      <c r="W313" s="17"/>
    </row>
    <row r="314" spans="1:23" s="20" customFormat="1">
      <c r="A314" s="9">
        <v>44449</v>
      </c>
      <c r="B314" s="91" t="s">
        <v>43</v>
      </c>
      <c r="C314" s="123" t="s">
        <v>6417</v>
      </c>
      <c r="D314" s="29" t="s">
        <v>6418</v>
      </c>
      <c r="E314" s="739" t="s">
        <v>2808</v>
      </c>
      <c r="F314" s="739" t="s">
        <v>2809</v>
      </c>
      <c r="G314" s="30">
        <v>1</v>
      </c>
      <c r="H314" s="849">
        <v>73000</v>
      </c>
      <c r="I314" s="86">
        <f t="shared" si="17"/>
        <v>73000</v>
      </c>
      <c r="J314" s="17"/>
      <c r="K314" s="171">
        <f t="shared" si="18"/>
        <v>73000</v>
      </c>
      <c r="L314" s="17"/>
      <c r="M314" s="17">
        <v>-4088</v>
      </c>
      <c r="N314" s="171">
        <f t="shared" si="19"/>
        <v>68912</v>
      </c>
      <c r="O314" s="91" t="s">
        <v>43</v>
      </c>
      <c r="P314" s="72"/>
      <c r="Q314" s="91" t="s">
        <v>54</v>
      </c>
      <c r="R314" s="17"/>
      <c r="S314" s="17"/>
      <c r="T314" s="17"/>
      <c r="U314" s="17"/>
      <c r="V314" s="17"/>
      <c r="W314" s="17"/>
    </row>
    <row r="315" spans="1:23" s="20" customFormat="1">
      <c r="A315" s="9">
        <v>44449</v>
      </c>
      <c r="B315" s="91" t="s">
        <v>43</v>
      </c>
      <c r="C315" s="123" t="s">
        <v>6419</v>
      </c>
      <c r="D315" s="29" t="s">
        <v>6420</v>
      </c>
      <c r="E315" s="76" t="s">
        <v>3755</v>
      </c>
      <c r="F315" s="76" t="s">
        <v>3756</v>
      </c>
      <c r="G315" s="30">
        <v>1</v>
      </c>
      <c r="H315" s="849">
        <v>87500</v>
      </c>
      <c r="I315" s="86">
        <f t="shared" si="17"/>
        <v>87500</v>
      </c>
      <c r="J315" s="17"/>
      <c r="K315" s="171">
        <f t="shared" si="18"/>
        <v>87500</v>
      </c>
      <c r="L315" s="17"/>
      <c r="M315" s="17">
        <v>-4900</v>
      </c>
      <c r="N315" s="171">
        <f t="shared" si="19"/>
        <v>82600</v>
      </c>
      <c r="O315" s="91" t="s">
        <v>43</v>
      </c>
      <c r="P315" s="183"/>
      <c r="Q315" s="91" t="s">
        <v>54</v>
      </c>
      <c r="R315" s="17"/>
      <c r="S315" s="17"/>
      <c r="T315" s="17"/>
      <c r="U315" s="17"/>
      <c r="V315" s="17"/>
      <c r="W315" s="17"/>
    </row>
    <row r="316" spans="1:23" s="20" customFormat="1">
      <c r="A316" s="9">
        <v>44449</v>
      </c>
      <c r="B316" s="91" t="s">
        <v>23</v>
      </c>
      <c r="C316" s="123" t="s">
        <v>6421</v>
      </c>
      <c r="D316" s="29" t="s">
        <v>6422</v>
      </c>
      <c r="E316" s="76" t="s">
        <v>6423</v>
      </c>
      <c r="F316" s="76" t="s">
        <v>6424</v>
      </c>
      <c r="G316" s="30">
        <v>1</v>
      </c>
      <c r="H316" s="849">
        <v>56500</v>
      </c>
      <c r="I316" s="86">
        <f t="shared" si="17"/>
        <v>56500</v>
      </c>
      <c r="J316" s="17">
        <f>I316*20%</f>
        <v>11300</v>
      </c>
      <c r="K316" s="171">
        <f t="shared" si="18"/>
        <v>45200</v>
      </c>
      <c r="L316" s="17">
        <v>17000</v>
      </c>
      <c r="M316" s="17"/>
      <c r="N316" s="171">
        <f t="shared" si="19"/>
        <v>62200</v>
      </c>
      <c r="O316" s="91" t="s">
        <v>23</v>
      </c>
      <c r="P316" s="183"/>
      <c r="Q316" s="91" t="s">
        <v>40</v>
      </c>
      <c r="R316" s="17"/>
      <c r="S316" s="17"/>
      <c r="T316" s="17"/>
      <c r="U316" s="17"/>
      <c r="V316" s="17"/>
      <c r="W316" s="17"/>
    </row>
    <row r="317" spans="1:23" s="20" customFormat="1">
      <c r="A317" s="9">
        <v>44449</v>
      </c>
      <c r="B317" s="91" t="s">
        <v>23</v>
      </c>
      <c r="C317" s="123" t="s">
        <v>6425</v>
      </c>
      <c r="D317" s="29" t="s">
        <v>6426</v>
      </c>
      <c r="E317" s="739" t="s">
        <v>4459</v>
      </c>
      <c r="F317" s="739" t="s">
        <v>4460</v>
      </c>
      <c r="G317" s="30">
        <v>1</v>
      </c>
      <c r="H317" s="849">
        <v>169000</v>
      </c>
      <c r="I317" s="86">
        <f t="shared" si="17"/>
        <v>169000</v>
      </c>
      <c r="J317" s="20">
        <f>I317*20%</f>
        <v>33800</v>
      </c>
      <c r="K317" s="171">
        <f t="shared" si="18"/>
        <v>135200</v>
      </c>
      <c r="L317" s="17">
        <v>42500</v>
      </c>
      <c r="M317" s="17"/>
      <c r="N317" s="171">
        <f t="shared" si="19"/>
        <v>177700</v>
      </c>
      <c r="O317" s="91" t="s">
        <v>23</v>
      </c>
      <c r="P317" s="72"/>
      <c r="Q317" s="91" t="s">
        <v>28</v>
      </c>
      <c r="R317" s="17"/>
      <c r="S317" s="17"/>
      <c r="T317" s="17"/>
      <c r="U317" s="17"/>
      <c r="V317" s="17"/>
      <c r="W317" s="17"/>
    </row>
    <row r="318" spans="1:23" s="20" customFormat="1">
      <c r="A318" s="9">
        <v>44449</v>
      </c>
      <c r="B318" s="91" t="s">
        <v>23</v>
      </c>
      <c r="C318" s="123" t="s">
        <v>6427</v>
      </c>
      <c r="D318" s="29" t="s">
        <v>6428</v>
      </c>
      <c r="E318" s="76" t="s">
        <v>190</v>
      </c>
      <c r="F318" s="76" t="s">
        <v>191</v>
      </c>
      <c r="G318" s="30">
        <v>1</v>
      </c>
      <c r="H318" s="849">
        <v>92000</v>
      </c>
      <c r="I318" s="86">
        <f t="shared" si="17"/>
        <v>92000</v>
      </c>
      <c r="J318" s="20">
        <f>I318*20%</f>
        <v>18400</v>
      </c>
      <c r="K318" s="171">
        <f t="shared" si="18"/>
        <v>73600</v>
      </c>
      <c r="L318" s="17">
        <v>6000</v>
      </c>
      <c r="M318" s="17"/>
      <c r="N318" s="171">
        <f t="shared" si="19"/>
        <v>79600</v>
      </c>
      <c r="O318" s="91" t="s">
        <v>23</v>
      </c>
      <c r="P318" s="72"/>
      <c r="Q318" s="91" t="s">
        <v>28</v>
      </c>
      <c r="R318" s="17"/>
      <c r="S318" s="17"/>
      <c r="T318" s="17"/>
      <c r="U318" s="17"/>
      <c r="V318" s="17"/>
      <c r="W318" s="17"/>
    </row>
    <row r="319" spans="1:23" s="17" customFormat="1">
      <c r="A319" s="9">
        <v>44452</v>
      </c>
      <c r="B319" s="91" t="s">
        <v>43</v>
      </c>
      <c r="C319" s="123" t="s">
        <v>6430</v>
      </c>
      <c r="D319" s="92" t="s">
        <v>6431</v>
      </c>
      <c r="E319" s="76" t="s">
        <v>6432</v>
      </c>
      <c r="F319" s="76" t="s">
        <v>6433</v>
      </c>
      <c r="G319" s="858">
        <v>1</v>
      </c>
      <c r="H319" s="849">
        <v>111000</v>
      </c>
      <c r="I319" s="86">
        <f t="shared" si="17"/>
        <v>111000</v>
      </c>
      <c r="K319" s="171">
        <f t="shared" si="18"/>
        <v>111000</v>
      </c>
      <c r="M319" s="17">
        <v>-6216</v>
      </c>
      <c r="N319" s="171">
        <f t="shared" si="19"/>
        <v>104784</v>
      </c>
      <c r="O319" s="91" t="s">
        <v>43</v>
      </c>
      <c r="P319" s="183"/>
      <c r="Q319" s="91" t="s">
        <v>176</v>
      </c>
    </row>
    <row r="320" spans="1:23" s="17" customFormat="1">
      <c r="A320" s="9">
        <v>44452</v>
      </c>
      <c r="B320" s="91" t="s">
        <v>43</v>
      </c>
      <c r="C320" s="123" t="s">
        <v>6434</v>
      </c>
      <c r="D320" s="92" t="s">
        <v>6435</v>
      </c>
      <c r="E320" s="739" t="s">
        <v>306</v>
      </c>
      <c r="F320" s="739" t="s">
        <v>307</v>
      </c>
      <c r="G320" s="859">
        <v>1</v>
      </c>
      <c r="H320" s="849">
        <v>90500</v>
      </c>
      <c r="I320" s="86">
        <f t="shared" si="17"/>
        <v>90500</v>
      </c>
      <c r="K320" s="171">
        <f t="shared" si="18"/>
        <v>90500</v>
      </c>
      <c r="M320" s="17">
        <v>-5068</v>
      </c>
      <c r="N320" s="171">
        <f t="shared" si="19"/>
        <v>85432</v>
      </c>
      <c r="O320" s="91" t="s">
        <v>43</v>
      </c>
      <c r="P320" s="860"/>
      <c r="Q320" s="91" t="s">
        <v>54</v>
      </c>
      <c r="S320" s="26"/>
    </row>
    <row r="321" spans="1:19" s="17" customFormat="1">
      <c r="A321" s="9">
        <v>44452</v>
      </c>
      <c r="B321" s="91" t="s">
        <v>43</v>
      </c>
      <c r="C321" s="91" t="s">
        <v>6436</v>
      </c>
      <c r="D321" s="92" t="s">
        <v>6437</v>
      </c>
      <c r="E321" s="76" t="s">
        <v>4574</v>
      </c>
      <c r="F321" s="76" t="s">
        <v>4048</v>
      </c>
      <c r="G321" s="861">
        <v>1</v>
      </c>
      <c r="H321" s="849">
        <v>192500</v>
      </c>
      <c r="I321" s="86">
        <f t="shared" ref="I321:I422" si="23">H321*G321</f>
        <v>192500</v>
      </c>
      <c r="K321" s="171">
        <f t="shared" ref="K321:K384" si="24">I321-J321</f>
        <v>192500</v>
      </c>
      <c r="L321" s="17">
        <v>3000</v>
      </c>
      <c r="M321" s="17">
        <v>-10780</v>
      </c>
      <c r="N321" s="171">
        <f t="shared" ref="N321:N384" si="25">K321+L321+M321</f>
        <v>184720</v>
      </c>
      <c r="O321" s="91" t="s">
        <v>43</v>
      </c>
      <c r="P321" s="862"/>
      <c r="Q321" s="91" t="s">
        <v>176</v>
      </c>
    </row>
    <row r="322" spans="1:19" s="17" customFormat="1">
      <c r="A322" s="9">
        <v>44452</v>
      </c>
      <c r="B322" s="91" t="s">
        <v>43</v>
      </c>
      <c r="C322" s="123" t="s">
        <v>6438</v>
      </c>
      <c r="D322" s="92" t="s">
        <v>6439</v>
      </c>
      <c r="E322" s="76" t="s">
        <v>4574</v>
      </c>
      <c r="F322" s="76" t="s">
        <v>4048</v>
      </c>
      <c r="G322" s="861">
        <v>1</v>
      </c>
      <c r="H322" s="849">
        <v>192500</v>
      </c>
      <c r="I322" s="86">
        <f t="shared" si="23"/>
        <v>192500</v>
      </c>
      <c r="K322" s="171">
        <f t="shared" si="24"/>
        <v>192500</v>
      </c>
      <c r="L322" s="17">
        <v>9000</v>
      </c>
      <c r="M322" s="17">
        <v>-10780</v>
      </c>
      <c r="N322" s="171">
        <f t="shared" si="25"/>
        <v>190720</v>
      </c>
      <c r="O322" s="91" t="s">
        <v>43</v>
      </c>
      <c r="P322" s="189"/>
      <c r="Q322" s="91" t="s">
        <v>176</v>
      </c>
      <c r="S322" s="189"/>
    </row>
    <row r="323" spans="1:19" s="17" customFormat="1">
      <c r="A323" s="9">
        <v>44452</v>
      </c>
      <c r="B323" s="91" t="s">
        <v>206</v>
      </c>
      <c r="C323" s="123" t="s">
        <v>6440</v>
      </c>
      <c r="D323" s="92" t="s">
        <v>6441</v>
      </c>
      <c r="E323" s="76" t="s">
        <v>3085</v>
      </c>
      <c r="F323" s="76" t="s">
        <v>3086</v>
      </c>
      <c r="G323" s="30">
        <v>1</v>
      </c>
      <c r="H323" s="849">
        <v>168000</v>
      </c>
      <c r="I323" s="86">
        <f t="shared" si="23"/>
        <v>168000</v>
      </c>
      <c r="K323" s="171">
        <f t="shared" si="24"/>
        <v>168000</v>
      </c>
      <c r="L323" s="17">
        <f>64000-40000</f>
        <v>24000</v>
      </c>
      <c r="N323" s="171">
        <f t="shared" si="25"/>
        <v>192000</v>
      </c>
      <c r="O323" s="91" t="s">
        <v>206</v>
      </c>
      <c r="P323" s="189"/>
      <c r="Q323" s="91" t="s">
        <v>328</v>
      </c>
      <c r="S323" s="189"/>
    </row>
    <row r="324" spans="1:19" s="17" customFormat="1">
      <c r="A324" s="9">
        <v>44452</v>
      </c>
      <c r="B324" s="91" t="s">
        <v>206</v>
      </c>
      <c r="C324" s="91" t="s">
        <v>6442</v>
      </c>
      <c r="D324" s="92" t="s">
        <v>6367</v>
      </c>
      <c r="E324" s="863" t="s">
        <v>6443</v>
      </c>
      <c r="F324" s="863" t="s">
        <v>6444</v>
      </c>
      <c r="G324" s="30">
        <v>1</v>
      </c>
      <c r="H324" s="849">
        <v>110000</v>
      </c>
      <c r="I324" s="86">
        <f t="shared" si="23"/>
        <v>110000</v>
      </c>
      <c r="K324" s="171">
        <f t="shared" si="24"/>
        <v>110000</v>
      </c>
      <c r="L324" s="17">
        <f>39000-39000</f>
        <v>0</v>
      </c>
      <c r="N324" s="171">
        <f t="shared" si="25"/>
        <v>110000</v>
      </c>
      <c r="O324" s="91" t="s">
        <v>206</v>
      </c>
      <c r="P324" s="183"/>
      <c r="Q324" s="91" t="s">
        <v>328</v>
      </c>
    </row>
    <row r="325" spans="1:19" s="17" customFormat="1">
      <c r="A325" s="9">
        <v>44452</v>
      </c>
      <c r="B325" s="91" t="s">
        <v>206</v>
      </c>
      <c r="C325" s="91" t="s">
        <v>6442</v>
      </c>
      <c r="D325" s="92" t="s">
        <v>6445</v>
      </c>
      <c r="E325" s="863" t="s">
        <v>4564</v>
      </c>
      <c r="F325" s="863" t="s">
        <v>4565</v>
      </c>
      <c r="G325" s="30">
        <v>1</v>
      </c>
      <c r="H325" s="849">
        <v>103500</v>
      </c>
      <c r="I325" s="86">
        <f t="shared" si="23"/>
        <v>103500</v>
      </c>
      <c r="K325" s="171">
        <f t="shared" si="24"/>
        <v>103500</v>
      </c>
      <c r="N325" s="171">
        <f t="shared" si="25"/>
        <v>103500</v>
      </c>
      <c r="O325" s="91" t="s">
        <v>206</v>
      </c>
      <c r="P325" s="183"/>
      <c r="Q325" s="91" t="s">
        <v>328</v>
      </c>
    </row>
    <row r="326" spans="1:19" s="17" customFormat="1">
      <c r="A326" s="9">
        <v>44452</v>
      </c>
      <c r="B326" s="91" t="s">
        <v>313</v>
      </c>
      <c r="C326" s="123" t="s">
        <v>6317</v>
      </c>
      <c r="D326" s="92" t="s">
        <v>6446</v>
      </c>
      <c r="E326" s="782" t="s">
        <v>6447</v>
      </c>
      <c r="F326" s="782" t="s">
        <v>6448</v>
      </c>
      <c r="G326" s="30">
        <v>1</v>
      </c>
      <c r="H326" s="849">
        <v>71000</v>
      </c>
      <c r="I326" s="86">
        <f t="shared" si="23"/>
        <v>71000</v>
      </c>
      <c r="K326" s="171">
        <f t="shared" si="24"/>
        <v>71000</v>
      </c>
      <c r="L326" s="17">
        <v>50068</v>
      </c>
      <c r="N326" s="171">
        <f t="shared" si="25"/>
        <v>121068</v>
      </c>
      <c r="O326" s="91" t="s">
        <v>313</v>
      </c>
      <c r="P326" s="183"/>
      <c r="Q326" s="91" t="s">
        <v>40</v>
      </c>
    </row>
    <row r="327" spans="1:19" s="17" customFormat="1">
      <c r="A327" s="9">
        <v>44452</v>
      </c>
      <c r="B327" s="91" t="s">
        <v>313</v>
      </c>
      <c r="C327" s="123" t="s">
        <v>6317</v>
      </c>
      <c r="D327" s="92" t="s">
        <v>6446</v>
      </c>
      <c r="E327" s="754" t="s">
        <v>3334</v>
      </c>
      <c r="F327" s="754" t="s">
        <v>3335</v>
      </c>
      <c r="G327" s="30">
        <v>1</v>
      </c>
      <c r="H327" s="849">
        <v>73000</v>
      </c>
      <c r="I327" s="86">
        <f t="shared" si="23"/>
        <v>73000</v>
      </c>
      <c r="K327" s="171">
        <f t="shared" si="24"/>
        <v>73000</v>
      </c>
      <c r="N327" s="171">
        <f t="shared" si="25"/>
        <v>73000</v>
      </c>
      <c r="O327" s="91" t="s">
        <v>313</v>
      </c>
      <c r="P327" s="183"/>
      <c r="Q327" s="91" t="s">
        <v>40</v>
      </c>
    </row>
    <row r="328" spans="1:19" s="17" customFormat="1">
      <c r="A328" s="9">
        <v>44452</v>
      </c>
      <c r="B328" s="91" t="s">
        <v>23</v>
      </c>
      <c r="C328" s="91" t="s">
        <v>6449</v>
      </c>
      <c r="D328" s="92" t="s">
        <v>6450</v>
      </c>
      <c r="E328" s="739" t="s">
        <v>325</v>
      </c>
      <c r="F328" s="739" t="s">
        <v>326</v>
      </c>
      <c r="G328" s="30">
        <v>1</v>
      </c>
      <c r="H328" s="849">
        <v>129000</v>
      </c>
      <c r="I328" s="86">
        <f t="shared" si="23"/>
        <v>129000</v>
      </c>
      <c r="J328" s="17">
        <f>I328*20%</f>
        <v>25800</v>
      </c>
      <c r="K328" s="171">
        <f t="shared" si="24"/>
        <v>103200</v>
      </c>
      <c r="L328" s="17">
        <v>26000</v>
      </c>
      <c r="N328" s="171">
        <f t="shared" si="25"/>
        <v>129200</v>
      </c>
      <c r="O328" s="91" t="s">
        <v>23</v>
      </c>
      <c r="P328" s="864"/>
      <c r="Q328" s="91" t="s">
        <v>40</v>
      </c>
      <c r="S328" s="26"/>
    </row>
    <row r="329" spans="1:19" s="17" customFormat="1">
      <c r="A329" s="9">
        <v>44453</v>
      </c>
      <c r="B329" s="91" t="s">
        <v>23</v>
      </c>
      <c r="C329" s="123" t="s">
        <v>6451</v>
      </c>
      <c r="D329" s="92" t="s">
        <v>6452</v>
      </c>
      <c r="E329" s="782" t="s">
        <v>3328</v>
      </c>
      <c r="F329" s="782" t="s">
        <v>3329</v>
      </c>
      <c r="G329" s="30">
        <v>1</v>
      </c>
      <c r="H329" s="849">
        <v>65000</v>
      </c>
      <c r="I329" s="86">
        <f t="shared" si="23"/>
        <v>65000</v>
      </c>
      <c r="K329" s="171">
        <f t="shared" si="24"/>
        <v>65000</v>
      </c>
      <c r="L329" s="17">
        <v>23000</v>
      </c>
      <c r="N329" s="171">
        <f t="shared" si="25"/>
        <v>88000</v>
      </c>
      <c r="O329" s="91" t="s">
        <v>23</v>
      </c>
      <c r="P329" s="72"/>
      <c r="Q329" s="91" t="s">
        <v>40</v>
      </c>
    </row>
    <row r="330" spans="1:19" s="17" customFormat="1">
      <c r="A330" s="9">
        <v>44453</v>
      </c>
      <c r="B330" s="91" t="s">
        <v>23</v>
      </c>
      <c r="C330" s="123" t="s">
        <v>6451</v>
      </c>
      <c r="D330" s="92" t="s">
        <v>6453</v>
      </c>
      <c r="E330" s="782" t="s">
        <v>3764</v>
      </c>
      <c r="F330" s="782" t="s">
        <v>3765</v>
      </c>
      <c r="G330" s="30">
        <v>1</v>
      </c>
      <c r="H330" s="849">
        <v>87000</v>
      </c>
      <c r="I330" s="86">
        <f t="shared" si="23"/>
        <v>87000</v>
      </c>
      <c r="K330" s="171">
        <f t="shared" si="24"/>
        <v>87000</v>
      </c>
      <c r="N330" s="171">
        <f t="shared" si="25"/>
        <v>87000</v>
      </c>
      <c r="O330" s="91" t="s">
        <v>23</v>
      </c>
      <c r="P330" s="72"/>
      <c r="Q330" s="91" t="s">
        <v>40</v>
      </c>
    </row>
    <row r="331" spans="1:19" s="17" customFormat="1">
      <c r="A331" s="9">
        <v>44453</v>
      </c>
      <c r="B331" s="91" t="s">
        <v>313</v>
      </c>
      <c r="C331" s="123" t="s">
        <v>6317</v>
      </c>
      <c r="D331" s="92" t="s">
        <v>6318</v>
      </c>
      <c r="E331" s="865" t="s">
        <v>6255</v>
      </c>
      <c r="F331" s="865" t="s">
        <v>6256</v>
      </c>
      <c r="G331" s="30">
        <v>1</v>
      </c>
      <c r="H331" s="849">
        <v>78000</v>
      </c>
      <c r="I331" s="86">
        <f t="shared" si="23"/>
        <v>78000</v>
      </c>
      <c r="K331" s="171">
        <f t="shared" si="24"/>
        <v>78000</v>
      </c>
      <c r="L331" s="17">
        <v>55028</v>
      </c>
      <c r="N331" s="171">
        <f t="shared" si="25"/>
        <v>133028</v>
      </c>
      <c r="O331" s="91" t="s">
        <v>313</v>
      </c>
      <c r="P331" s="189"/>
      <c r="Q331" s="91" t="s">
        <v>40</v>
      </c>
      <c r="S331" s="189"/>
    </row>
    <row r="332" spans="1:19" s="17" customFormat="1">
      <c r="A332" s="9">
        <v>44453</v>
      </c>
      <c r="B332" s="91" t="s">
        <v>313</v>
      </c>
      <c r="C332" s="123" t="s">
        <v>6317</v>
      </c>
      <c r="D332" s="92" t="s">
        <v>6318</v>
      </c>
      <c r="E332" s="743" t="s">
        <v>3336</v>
      </c>
      <c r="F332" s="743" t="s">
        <v>3337</v>
      </c>
      <c r="G332" s="30">
        <v>1</v>
      </c>
      <c r="H332" s="849">
        <v>105000</v>
      </c>
      <c r="I332" s="86">
        <f t="shared" si="23"/>
        <v>105000</v>
      </c>
      <c r="K332" s="171">
        <f t="shared" si="24"/>
        <v>105000</v>
      </c>
      <c r="N332" s="171">
        <f t="shared" si="25"/>
        <v>105000</v>
      </c>
      <c r="O332" s="91" t="s">
        <v>313</v>
      </c>
      <c r="P332" s="72"/>
      <c r="Q332" s="91" t="s">
        <v>40</v>
      </c>
    </row>
    <row r="333" spans="1:19" s="17" customFormat="1" ht="288">
      <c r="A333" s="9">
        <v>44453</v>
      </c>
      <c r="B333" s="91" t="s">
        <v>23</v>
      </c>
      <c r="C333" s="123" t="s">
        <v>6454</v>
      </c>
      <c r="D333" s="881" t="s">
        <v>9438</v>
      </c>
      <c r="E333" s="76" t="s">
        <v>6455</v>
      </c>
      <c r="F333" s="76" t="s">
        <v>6456</v>
      </c>
      <c r="G333" s="30">
        <v>1</v>
      </c>
      <c r="H333" s="849">
        <v>81000</v>
      </c>
      <c r="I333" s="86">
        <f t="shared" si="23"/>
        <v>81000</v>
      </c>
      <c r="J333" s="17">
        <f>I333*20%</f>
        <v>16200</v>
      </c>
      <c r="K333" s="171">
        <f t="shared" si="24"/>
        <v>64800</v>
      </c>
      <c r="L333" s="17">
        <v>40000</v>
      </c>
      <c r="N333" s="171">
        <f t="shared" si="25"/>
        <v>104800</v>
      </c>
      <c r="O333" s="91" t="s">
        <v>23</v>
      </c>
      <c r="P333" s="26"/>
      <c r="Q333" s="91" t="s">
        <v>40</v>
      </c>
      <c r="S333" s="26"/>
    </row>
    <row r="334" spans="1:19" s="17" customFormat="1">
      <c r="A334" s="9">
        <v>44453</v>
      </c>
      <c r="B334" s="91" t="s">
        <v>313</v>
      </c>
      <c r="C334" s="123" t="s">
        <v>6457</v>
      </c>
      <c r="D334" s="92" t="s">
        <v>6458</v>
      </c>
      <c r="E334" s="76" t="s">
        <v>5066</v>
      </c>
      <c r="F334" s="76" t="s">
        <v>5067</v>
      </c>
      <c r="G334" s="30">
        <v>1</v>
      </c>
      <c r="H334" s="849">
        <v>75500</v>
      </c>
      <c r="I334" s="86">
        <f t="shared" si="23"/>
        <v>75500</v>
      </c>
      <c r="K334" s="171">
        <f t="shared" si="24"/>
        <v>75500</v>
      </c>
      <c r="L334" s="17">
        <v>57080</v>
      </c>
      <c r="N334" s="171">
        <f t="shared" si="25"/>
        <v>132580</v>
      </c>
      <c r="O334" s="91" t="s">
        <v>313</v>
      </c>
      <c r="P334" s="183"/>
      <c r="Q334" s="91" t="s">
        <v>40</v>
      </c>
    </row>
    <row r="335" spans="1:19" s="20" customFormat="1">
      <c r="A335" s="9">
        <v>44453</v>
      </c>
      <c r="B335" s="91" t="s">
        <v>43</v>
      </c>
      <c r="C335" s="123" t="s">
        <v>6459</v>
      </c>
      <c r="D335" s="29" t="s">
        <v>6460</v>
      </c>
      <c r="E335" s="739" t="s">
        <v>306</v>
      </c>
      <c r="F335" s="739" t="s">
        <v>307</v>
      </c>
      <c r="G335" s="656">
        <v>1</v>
      </c>
      <c r="H335" s="849">
        <v>90500</v>
      </c>
      <c r="I335" s="86">
        <f t="shared" si="23"/>
        <v>90500</v>
      </c>
      <c r="K335" s="171">
        <f t="shared" si="24"/>
        <v>90500</v>
      </c>
      <c r="L335" s="17">
        <v>65000</v>
      </c>
      <c r="M335" s="20">
        <v>-5068</v>
      </c>
      <c r="N335" s="171">
        <f t="shared" si="25"/>
        <v>150432</v>
      </c>
      <c r="O335" s="91" t="s">
        <v>43</v>
      </c>
      <c r="Q335" s="91" t="s">
        <v>54</v>
      </c>
    </row>
    <row r="336" spans="1:19" s="20" customFormat="1">
      <c r="A336" s="9">
        <v>44453</v>
      </c>
      <c r="B336" s="91" t="s">
        <v>43</v>
      </c>
      <c r="C336" s="123" t="s">
        <v>6461</v>
      </c>
      <c r="D336" s="29" t="s">
        <v>6462</v>
      </c>
      <c r="E336" s="76" t="s">
        <v>3972</v>
      </c>
      <c r="F336" s="76" t="s">
        <v>909</v>
      </c>
      <c r="G336" s="30">
        <v>1</v>
      </c>
      <c r="H336" s="849">
        <v>94000</v>
      </c>
      <c r="I336" s="86">
        <f t="shared" si="23"/>
        <v>94000</v>
      </c>
      <c r="K336" s="171">
        <f t="shared" si="24"/>
        <v>94000</v>
      </c>
      <c r="M336" s="20">
        <v>-5264</v>
      </c>
      <c r="N336" s="171">
        <f t="shared" si="25"/>
        <v>88736</v>
      </c>
      <c r="O336" s="91" t="s">
        <v>43</v>
      </c>
      <c r="Q336" s="91" t="s">
        <v>54</v>
      </c>
    </row>
    <row r="337" spans="1:17" s="20" customFormat="1">
      <c r="A337" s="9">
        <v>44453</v>
      </c>
      <c r="B337" s="91" t="s">
        <v>206</v>
      </c>
      <c r="C337" s="123" t="s">
        <v>6463</v>
      </c>
      <c r="D337" s="29" t="s">
        <v>6464</v>
      </c>
      <c r="E337" s="76" t="s">
        <v>6465</v>
      </c>
      <c r="F337" s="76" t="s">
        <v>6466</v>
      </c>
      <c r="G337" s="30">
        <v>1</v>
      </c>
      <c r="H337" s="849">
        <v>63000</v>
      </c>
      <c r="I337" s="86">
        <f t="shared" si="23"/>
        <v>63000</v>
      </c>
      <c r="K337" s="171">
        <f t="shared" si="24"/>
        <v>63000</v>
      </c>
      <c r="L337" s="20">
        <f>19400-19000</f>
        <v>400</v>
      </c>
      <c r="N337" s="171">
        <f t="shared" si="25"/>
        <v>63400</v>
      </c>
      <c r="O337" s="91" t="s">
        <v>206</v>
      </c>
      <c r="Q337" s="91" t="s">
        <v>5158</v>
      </c>
    </row>
    <row r="338" spans="1:17" s="20" customFormat="1">
      <c r="A338" s="9">
        <v>44453</v>
      </c>
      <c r="B338" s="91" t="s">
        <v>177</v>
      </c>
      <c r="C338" s="123" t="s">
        <v>6467</v>
      </c>
      <c r="D338" s="29" t="s">
        <v>6468</v>
      </c>
      <c r="E338" s="76" t="s">
        <v>4248</v>
      </c>
      <c r="F338" s="76" t="s">
        <v>1391</v>
      </c>
      <c r="G338" s="660">
        <v>1</v>
      </c>
      <c r="H338" s="849">
        <v>59500</v>
      </c>
      <c r="I338" s="86">
        <f t="shared" si="23"/>
        <v>59500</v>
      </c>
      <c r="K338" s="171">
        <f t="shared" si="24"/>
        <v>59500</v>
      </c>
      <c r="L338" s="20">
        <v>9000</v>
      </c>
      <c r="N338" s="171">
        <f t="shared" si="25"/>
        <v>68500</v>
      </c>
      <c r="O338" s="91" t="s">
        <v>177</v>
      </c>
      <c r="Q338" s="91" t="s">
        <v>54</v>
      </c>
    </row>
    <row r="339" spans="1:17" s="20" customFormat="1">
      <c r="A339" s="9">
        <v>44453</v>
      </c>
      <c r="B339" s="91" t="s">
        <v>43</v>
      </c>
      <c r="C339" s="91" t="s">
        <v>6469</v>
      </c>
      <c r="D339" s="29" t="s">
        <v>6470</v>
      </c>
      <c r="E339" s="76" t="s">
        <v>579</v>
      </c>
      <c r="F339" s="76" t="s">
        <v>72</v>
      </c>
      <c r="G339" s="684">
        <v>1</v>
      </c>
      <c r="H339" s="849">
        <v>81000</v>
      </c>
      <c r="I339" s="86">
        <f t="shared" si="23"/>
        <v>81000</v>
      </c>
      <c r="K339" s="171">
        <f t="shared" si="24"/>
        <v>81000</v>
      </c>
      <c r="L339" s="20">
        <v>17000</v>
      </c>
      <c r="M339" s="20">
        <v>-4536</v>
      </c>
      <c r="N339" s="171">
        <f t="shared" si="25"/>
        <v>93464</v>
      </c>
      <c r="O339" s="91" t="s">
        <v>43</v>
      </c>
      <c r="Q339" s="91" t="s">
        <v>54</v>
      </c>
    </row>
    <row r="340" spans="1:17" s="20" customFormat="1" ht="15.75" customHeight="1">
      <c r="A340" s="9">
        <v>44453</v>
      </c>
      <c r="B340" s="91" t="s">
        <v>43</v>
      </c>
      <c r="C340" s="123" t="s">
        <v>6471</v>
      </c>
      <c r="D340" s="29" t="s">
        <v>6472</v>
      </c>
      <c r="E340" s="76" t="s">
        <v>3339</v>
      </c>
      <c r="F340" s="76" t="s">
        <v>3340</v>
      </c>
      <c r="G340" s="30">
        <v>1</v>
      </c>
      <c r="H340" s="849">
        <v>136000</v>
      </c>
      <c r="I340" s="86">
        <f t="shared" si="23"/>
        <v>136000</v>
      </c>
      <c r="K340" s="171">
        <f t="shared" si="24"/>
        <v>136000</v>
      </c>
      <c r="L340" s="20">
        <v>9000</v>
      </c>
      <c r="M340" s="20">
        <v>-7616</v>
      </c>
      <c r="N340" s="171">
        <f t="shared" si="25"/>
        <v>137384</v>
      </c>
      <c r="O340" s="91" t="s">
        <v>43</v>
      </c>
      <c r="Q340" s="91" t="s">
        <v>176</v>
      </c>
    </row>
    <row r="341" spans="1:17" s="20" customFormat="1">
      <c r="A341" s="9">
        <v>44453</v>
      </c>
      <c r="B341" s="91" t="s">
        <v>23</v>
      </c>
      <c r="C341" s="91" t="s">
        <v>431</v>
      </c>
      <c r="D341" s="29" t="s">
        <v>31</v>
      </c>
      <c r="E341" s="785" t="s">
        <v>6473</v>
      </c>
      <c r="F341" s="785" t="s">
        <v>731</v>
      </c>
      <c r="G341" s="30">
        <v>1</v>
      </c>
      <c r="H341" s="849">
        <v>126000</v>
      </c>
      <c r="I341" s="86">
        <f t="shared" si="23"/>
        <v>126000</v>
      </c>
      <c r="J341" s="20">
        <f>I341*25%+40000</f>
        <v>71500</v>
      </c>
      <c r="K341" s="171">
        <f t="shared" si="24"/>
        <v>54500</v>
      </c>
      <c r="N341" s="171">
        <f t="shared" si="25"/>
        <v>54500</v>
      </c>
      <c r="O341" s="91" t="s">
        <v>23</v>
      </c>
      <c r="Q341" s="91" t="s">
        <v>35</v>
      </c>
    </row>
    <row r="342" spans="1:17" s="20" customFormat="1">
      <c r="A342" s="9">
        <v>44453</v>
      </c>
      <c r="B342" s="91" t="s">
        <v>23</v>
      </c>
      <c r="C342" s="91" t="s">
        <v>431</v>
      </c>
      <c r="D342" s="29" t="s">
        <v>31</v>
      </c>
      <c r="E342" s="738" t="s">
        <v>3348</v>
      </c>
      <c r="F342" s="738" t="s">
        <v>3349</v>
      </c>
      <c r="G342" s="30">
        <v>1</v>
      </c>
      <c r="H342" s="849">
        <v>88000</v>
      </c>
      <c r="I342" s="86">
        <f t="shared" si="23"/>
        <v>88000</v>
      </c>
      <c r="J342" s="20">
        <f>I342*25%</f>
        <v>22000</v>
      </c>
      <c r="K342" s="171">
        <f t="shared" si="24"/>
        <v>66000</v>
      </c>
      <c r="N342" s="171">
        <f t="shared" si="25"/>
        <v>66000</v>
      </c>
      <c r="O342" s="91" t="s">
        <v>23</v>
      </c>
      <c r="Q342" s="91" t="s">
        <v>35</v>
      </c>
    </row>
    <row r="343" spans="1:17" s="20" customFormat="1">
      <c r="A343" s="9">
        <v>44453</v>
      </c>
      <c r="B343" s="91" t="s">
        <v>23</v>
      </c>
      <c r="C343" s="123" t="s">
        <v>6474</v>
      </c>
      <c r="D343" s="29" t="s">
        <v>6475</v>
      </c>
      <c r="E343" s="739" t="s">
        <v>2288</v>
      </c>
      <c r="F343" s="739" t="s">
        <v>2289</v>
      </c>
      <c r="G343" s="30">
        <v>1</v>
      </c>
      <c r="H343" s="849">
        <v>69000</v>
      </c>
      <c r="I343" s="86">
        <f t="shared" si="23"/>
        <v>69000</v>
      </c>
      <c r="J343" s="20">
        <f>I343*20%</f>
        <v>13800</v>
      </c>
      <c r="K343" s="171">
        <f t="shared" si="24"/>
        <v>55200</v>
      </c>
      <c r="L343" s="20">
        <v>17000</v>
      </c>
      <c r="N343" s="171">
        <f t="shared" si="25"/>
        <v>72200</v>
      </c>
      <c r="O343" s="91" t="s">
        <v>23</v>
      </c>
      <c r="Q343" s="91" t="s">
        <v>40</v>
      </c>
    </row>
    <row r="344" spans="1:17" s="20" customFormat="1">
      <c r="A344" s="9">
        <v>44453</v>
      </c>
      <c r="B344" s="91" t="s">
        <v>23</v>
      </c>
      <c r="C344" s="123" t="s">
        <v>6474</v>
      </c>
      <c r="D344" s="29" t="s">
        <v>6475</v>
      </c>
      <c r="E344" s="76" t="s">
        <v>4384</v>
      </c>
      <c r="F344" s="76" t="s">
        <v>1323</v>
      </c>
      <c r="G344" s="30">
        <v>1</v>
      </c>
      <c r="H344" s="849">
        <v>98500</v>
      </c>
      <c r="I344" s="86">
        <f t="shared" si="23"/>
        <v>98500</v>
      </c>
      <c r="J344" s="20">
        <f>I344*20%</f>
        <v>19700</v>
      </c>
      <c r="K344" s="171">
        <f t="shared" si="24"/>
        <v>78800</v>
      </c>
      <c r="N344" s="171">
        <f t="shared" si="25"/>
        <v>78800</v>
      </c>
      <c r="O344" s="91" t="s">
        <v>23</v>
      </c>
      <c r="Q344" s="91" t="s">
        <v>40</v>
      </c>
    </row>
    <row r="345" spans="1:17" s="20" customFormat="1">
      <c r="A345" s="9">
        <v>44453</v>
      </c>
      <c r="B345" s="91" t="s">
        <v>23</v>
      </c>
      <c r="C345" s="91" t="s">
        <v>6476</v>
      </c>
      <c r="D345" s="29" t="s">
        <v>6477</v>
      </c>
      <c r="E345" s="759" t="s">
        <v>5871</v>
      </c>
      <c r="F345" s="759" t="s">
        <v>1526</v>
      </c>
      <c r="G345" s="30">
        <v>3</v>
      </c>
      <c r="H345" s="849">
        <v>39000</v>
      </c>
      <c r="I345" s="86">
        <f t="shared" si="23"/>
        <v>117000</v>
      </c>
      <c r="J345" s="20">
        <f>I345*20%</f>
        <v>23400</v>
      </c>
      <c r="K345" s="171">
        <f t="shared" si="24"/>
        <v>93600</v>
      </c>
      <c r="L345" s="20">
        <v>22000</v>
      </c>
      <c r="N345" s="171">
        <f t="shared" si="25"/>
        <v>115600</v>
      </c>
      <c r="O345" s="91" t="s">
        <v>23</v>
      </c>
      <c r="Q345" s="91" t="s">
        <v>54</v>
      </c>
    </row>
    <row r="346" spans="1:17" s="20" customFormat="1">
      <c r="A346" s="9">
        <v>44453</v>
      </c>
      <c r="B346" s="91" t="s">
        <v>23</v>
      </c>
      <c r="C346" s="91" t="s">
        <v>6476</v>
      </c>
      <c r="D346" s="29" t="s">
        <v>6477</v>
      </c>
      <c r="E346" s="759" t="s">
        <v>6478</v>
      </c>
      <c r="F346" s="759" t="s">
        <v>6479</v>
      </c>
      <c r="G346" s="30">
        <v>1</v>
      </c>
      <c r="H346" s="849">
        <v>53000</v>
      </c>
      <c r="I346" s="86">
        <f t="shared" si="23"/>
        <v>53000</v>
      </c>
      <c r="J346" s="20">
        <f t="shared" ref="J346:J348" si="26">I346*20%</f>
        <v>10600</v>
      </c>
      <c r="K346" s="171">
        <f t="shared" si="24"/>
        <v>42400</v>
      </c>
      <c r="N346" s="171">
        <f t="shared" si="25"/>
        <v>42400</v>
      </c>
      <c r="O346" s="91" t="s">
        <v>23</v>
      </c>
      <c r="Q346" s="91" t="s">
        <v>54</v>
      </c>
    </row>
    <row r="347" spans="1:17" s="20" customFormat="1">
      <c r="A347" s="9">
        <v>44453</v>
      </c>
      <c r="B347" s="91" t="s">
        <v>23</v>
      </c>
      <c r="C347" s="91" t="s">
        <v>6476</v>
      </c>
      <c r="D347" s="29" t="s">
        <v>6477</v>
      </c>
      <c r="E347" s="759" t="s">
        <v>6480</v>
      </c>
      <c r="F347" s="759" t="s">
        <v>6481</v>
      </c>
      <c r="G347" s="30">
        <v>1</v>
      </c>
      <c r="H347" s="849">
        <v>62000</v>
      </c>
      <c r="I347" s="86">
        <f t="shared" si="23"/>
        <v>62000</v>
      </c>
      <c r="J347" s="20">
        <f t="shared" si="26"/>
        <v>12400</v>
      </c>
      <c r="K347" s="171">
        <f t="shared" si="24"/>
        <v>49600</v>
      </c>
      <c r="N347" s="171">
        <f t="shared" si="25"/>
        <v>49600</v>
      </c>
      <c r="O347" s="91" t="s">
        <v>23</v>
      </c>
      <c r="Q347" s="91" t="s">
        <v>54</v>
      </c>
    </row>
    <row r="348" spans="1:17" s="20" customFormat="1">
      <c r="A348" s="9">
        <v>44453</v>
      </c>
      <c r="B348" s="91" t="s">
        <v>23</v>
      </c>
      <c r="C348" s="91" t="s">
        <v>6476</v>
      </c>
      <c r="D348" s="29" t="s">
        <v>6477</v>
      </c>
      <c r="E348" s="759" t="s">
        <v>2808</v>
      </c>
      <c r="F348" s="759" t="s">
        <v>2809</v>
      </c>
      <c r="G348" s="30">
        <v>1</v>
      </c>
      <c r="H348" s="849">
        <v>62000</v>
      </c>
      <c r="I348" s="86">
        <f t="shared" si="23"/>
        <v>62000</v>
      </c>
      <c r="J348" s="20">
        <f t="shared" si="26"/>
        <v>12400</v>
      </c>
      <c r="K348" s="171">
        <f t="shared" si="24"/>
        <v>49600</v>
      </c>
      <c r="N348" s="171">
        <f t="shared" si="25"/>
        <v>49600</v>
      </c>
      <c r="O348" s="91" t="s">
        <v>23</v>
      </c>
      <c r="Q348" s="91" t="s">
        <v>54</v>
      </c>
    </row>
    <row r="349" spans="1:17" s="20" customFormat="1">
      <c r="A349" s="9">
        <v>44454</v>
      </c>
      <c r="B349" s="91" t="s">
        <v>43</v>
      </c>
      <c r="C349" s="91" t="s">
        <v>6482</v>
      </c>
      <c r="D349" s="29" t="s">
        <v>6483</v>
      </c>
      <c r="E349" s="76" t="s">
        <v>5723</v>
      </c>
      <c r="F349" s="76" t="s">
        <v>5724</v>
      </c>
      <c r="G349" s="859">
        <v>1</v>
      </c>
      <c r="H349" s="849">
        <v>89000</v>
      </c>
      <c r="I349" s="86">
        <f t="shared" si="23"/>
        <v>89000</v>
      </c>
      <c r="K349" s="171">
        <f t="shared" si="24"/>
        <v>89000</v>
      </c>
      <c r="M349" s="20">
        <v>-4984</v>
      </c>
      <c r="N349" s="171">
        <f t="shared" si="25"/>
        <v>84016</v>
      </c>
      <c r="O349" s="91" t="s">
        <v>43</v>
      </c>
      <c r="Q349" s="91" t="s">
        <v>54</v>
      </c>
    </row>
    <row r="350" spans="1:17" s="20" customFormat="1">
      <c r="A350" s="9">
        <v>44454</v>
      </c>
      <c r="B350" s="91" t="s">
        <v>43</v>
      </c>
      <c r="C350" s="123" t="s">
        <v>6484</v>
      </c>
      <c r="D350" s="29" t="s">
        <v>6485</v>
      </c>
      <c r="E350" s="76" t="s">
        <v>2448</v>
      </c>
      <c r="F350" s="76" t="s">
        <v>2449</v>
      </c>
      <c r="G350" s="30">
        <v>1</v>
      </c>
      <c r="H350" s="849">
        <v>67000</v>
      </c>
      <c r="I350" s="86">
        <f t="shared" si="23"/>
        <v>67000</v>
      </c>
      <c r="K350" s="171">
        <f t="shared" si="24"/>
        <v>67000</v>
      </c>
      <c r="M350" s="20">
        <v>-3752</v>
      </c>
      <c r="N350" s="171">
        <f t="shared" si="25"/>
        <v>63248</v>
      </c>
      <c r="O350" s="91" t="s">
        <v>43</v>
      </c>
      <c r="Q350" s="91" t="s">
        <v>54</v>
      </c>
    </row>
    <row r="351" spans="1:17" s="20" customFormat="1">
      <c r="A351" s="9">
        <v>44454</v>
      </c>
      <c r="B351" s="91" t="s">
        <v>43</v>
      </c>
      <c r="C351" s="123" t="s">
        <v>6486</v>
      </c>
      <c r="D351" s="29" t="s">
        <v>6487</v>
      </c>
      <c r="E351" s="76" t="s">
        <v>4636</v>
      </c>
      <c r="F351" s="76" t="s">
        <v>4637</v>
      </c>
      <c r="G351" s="30">
        <v>1</v>
      </c>
      <c r="H351" s="849">
        <v>96000</v>
      </c>
      <c r="I351" s="86">
        <f t="shared" si="23"/>
        <v>96000</v>
      </c>
      <c r="K351" s="171">
        <f t="shared" si="24"/>
        <v>96000</v>
      </c>
      <c r="M351" s="20">
        <v>-5376</v>
      </c>
      <c r="N351" s="171">
        <f t="shared" si="25"/>
        <v>90624</v>
      </c>
      <c r="O351" s="91" t="s">
        <v>43</v>
      </c>
      <c r="Q351" s="91" t="s">
        <v>54</v>
      </c>
    </row>
    <row r="352" spans="1:17" s="20" customFormat="1">
      <c r="A352" s="9">
        <v>44454</v>
      </c>
      <c r="B352" s="91" t="s">
        <v>23</v>
      </c>
      <c r="C352" s="91" t="s">
        <v>431</v>
      </c>
      <c r="D352" s="29" t="s">
        <v>31</v>
      </c>
      <c r="E352" s="754" t="s">
        <v>3348</v>
      </c>
      <c r="F352" s="754" t="s">
        <v>3349</v>
      </c>
      <c r="G352" s="30">
        <v>1</v>
      </c>
      <c r="H352" s="849">
        <v>88000</v>
      </c>
      <c r="I352" s="86">
        <f t="shared" si="23"/>
        <v>88000</v>
      </c>
      <c r="J352" s="20">
        <f>I352*25%+40000</f>
        <v>62000</v>
      </c>
      <c r="K352" s="171">
        <f t="shared" si="24"/>
        <v>26000</v>
      </c>
      <c r="N352" s="171">
        <f t="shared" si="25"/>
        <v>26000</v>
      </c>
      <c r="O352" s="91" t="s">
        <v>23</v>
      </c>
      <c r="Q352" s="91" t="s">
        <v>35</v>
      </c>
    </row>
    <row r="353" spans="1:17" s="20" customFormat="1">
      <c r="A353" s="9">
        <v>44454</v>
      </c>
      <c r="B353" s="91" t="s">
        <v>23</v>
      </c>
      <c r="C353" s="91" t="s">
        <v>431</v>
      </c>
      <c r="D353" s="29" t="s">
        <v>31</v>
      </c>
      <c r="E353" s="754" t="s">
        <v>3572</v>
      </c>
      <c r="F353" s="754" t="s">
        <v>2101</v>
      </c>
      <c r="G353" s="30">
        <v>1</v>
      </c>
      <c r="H353" s="849">
        <v>180000</v>
      </c>
      <c r="I353" s="86">
        <f t="shared" si="23"/>
        <v>180000</v>
      </c>
      <c r="J353" s="20">
        <f>I353*25%</f>
        <v>45000</v>
      </c>
      <c r="K353" s="171">
        <f t="shared" si="24"/>
        <v>135000</v>
      </c>
      <c r="N353" s="171">
        <f t="shared" si="25"/>
        <v>135000</v>
      </c>
      <c r="O353" s="91" t="s">
        <v>23</v>
      </c>
      <c r="Q353" s="91" t="s">
        <v>35</v>
      </c>
    </row>
    <row r="354" spans="1:17" s="20" customFormat="1">
      <c r="A354" s="9">
        <v>44454</v>
      </c>
      <c r="B354" s="91" t="s">
        <v>23</v>
      </c>
      <c r="C354" s="123" t="s">
        <v>6488</v>
      </c>
      <c r="D354" s="29" t="s">
        <v>6489</v>
      </c>
      <c r="E354" s="29" t="s">
        <v>1001</v>
      </c>
      <c r="F354" s="29" t="s">
        <v>999</v>
      </c>
      <c r="G354" s="30">
        <v>1</v>
      </c>
      <c r="H354" s="849">
        <v>84500</v>
      </c>
      <c r="I354" s="86">
        <f t="shared" si="23"/>
        <v>84500</v>
      </c>
      <c r="J354" s="20">
        <f>I354*20%</f>
        <v>16900</v>
      </c>
      <c r="K354" s="171">
        <f t="shared" si="24"/>
        <v>67600</v>
      </c>
      <c r="L354" s="20">
        <v>84500</v>
      </c>
      <c r="N354" s="171">
        <f t="shared" si="25"/>
        <v>152100</v>
      </c>
      <c r="O354" s="91" t="s">
        <v>23</v>
      </c>
      <c r="Q354" s="91" t="s">
        <v>40</v>
      </c>
    </row>
    <row r="355" spans="1:17" s="20" customFormat="1">
      <c r="A355" s="9">
        <v>44454</v>
      </c>
      <c r="B355" s="91" t="s">
        <v>313</v>
      </c>
      <c r="C355" s="123" t="s">
        <v>6490</v>
      </c>
      <c r="D355" s="29" t="s">
        <v>6491</v>
      </c>
      <c r="E355" s="866" t="s">
        <v>4153</v>
      </c>
      <c r="F355" s="866" t="s">
        <v>4154</v>
      </c>
      <c r="G355" s="30">
        <v>2</v>
      </c>
      <c r="H355" s="849">
        <v>60000</v>
      </c>
      <c r="I355" s="86">
        <f t="shared" si="23"/>
        <v>120000</v>
      </c>
      <c r="K355" s="171">
        <f t="shared" si="24"/>
        <v>120000</v>
      </c>
      <c r="L355" s="20">
        <v>16001</v>
      </c>
      <c r="N355" s="171">
        <f t="shared" si="25"/>
        <v>136001</v>
      </c>
      <c r="O355" s="91" t="s">
        <v>23</v>
      </c>
      <c r="Q355" s="91" t="s">
        <v>54</v>
      </c>
    </row>
    <row r="356" spans="1:17" s="20" customFormat="1">
      <c r="A356" s="9">
        <v>44454</v>
      </c>
      <c r="B356" s="91" t="s">
        <v>313</v>
      </c>
      <c r="C356" s="123" t="s">
        <v>6490</v>
      </c>
      <c r="D356" s="29" t="s">
        <v>6492</v>
      </c>
      <c r="E356" s="867" t="s">
        <v>4961</v>
      </c>
      <c r="F356" s="867" t="s">
        <v>4962</v>
      </c>
      <c r="G356" s="30">
        <v>2</v>
      </c>
      <c r="H356" s="849">
        <v>39000</v>
      </c>
      <c r="I356" s="86">
        <f t="shared" si="23"/>
        <v>78000</v>
      </c>
      <c r="K356" s="171">
        <f t="shared" si="24"/>
        <v>78000</v>
      </c>
      <c r="N356" s="171">
        <f t="shared" si="25"/>
        <v>78000</v>
      </c>
      <c r="O356" s="91" t="s">
        <v>23</v>
      </c>
      <c r="Q356" s="91" t="s">
        <v>54</v>
      </c>
    </row>
    <row r="357" spans="1:17" s="20" customFormat="1">
      <c r="A357" s="9">
        <v>44454</v>
      </c>
      <c r="B357" s="91" t="s">
        <v>313</v>
      </c>
      <c r="C357" s="123" t="s">
        <v>6490</v>
      </c>
      <c r="D357" s="29" t="s">
        <v>6493</v>
      </c>
      <c r="E357" s="866" t="s">
        <v>6465</v>
      </c>
      <c r="F357" s="866" t="s">
        <v>6466</v>
      </c>
      <c r="G357" s="861">
        <v>1</v>
      </c>
      <c r="H357" s="849">
        <v>63000</v>
      </c>
      <c r="I357" s="86">
        <f t="shared" si="23"/>
        <v>63000</v>
      </c>
      <c r="K357" s="171">
        <f t="shared" si="24"/>
        <v>63000</v>
      </c>
      <c r="N357" s="171">
        <f t="shared" si="25"/>
        <v>63000</v>
      </c>
      <c r="O357" s="91" t="s">
        <v>23</v>
      </c>
      <c r="Q357" s="91" t="s">
        <v>54</v>
      </c>
    </row>
    <row r="358" spans="1:17" s="20" customFormat="1">
      <c r="A358" s="9">
        <v>44454</v>
      </c>
      <c r="B358" s="91" t="s">
        <v>43</v>
      </c>
      <c r="C358" s="91" t="s">
        <v>6494</v>
      </c>
      <c r="D358" s="29" t="s">
        <v>6495</v>
      </c>
      <c r="E358" s="76" t="s">
        <v>2169</v>
      </c>
      <c r="F358" s="76" t="s">
        <v>128</v>
      </c>
      <c r="G358" s="30">
        <v>1</v>
      </c>
      <c r="H358" s="849">
        <v>77500</v>
      </c>
      <c r="I358" s="86">
        <f t="shared" si="23"/>
        <v>77500</v>
      </c>
      <c r="K358" s="171">
        <f t="shared" si="24"/>
        <v>77500</v>
      </c>
      <c r="M358" s="20">
        <v>-4340</v>
      </c>
      <c r="N358" s="171">
        <f t="shared" si="25"/>
        <v>73160</v>
      </c>
      <c r="O358" s="91" t="s">
        <v>43</v>
      </c>
      <c r="Q358" s="91" t="s">
        <v>54</v>
      </c>
    </row>
    <row r="359" spans="1:17" s="20" customFormat="1">
      <c r="A359" s="9">
        <v>44454</v>
      </c>
      <c r="B359" s="91" t="s">
        <v>43</v>
      </c>
      <c r="C359" s="91" t="s">
        <v>6496</v>
      </c>
      <c r="D359" s="29" t="s">
        <v>6497</v>
      </c>
      <c r="E359" s="76" t="s">
        <v>5723</v>
      </c>
      <c r="F359" s="76" t="s">
        <v>5724</v>
      </c>
      <c r="G359" s="859">
        <v>1</v>
      </c>
      <c r="H359" s="849">
        <v>89000</v>
      </c>
      <c r="I359" s="86">
        <f t="shared" si="23"/>
        <v>89000</v>
      </c>
      <c r="K359" s="171">
        <f t="shared" si="24"/>
        <v>89000</v>
      </c>
      <c r="M359" s="20">
        <v>-4984</v>
      </c>
      <c r="N359" s="171">
        <f t="shared" si="25"/>
        <v>84016</v>
      </c>
      <c r="O359" s="91" t="s">
        <v>43</v>
      </c>
      <c r="Q359" s="91" t="s">
        <v>54</v>
      </c>
    </row>
    <row r="360" spans="1:17" s="20" customFormat="1">
      <c r="A360" s="9">
        <v>44454</v>
      </c>
      <c r="B360" s="406" t="s">
        <v>23</v>
      </c>
      <c r="C360" s="10" t="s">
        <v>6498</v>
      </c>
      <c r="D360" s="29" t="s">
        <v>6499</v>
      </c>
      <c r="E360" s="739" t="s">
        <v>1163</v>
      </c>
      <c r="F360" s="739" t="s">
        <v>1164</v>
      </c>
      <c r="G360" s="751">
        <v>27</v>
      </c>
      <c r="H360" s="849">
        <v>155000</v>
      </c>
      <c r="I360" s="86">
        <f t="shared" si="23"/>
        <v>4185000</v>
      </c>
      <c r="J360" s="20">
        <f>I360*35%</f>
        <v>1464750</v>
      </c>
      <c r="K360" s="171">
        <f t="shared" si="24"/>
        <v>2720250</v>
      </c>
      <c r="L360" s="20">
        <v>70000</v>
      </c>
      <c r="N360" s="171">
        <f t="shared" si="25"/>
        <v>2790250</v>
      </c>
      <c r="O360" s="406" t="s">
        <v>23</v>
      </c>
      <c r="Q360" s="10" t="s">
        <v>5552</v>
      </c>
    </row>
    <row r="361" spans="1:17" s="20" customFormat="1">
      <c r="A361" s="9">
        <v>44454</v>
      </c>
      <c r="B361" s="406" t="s">
        <v>23</v>
      </c>
      <c r="C361" s="10" t="s">
        <v>6500</v>
      </c>
      <c r="D361" s="29" t="s">
        <v>6501</v>
      </c>
      <c r="E361" s="739" t="s">
        <v>6502</v>
      </c>
      <c r="F361" s="739" t="s">
        <v>5385</v>
      </c>
      <c r="G361" s="751">
        <v>1</v>
      </c>
      <c r="H361" s="849">
        <v>60000</v>
      </c>
      <c r="I361" s="86">
        <f t="shared" si="23"/>
        <v>60000</v>
      </c>
      <c r="J361" s="20">
        <f>I361*20%</f>
        <v>12000</v>
      </c>
      <c r="K361" s="171">
        <f t="shared" si="24"/>
        <v>48000</v>
      </c>
      <c r="L361" s="20">
        <v>17000</v>
      </c>
      <c r="N361" s="171">
        <f t="shared" si="25"/>
        <v>65000</v>
      </c>
      <c r="O361" s="406" t="s">
        <v>23</v>
      </c>
      <c r="Q361" s="10" t="s">
        <v>40</v>
      </c>
    </row>
    <row r="362" spans="1:17" s="20" customFormat="1">
      <c r="A362" s="9">
        <v>44454</v>
      </c>
      <c r="B362" s="406" t="s">
        <v>43</v>
      </c>
      <c r="C362" s="11" t="s">
        <v>6503</v>
      </c>
      <c r="D362" s="29" t="s">
        <v>6504</v>
      </c>
      <c r="E362" s="739" t="s">
        <v>5667</v>
      </c>
      <c r="F362" s="739" t="s">
        <v>2882</v>
      </c>
      <c r="G362" s="751">
        <v>1</v>
      </c>
      <c r="H362" s="849">
        <v>112000</v>
      </c>
      <c r="I362" s="86">
        <f t="shared" si="23"/>
        <v>112000</v>
      </c>
      <c r="K362" s="171">
        <f t="shared" si="24"/>
        <v>112000</v>
      </c>
      <c r="M362" s="20">
        <v>-6272</v>
      </c>
      <c r="N362" s="171">
        <f t="shared" si="25"/>
        <v>105728</v>
      </c>
      <c r="O362" s="406" t="s">
        <v>43</v>
      </c>
      <c r="Q362" s="10" t="s">
        <v>54</v>
      </c>
    </row>
    <row r="363" spans="1:17" s="20" customFormat="1">
      <c r="A363" s="9">
        <v>44454</v>
      </c>
      <c r="B363" s="406" t="s">
        <v>23</v>
      </c>
      <c r="C363" s="10" t="s">
        <v>6505</v>
      </c>
      <c r="D363" s="29" t="s">
        <v>6506</v>
      </c>
      <c r="E363" s="76" t="s">
        <v>4043</v>
      </c>
      <c r="F363" s="76" t="s">
        <v>4044</v>
      </c>
      <c r="G363" s="751">
        <v>1</v>
      </c>
      <c r="H363" s="849">
        <v>81000</v>
      </c>
      <c r="I363" s="86">
        <f t="shared" si="23"/>
        <v>81000</v>
      </c>
      <c r="J363" s="20">
        <f>I363*20%</f>
        <v>16200</v>
      </c>
      <c r="K363" s="171">
        <f t="shared" si="24"/>
        <v>64800</v>
      </c>
      <c r="L363" s="20">
        <v>52000</v>
      </c>
      <c r="N363" s="171">
        <f t="shared" si="25"/>
        <v>116800</v>
      </c>
      <c r="O363" s="406" t="s">
        <v>23</v>
      </c>
      <c r="Q363" s="10" t="s">
        <v>40</v>
      </c>
    </row>
    <row r="364" spans="1:17" s="20" customFormat="1">
      <c r="A364" s="199">
        <v>44455</v>
      </c>
      <c r="B364" s="72" t="s">
        <v>313</v>
      </c>
      <c r="C364" s="183" t="s">
        <v>6507</v>
      </c>
      <c r="D364" s="29" t="s">
        <v>6508</v>
      </c>
      <c r="E364" s="745" t="s">
        <v>4947</v>
      </c>
      <c r="F364" s="745" t="s">
        <v>4948</v>
      </c>
      <c r="G364" s="56">
        <v>1</v>
      </c>
      <c r="H364" s="20">
        <v>116000</v>
      </c>
      <c r="I364" s="20">
        <f t="shared" si="23"/>
        <v>116000</v>
      </c>
      <c r="K364" s="171">
        <f t="shared" si="24"/>
        <v>116000</v>
      </c>
      <c r="L364" s="20">
        <v>17000</v>
      </c>
      <c r="N364" s="171">
        <f t="shared" si="25"/>
        <v>133000</v>
      </c>
      <c r="O364" s="72" t="s">
        <v>313</v>
      </c>
      <c r="Q364" s="72" t="s">
        <v>40</v>
      </c>
    </row>
    <row r="365" spans="1:17" s="20" customFormat="1">
      <c r="A365" s="9">
        <v>44455</v>
      </c>
      <c r="B365" s="10" t="s">
        <v>23</v>
      </c>
      <c r="C365" s="11" t="s">
        <v>6509</v>
      </c>
      <c r="D365" s="29" t="s">
        <v>31</v>
      </c>
      <c r="E365" s="868" t="s">
        <v>6510</v>
      </c>
      <c r="F365" s="868" t="s">
        <v>6509</v>
      </c>
      <c r="G365" s="30">
        <v>2</v>
      </c>
      <c r="H365" s="849">
        <v>185000</v>
      </c>
      <c r="I365" s="86">
        <f t="shared" si="23"/>
        <v>370000</v>
      </c>
      <c r="J365" s="20">
        <f>I365*20%</f>
        <v>74000</v>
      </c>
      <c r="K365" s="171">
        <f t="shared" si="24"/>
        <v>296000</v>
      </c>
      <c r="N365" s="171">
        <f t="shared" si="25"/>
        <v>296000</v>
      </c>
      <c r="O365" s="10" t="s">
        <v>23</v>
      </c>
      <c r="Q365" s="10" t="s">
        <v>283</v>
      </c>
    </row>
    <row r="366" spans="1:17" s="20" customFormat="1">
      <c r="A366" s="9">
        <v>44455</v>
      </c>
      <c r="B366" s="10" t="s">
        <v>23</v>
      </c>
      <c r="C366" s="11" t="s">
        <v>6509</v>
      </c>
      <c r="D366" s="29" t="s">
        <v>31</v>
      </c>
      <c r="E366" s="868" t="s">
        <v>2207</v>
      </c>
      <c r="F366" s="868" t="s">
        <v>2208</v>
      </c>
      <c r="G366" s="30">
        <v>1</v>
      </c>
      <c r="H366" s="849">
        <v>147000</v>
      </c>
      <c r="I366" s="86">
        <f t="shared" si="23"/>
        <v>147000</v>
      </c>
      <c r="J366" s="20">
        <f>I366*20%</f>
        <v>29400</v>
      </c>
      <c r="K366" s="171">
        <f t="shared" si="24"/>
        <v>117600</v>
      </c>
      <c r="N366" s="171">
        <f t="shared" si="25"/>
        <v>117600</v>
      </c>
      <c r="O366" s="10" t="s">
        <v>23</v>
      </c>
      <c r="Q366" s="10" t="s">
        <v>283</v>
      </c>
    </row>
    <row r="367" spans="1:17" s="20" customFormat="1">
      <c r="A367" s="9">
        <v>44455</v>
      </c>
      <c r="B367" s="91" t="s">
        <v>23</v>
      </c>
      <c r="C367" s="91" t="s">
        <v>6511</v>
      </c>
      <c r="D367" s="29" t="s">
        <v>6512</v>
      </c>
      <c r="E367" s="754" t="s">
        <v>5109</v>
      </c>
      <c r="F367" s="754" t="s">
        <v>5108</v>
      </c>
      <c r="G367" s="30">
        <v>1</v>
      </c>
      <c r="H367" s="869">
        <v>57000</v>
      </c>
      <c r="I367" s="86">
        <f t="shared" si="23"/>
        <v>57000</v>
      </c>
      <c r="J367" s="20">
        <f>I367*25%</f>
        <v>14250</v>
      </c>
      <c r="K367" s="171">
        <f t="shared" si="24"/>
        <v>42750</v>
      </c>
      <c r="L367" s="20">
        <v>80000</v>
      </c>
      <c r="N367" s="171">
        <f t="shared" si="25"/>
        <v>122750</v>
      </c>
      <c r="O367" s="91" t="s">
        <v>23</v>
      </c>
      <c r="Q367" s="91" t="s">
        <v>40</v>
      </c>
    </row>
    <row r="368" spans="1:17" s="20" customFormat="1">
      <c r="A368" s="9">
        <v>44455</v>
      </c>
      <c r="B368" s="91" t="s">
        <v>23</v>
      </c>
      <c r="C368" s="91" t="s">
        <v>6511</v>
      </c>
      <c r="D368" s="29" t="s">
        <v>6512</v>
      </c>
      <c r="E368" s="754" t="s">
        <v>6513</v>
      </c>
      <c r="F368" s="754" t="s">
        <v>6514</v>
      </c>
      <c r="G368" s="30">
        <v>1</v>
      </c>
      <c r="H368" s="869">
        <v>79000</v>
      </c>
      <c r="I368" s="86">
        <f t="shared" si="23"/>
        <v>79000</v>
      </c>
      <c r="J368" s="20">
        <f t="shared" ref="J368:J383" si="27">I368*25%</f>
        <v>19750</v>
      </c>
      <c r="K368" s="171">
        <f t="shared" si="24"/>
        <v>59250</v>
      </c>
      <c r="N368" s="171">
        <f t="shared" si="25"/>
        <v>59250</v>
      </c>
      <c r="O368" s="91" t="s">
        <v>23</v>
      </c>
      <c r="Q368" s="91" t="s">
        <v>40</v>
      </c>
    </row>
    <row r="369" spans="1:17" s="20" customFormat="1">
      <c r="A369" s="9">
        <v>44455</v>
      </c>
      <c r="B369" s="91" t="s">
        <v>23</v>
      </c>
      <c r="C369" s="91" t="s">
        <v>6511</v>
      </c>
      <c r="D369" s="29" t="s">
        <v>6512</v>
      </c>
      <c r="E369" s="754" t="s">
        <v>6515</v>
      </c>
      <c r="F369" s="754" t="s">
        <v>6516</v>
      </c>
      <c r="G369" s="30">
        <v>1</v>
      </c>
      <c r="H369" s="869">
        <v>40000</v>
      </c>
      <c r="I369" s="86">
        <f t="shared" si="23"/>
        <v>40000</v>
      </c>
      <c r="J369" s="20">
        <f t="shared" si="27"/>
        <v>10000</v>
      </c>
      <c r="K369" s="171">
        <f t="shared" si="24"/>
        <v>30000</v>
      </c>
      <c r="N369" s="171">
        <f t="shared" si="25"/>
        <v>30000</v>
      </c>
      <c r="O369" s="91" t="s">
        <v>23</v>
      </c>
      <c r="Q369" s="91" t="s">
        <v>40</v>
      </c>
    </row>
    <row r="370" spans="1:17" s="364" customFormat="1">
      <c r="A370" s="9">
        <v>44455</v>
      </c>
      <c r="B370" s="91" t="s">
        <v>23</v>
      </c>
      <c r="C370" s="91" t="s">
        <v>6511</v>
      </c>
      <c r="D370" s="29" t="s">
        <v>6512</v>
      </c>
      <c r="E370" s="754" t="s">
        <v>6517</v>
      </c>
      <c r="F370" s="754" t="s">
        <v>6518</v>
      </c>
      <c r="G370" s="30">
        <v>1</v>
      </c>
      <c r="H370" s="869">
        <v>125000</v>
      </c>
      <c r="I370" s="86">
        <f t="shared" si="23"/>
        <v>125000</v>
      </c>
      <c r="J370" s="20">
        <f t="shared" si="27"/>
        <v>31250</v>
      </c>
      <c r="K370" s="171">
        <f t="shared" si="24"/>
        <v>93750</v>
      </c>
      <c r="N370" s="171">
        <f t="shared" si="25"/>
        <v>93750</v>
      </c>
      <c r="O370" s="91" t="s">
        <v>23</v>
      </c>
      <c r="Q370" s="91" t="s">
        <v>40</v>
      </c>
    </row>
    <row r="371" spans="1:17" s="364" customFormat="1">
      <c r="A371" s="9">
        <v>44455</v>
      </c>
      <c r="B371" s="91" t="s">
        <v>23</v>
      </c>
      <c r="C371" s="91" t="s">
        <v>6511</v>
      </c>
      <c r="D371" s="29" t="s">
        <v>6512</v>
      </c>
      <c r="E371" s="754" t="s">
        <v>6519</v>
      </c>
      <c r="F371" s="754" t="s">
        <v>6520</v>
      </c>
      <c r="G371" s="30">
        <v>1</v>
      </c>
      <c r="H371" s="869">
        <v>64000</v>
      </c>
      <c r="I371" s="86">
        <f t="shared" si="23"/>
        <v>64000</v>
      </c>
      <c r="J371" s="20">
        <f t="shared" si="27"/>
        <v>16000</v>
      </c>
      <c r="K371" s="171">
        <f t="shared" si="24"/>
        <v>48000</v>
      </c>
      <c r="N371" s="171">
        <f t="shared" si="25"/>
        <v>48000</v>
      </c>
      <c r="O371" s="91" t="s">
        <v>23</v>
      </c>
      <c r="Q371" s="91" t="s">
        <v>40</v>
      </c>
    </row>
    <row r="372" spans="1:17" s="364" customFormat="1">
      <c r="A372" s="9">
        <v>44455</v>
      </c>
      <c r="B372" s="91" t="s">
        <v>23</v>
      </c>
      <c r="C372" s="91" t="s">
        <v>6511</v>
      </c>
      <c r="D372" s="29" t="s">
        <v>6512</v>
      </c>
      <c r="E372" s="754" t="s">
        <v>6521</v>
      </c>
      <c r="F372" s="754" t="s">
        <v>6522</v>
      </c>
      <c r="G372" s="30">
        <v>1</v>
      </c>
      <c r="H372" s="869">
        <v>72000</v>
      </c>
      <c r="I372" s="86">
        <f t="shared" si="23"/>
        <v>72000</v>
      </c>
      <c r="J372" s="20">
        <f t="shared" si="27"/>
        <v>18000</v>
      </c>
      <c r="K372" s="171">
        <f t="shared" si="24"/>
        <v>54000</v>
      </c>
      <c r="N372" s="171">
        <f t="shared" si="25"/>
        <v>54000</v>
      </c>
      <c r="O372" s="91" t="s">
        <v>23</v>
      </c>
      <c r="Q372" s="91" t="s">
        <v>40</v>
      </c>
    </row>
    <row r="373" spans="1:17" s="364" customFormat="1">
      <c r="A373" s="9">
        <v>44455</v>
      </c>
      <c r="B373" s="91" t="s">
        <v>23</v>
      </c>
      <c r="C373" s="91" t="s">
        <v>6511</v>
      </c>
      <c r="D373" s="29" t="s">
        <v>6512</v>
      </c>
      <c r="E373" s="754" t="s">
        <v>6523</v>
      </c>
      <c r="F373" s="754" t="s">
        <v>6524</v>
      </c>
      <c r="G373" s="30">
        <v>1</v>
      </c>
      <c r="H373" s="869">
        <v>42000</v>
      </c>
      <c r="I373" s="86">
        <f t="shared" si="23"/>
        <v>42000</v>
      </c>
      <c r="J373" s="20">
        <f t="shared" si="27"/>
        <v>10500</v>
      </c>
      <c r="K373" s="171">
        <f t="shared" si="24"/>
        <v>31500</v>
      </c>
      <c r="N373" s="171">
        <f t="shared" si="25"/>
        <v>31500</v>
      </c>
      <c r="O373" s="91" t="s">
        <v>23</v>
      </c>
      <c r="Q373" s="91" t="s">
        <v>40</v>
      </c>
    </row>
    <row r="374" spans="1:17" s="364" customFormat="1">
      <c r="A374" s="9">
        <v>44455</v>
      </c>
      <c r="B374" s="91" t="s">
        <v>23</v>
      </c>
      <c r="C374" s="91" t="s">
        <v>6511</v>
      </c>
      <c r="D374" s="29" t="s">
        <v>6512</v>
      </c>
      <c r="E374" s="754" t="s">
        <v>6525</v>
      </c>
      <c r="F374" s="754" t="s">
        <v>6526</v>
      </c>
      <c r="G374" s="30">
        <v>1</v>
      </c>
      <c r="H374" s="869">
        <v>76000</v>
      </c>
      <c r="I374" s="86">
        <f t="shared" si="23"/>
        <v>76000</v>
      </c>
      <c r="J374" s="20">
        <f t="shared" si="27"/>
        <v>19000</v>
      </c>
      <c r="K374" s="171">
        <f t="shared" si="24"/>
        <v>57000</v>
      </c>
      <c r="N374" s="171">
        <f t="shared" si="25"/>
        <v>57000</v>
      </c>
      <c r="O374" s="91" t="s">
        <v>23</v>
      </c>
      <c r="Q374" s="91" t="s">
        <v>40</v>
      </c>
    </row>
    <row r="375" spans="1:17" s="364" customFormat="1">
      <c r="A375" s="9">
        <v>44455</v>
      </c>
      <c r="B375" s="91" t="s">
        <v>23</v>
      </c>
      <c r="C375" s="91" t="s">
        <v>6511</v>
      </c>
      <c r="D375" s="29" t="s">
        <v>6512</v>
      </c>
      <c r="E375" s="754" t="s">
        <v>6527</v>
      </c>
      <c r="F375" s="754" t="s">
        <v>6528</v>
      </c>
      <c r="G375" s="870">
        <v>1</v>
      </c>
      <c r="H375" s="869">
        <v>59000</v>
      </c>
      <c r="I375" s="86">
        <f t="shared" si="23"/>
        <v>59000</v>
      </c>
      <c r="J375" s="20">
        <f t="shared" si="27"/>
        <v>14750</v>
      </c>
      <c r="K375" s="171">
        <f t="shared" si="24"/>
        <v>44250</v>
      </c>
      <c r="N375" s="171">
        <f t="shared" si="25"/>
        <v>44250</v>
      </c>
      <c r="O375" s="91" t="s">
        <v>23</v>
      </c>
      <c r="Q375" s="91" t="s">
        <v>40</v>
      </c>
    </row>
    <row r="376" spans="1:17" s="364" customFormat="1">
      <c r="A376" s="9">
        <v>44455</v>
      </c>
      <c r="B376" s="91" t="s">
        <v>23</v>
      </c>
      <c r="C376" s="91" t="s">
        <v>6511</v>
      </c>
      <c r="D376" s="29" t="s">
        <v>6512</v>
      </c>
      <c r="E376" s="754" t="s">
        <v>4738</v>
      </c>
      <c r="F376" s="754" t="s">
        <v>4739</v>
      </c>
      <c r="G376" s="30">
        <v>1</v>
      </c>
      <c r="H376" s="869">
        <v>48000</v>
      </c>
      <c r="I376" s="86">
        <f t="shared" si="23"/>
        <v>48000</v>
      </c>
      <c r="J376" s="20">
        <f t="shared" si="27"/>
        <v>12000</v>
      </c>
      <c r="K376" s="171">
        <f t="shared" si="24"/>
        <v>36000</v>
      </c>
      <c r="N376" s="171">
        <f t="shared" si="25"/>
        <v>36000</v>
      </c>
      <c r="O376" s="91" t="s">
        <v>23</v>
      </c>
      <c r="Q376" s="91" t="s">
        <v>40</v>
      </c>
    </row>
    <row r="377" spans="1:17" s="364" customFormat="1">
      <c r="A377" s="9">
        <v>44455</v>
      </c>
      <c r="B377" s="91" t="s">
        <v>23</v>
      </c>
      <c r="C377" s="91" t="s">
        <v>6511</v>
      </c>
      <c r="D377" s="29" t="s">
        <v>6512</v>
      </c>
      <c r="E377" s="754" t="s">
        <v>5107</v>
      </c>
      <c r="F377" s="754" t="s">
        <v>5108</v>
      </c>
      <c r="G377" s="30">
        <v>1</v>
      </c>
      <c r="H377" s="869">
        <v>35000</v>
      </c>
      <c r="I377" s="86">
        <f t="shared" si="23"/>
        <v>35000</v>
      </c>
      <c r="J377" s="20">
        <f t="shared" si="27"/>
        <v>8750</v>
      </c>
      <c r="K377" s="171">
        <f t="shared" si="24"/>
        <v>26250</v>
      </c>
      <c r="N377" s="171">
        <f t="shared" si="25"/>
        <v>26250</v>
      </c>
      <c r="O377" s="91" t="s">
        <v>23</v>
      </c>
      <c r="Q377" s="91" t="s">
        <v>40</v>
      </c>
    </row>
    <row r="378" spans="1:17" s="364" customFormat="1">
      <c r="A378" s="9">
        <v>44455</v>
      </c>
      <c r="B378" s="91" t="s">
        <v>23</v>
      </c>
      <c r="C378" s="91" t="s">
        <v>6511</v>
      </c>
      <c r="D378" s="29" t="s">
        <v>6512</v>
      </c>
      <c r="E378" s="754" t="s">
        <v>6529</v>
      </c>
      <c r="F378" s="754" t="s">
        <v>6530</v>
      </c>
      <c r="G378" s="30">
        <v>1</v>
      </c>
      <c r="H378" s="869">
        <v>28000</v>
      </c>
      <c r="I378" s="86">
        <f t="shared" si="23"/>
        <v>28000</v>
      </c>
      <c r="J378" s="20">
        <f t="shared" si="27"/>
        <v>7000</v>
      </c>
      <c r="K378" s="171">
        <f t="shared" si="24"/>
        <v>21000</v>
      </c>
      <c r="N378" s="171">
        <f t="shared" si="25"/>
        <v>21000</v>
      </c>
      <c r="O378" s="91" t="s">
        <v>23</v>
      </c>
      <c r="Q378" s="91" t="s">
        <v>40</v>
      </c>
    </row>
    <row r="379" spans="1:17" s="364" customFormat="1">
      <c r="A379" s="9">
        <v>44455</v>
      </c>
      <c r="B379" s="91" t="s">
        <v>23</v>
      </c>
      <c r="C379" s="91" t="s">
        <v>6511</v>
      </c>
      <c r="D379" s="29" t="s">
        <v>6512</v>
      </c>
      <c r="E379" s="754" t="s">
        <v>6531</v>
      </c>
      <c r="F379" s="754" t="s">
        <v>132</v>
      </c>
      <c r="G379" s="30">
        <v>1</v>
      </c>
      <c r="H379" s="869">
        <v>100000</v>
      </c>
      <c r="I379" s="86">
        <f t="shared" si="23"/>
        <v>100000</v>
      </c>
      <c r="J379" s="20">
        <f t="shared" si="27"/>
        <v>25000</v>
      </c>
      <c r="K379" s="171">
        <f t="shared" si="24"/>
        <v>75000</v>
      </c>
      <c r="N379" s="171">
        <f t="shared" si="25"/>
        <v>75000</v>
      </c>
      <c r="O379" s="91" t="s">
        <v>23</v>
      </c>
      <c r="Q379" s="91" t="s">
        <v>40</v>
      </c>
    </row>
    <row r="380" spans="1:17" s="364" customFormat="1">
      <c r="A380" s="9">
        <v>44455</v>
      </c>
      <c r="B380" s="91" t="s">
        <v>23</v>
      </c>
      <c r="C380" s="91" t="s">
        <v>6511</v>
      </c>
      <c r="D380" s="29" t="s">
        <v>6512</v>
      </c>
      <c r="E380" s="754" t="s">
        <v>6532</v>
      </c>
      <c r="F380" s="754" t="s">
        <v>6533</v>
      </c>
      <c r="G380" s="30">
        <v>1</v>
      </c>
      <c r="H380" s="869">
        <v>30000</v>
      </c>
      <c r="I380" s="86">
        <f t="shared" si="23"/>
        <v>30000</v>
      </c>
      <c r="J380" s="20">
        <f t="shared" si="27"/>
        <v>7500</v>
      </c>
      <c r="K380" s="171">
        <f t="shared" si="24"/>
        <v>22500</v>
      </c>
      <c r="N380" s="171">
        <f t="shared" si="25"/>
        <v>22500</v>
      </c>
      <c r="O380" s="91" t="s">
        <v>23</v>
      </c>
      <c r="Q380" s="91" t="s">
        <v>40</v>
      </c>
    </row>
    <row r="381" spans="1:17" s="364" customFormat="1">
      <c r="A381" s="9">
        <v>44455</v>
      </c>
      <c r="B381" s="91" t="s">
        <v>23</v>
      </c>
      <c r="C381" s="91" t="s">
        <v>6511</v>
      </c>
      <c r="D381" s="29" t="s">
        <v>6512</v>
      </c>
      <c r="E381" s="754" t="s">
        <v>6534</v>
      </c>
      <c r="F381" s="754" t="s">
        <v>4045</v>
      </c>
      <c r="G381" s="30">
        <v>1</v>
      </c>
      <c r="H381" s="869">
        <v>149000</v>
      </c>
      <c r="I381" s="86">
        <f t="shared" si="23"/>
        <v>149000</v>
      </c>
      <c r="J381" s="20">
        <f t="shared" si="27"/>
        <v>37250</v>
      </c>
      <c r="K381" s="171">
        <f t="shared" si="24"/>
        <v>111750</v>
      </c>
      <c r="N381" s="171">
        <f t="shared" si="25"/>
        <v>111750</v>
      </c>
      <c r="O381" s="91" t="s">
        <v>23</v>
      </c>
      <c r="Q381" s="91" t="s">
        <v>40</v>
      </c>
    </row>
    <row r="382" spans="1:17" s="364" customFormat="1">
      <c r="A382" s="9">
        <v>44455</v>
      </c>
      <c r="B382" s="91" t="s">
        <v>23</v>
      </c>
      <c r="C382" s="91" t="s">
        <v>1114</v>
      </c>
      <c r="D382" s="29" t="s">
        <v>6535</v>
      </c>
      <c r="E382" s="746" t="s">
        <v>6513</v>
      </c>
      <c r="F382" s="746" t="s">
        <v>6514</v>
      </c>
      <c r="G382" s="30">
        <v>1</v>
      </c>
      <c r="H382" s="869">
        <v>79000</v>
      </c>
      <c r="I382" s="86">
        <f t="shared" si="23"/>
        <v>79000</v>
      </c>
      <c r="J382" s="20">
        <f t="shared" si="27"/>
        <v>19750</v>
      </c>
      <c r="K382" s="171">
        <f t="shared" si="24"/>
        <v>59250</v>
      </c>
      <c r="L382" s="364">
        <v>16000</v>
      </c>
      <c r="N382" s="171">
        <f t="shared" si="25"/>
        <v>75250</v>
      </c>
      <c r="O382" s="91" t="s">
        <v>23</v>
      </c>
      <c r="Q382" s="91" t="s">
        <v>40</v>
      </c>
    </row>
    <row r="383" spans="1:17" s="364" customFormat="1">
      <c r="A383" s="9">
        <v>44455</v>
      </c>
      <c r="B383" s="91" t="s">
        <v>23</v>
      </c>
      <c r="C383" s="91" t="s">
        <v>1114</v>
      </c>
      <c r="D383" s="29" t="s">
        <v>6535</v>
      </c>
      <c r="E383" s="746" t="s">
        <v>6515</v>
      </c>
      <c r="F383" s="746" t="s">
        <v>6516</v>
      </c>
      <c r="G383" s="30">
        <v>1</v>
      </c>
      <c r="H383" s="869">
        <v>40000</v>
      </c>
      <c r="I383" s="86">
        <f t="shared" si="23"/>
        <v>40000</v>
      </c>
      <c r="J383" s="20">
        <f t="shared" si="27"/>
        <v>10000</v>
      </c>
      <c r="K383" s="171">
        <f t="shared" si="24"/>
        <v>30000</v>
      </c>
      <c r="N383" s="171">
        <f t="shared" si="25"/>
        <v>30000</v>
      </c>
      <c r="O383" s="91" t="s">
        <v>23</v>
      </c>
      <c r="Q383" s="91" t="s">
        <v>40</v>
      </c>
    </row>
    <row r="384" spans="1:17" s="364" customFormat="1">
      <c r="A384" s="9">
        <v>44455</v>
      </c>
      <c r="B384" s="91" t="s">
        <v>23</v>
      </c>
      <c r="C384" s="123" t="s">
        <v>6536</v>
      </c>
      <c r="D384" s="76" t="s">
        <v>6537</v>
      </c>
      <c r="E384" s="76" t="s">
        <v>4677</v>
      </c>
      <c r="F384" s="76" t="s">
        <v>4678</v>
      </c>
      <c r="G384" s="30">
        <v>1</v>
      </c>
      <c r="H384" s="869">
        <v>93000</v>
      </c>
      <c r="I384" s="86">
        <f t="shared" si="23"/>
        <v>93000</v>
      </c>
      <c r="K384" s="171">
        <f t="shared" si="24"/>
        <v>93000</v>
      </c>
      <c r="L384" s="364">
        <v>6007</v>
      </c>
      <c r="N384" s="171">
        <f t="shared" si="25"/>
        <v>99007</v>
      </c>
      <c r="O384" s="91" t="s">
        <v>23</v>
      </c>
      <c r="Q384" s="91" t="s">
        <v>28</v>
      </c>
    </row>
    <row r="385" spans="1:17" s="364" customFormat="1">
      <c r="A385" s="9">
        <v>44455</v>
      </c>
      <c r="B385" s="91" t="s">
        <v>43</v>
      </c>
      <c r="C385" s="91" t="s">
        <v>6538</v>
      </c>
      <c r="D385" s="76" t="s">
        <v>6539</v>
      </c>
      <c r="E385" s="76" t="s">
        <v>1685</v>
      </c>
      <c r="F385" s="76" t="s">
        <v>1686</v>
      </c>
      <c r="G385" s="30">
        <v>1</v>
      </c>
      <c r="H385" s="869">
        <v>105000</v>
      </c>
      <c r="I385" s="86">
        <f t="shared" si="23"/>
        <v>105000</v>
      </c>
      <c r="K385" s="171">
        <f t="shared" ref="K385:K448" si="28">I385-J385</f>
        <v>105000</v>
      </c>
      <c r="M385" s="364">
        <v>-5880</v>
      </c>
      <c r="N385" s="171">
        <f t="shared" ref="N385:N448" si="29">K385+L385+M385</f>
        <v>99120</v>
      </c>
      <c r="O385" s="91" t="s">
        <v>43</v>
      </c>
      <c r="Q385" s="91" t="s">
        <v>54</v>
      </c>
    </row>
    <row r="386" spans="1:17" s="364" customFormat="1">
      <c r="A386" s="9">
        <v>44455</v>
      </c>
      <c r="B386" s="91" t="s">
        <v>43</v>
      </c>
      <c r="C386" s="91" t="s">
        <v>6540</v>
      </c>
      <c r="D386" s="76" t="s">
        <v>6470</v>
      </c>
      <c r="E386" s="76" t="s">
        <v>579</v>
      </c>
      <c r="F386" s="76" t="s">
        <v>72</v>
      </c>
      <c r="G386" s="30">
        <v>1</v>
      </c>
      <c r="H386" s="869">
        <v>81000</v>
      </c>
      <c r="I386" s="86">
        <f t="shared" si="23"/>
        <v>81000</v>
      </c>
      <c r="K386" s="171">
        <f t="shared" si="28"/>
        <v>81000</v>
      </c>
      <c r="M386" s="364">
        <v>-4536</v>
      </c>
      <c r="N386" s="171">
        <f t="shared" si="29"/>
        <v>76464</v>
      </c>
      <c r="O386" s="91" t="s">
        <v>43</v>
      </c>
      <c r="Q386" s="91" t="s">
        <v>176</v>
      </c>
    </row>
    <row r="387" spans="1:17" s="364" customFormat="1">
      <c r="A387" s="9">
        <v>44455</v>
      </c>
      <c r="B387" s="91" t="s">
        <v>206</v>
      </c>
      <c r="C387" s="123" t="s">
        <v>6541</v>
      </c>
      <c r="D387" s="76" t="s">
        <v>6542</v>
      </c>
      <c r="E387" s="76" t="s">
        <v>186</v>
      </c>
      <c r="F387" s="76" t="s">
        <v>6543</v>
      </c>
      <c r="G387" s="30">
        <v>2</v>
      </c>
      <c r="H387" s="869">
        <v>84000</v>
      </c>
      <c r="I387" s="86">
        <f t="shared" si="23"/>
        <v>168000</v>
      </c>
      <c r="K387" s="171">
        <f t="shared" si="28"/>
        <v>168000</v>
      </c>
      <c r="L387" s="364">
        <f>16800-16000</f>
        <v>800</v>
      </c>
      <c r="N387" s="171">
        <f t="shared" si="29"/>
        <v>168800</v>
      </c>
      <c r="O387" s="91" t="s">
        <v>206</v>
      </c>
      <c r="Q387" s="91" t="s">
        <v>40</v>
      </c>
    </row>
    <row r="388" spans="1:17" s="364" customFormat="1">
      <c r="A388" s="9">
        <v>44455</v>
      </c>
      <c r="B388" s="91" t="s">
        <v>177</v>
      </c>
      <c r="C388" s="123" t="s">
        <v>6544</v>
      </c>
      <c r="D388" s="29" t="s">
        <v>6545</v>
      </c>
      <c r="E388" s="739" t="s">
        <v>2402</v>
      </c>
      <c r="F388" s="739" t="s">
        <v>2403</v>
      </c>
      <c r="G388" s="30">
        <v>1</v>
      </c>
      <c r="H388" s="869">
        <v>55000</v>
      </c>
      <c r="I388" s="86">
        <f t="shared" si="23"/>
        <v>55000</v>
      </c>
      <c r="K388" s="171">
        <f t="shared" si="28"/>
        <v>55000</v>
      </c>
      <c r="L388" s="364">
        <v>8000</v>
      </c>
      <c r="N388" s="171">
        <f t="shared" si="29"/>
        <v>63000</v>
      </c>
      <c r="O388" s="91" t="s">
        <v>177</v>
      </c>
      <c r="Q388" s="91" t="s">
        <v>54</v>
      </c>
    </row>
    <row r="389" spans="1:17" s="364" customFormat="1">
      <c r="A389" s="9">
        <v>44455</v>
      </c>
      <c r="B389" s="91" t="s">
        <v>177</v>
      </c>
      <c r="C389" s="91" t="s">
        <v>6546</v>
      </c>
      <c r="D389" s="29" t="s">
        <v>6547</v>
      </c>
      <c r="E389" s="739" t="s">
        <v>4500</v>
      </c>
      <c r="F389" s="739" t="s">
        <v>4501</v>
      </c>
      <c r="G389" s="30">
        <v>1</v>
      </c>
      <c r="H389" s="869">
        <v>37000</v>
      </c>
      <c r="I389" s="86">
        <f t="shared" si="23"/>
        <v>37000</v>
      </c>
      <c r="K389" s="171">
        <f t="shared" si="28"/>
        <v>37000</v>
      </c>
      <c r="L389" s="364">
        <v>8000</v>
      </c>
      <c r="N389" s="171">
        <f t="shared" si="29"/>
        <v>45000</v>
      </c>
      <c r="O389" s="91" t="s">
        <v>177</v>
      </c>
      <c r="Q389" s="91" t="s">
        <v>54</v>
      </c>
    </row>
    <row r="390" spans="1:17" s="364" customFormat="1">
      <c r="A390" s="9">
        <v>44455</v>
      </c>
      <c r="B390" s="91" t="s">
        <v>23</v>
      </c>
      <c r="C390" s="91" t="s">
        <v>6548</v>
      </c>
      <c r="D390" s="76" t="s">
        <v>6549</v>
      </c>
      <c r="E390" s="76" t="s">
        <v>3775</v>
      </c>
      <c r="F390" s="76" t="s">
        <v>4255</v>
      </c>
      <c r="G390" s="30">
        <v>1</v>
      </c>
      <c r="H390" s="869">
        <v>115500</v>
      </c>
      <c r="I390" s="86">
        <f t="shared" si="23"/>
        <v>115500</v>
      </c>
      <c r="J390" s="364">
        <f>I390*20%</f>
        <v>23100</v>
      </c>
      <c r="K390" s="171">
        <f t="shared" si="28"/>
        <v>92400</v>
      </c>
      <c r="L390" s="364">
        <v>44000</v>
      </c>
      <c r="N390" s="171">
        <f t="shared" si="29"/>
        <v>136400</v>
      </c>
      <c r="O390" s="91" t="s">
        <v>23</v>
      </c>
      <c r="Q390" s="91" t="s">
        <v>54</v>
      </c>
    </row>
    <row r="391" spans="1:17" s="364" customFormat="1">
      <c r="A391" s="9">
        <v>44455</v>
      </c>
      <c r="B391" s="91" t="s">
        <v>170</v>
      </c>
      <c r="C391" s="123" t="s">
        <v>6550</v>
      </c>
      <c r="D391" s="29" t="s">
        <v>6551</v>
      </c>
      <c r="E391" s="76" t="s">
        <v>6552</v>
      </c>
      <c r="F391" s="76" t="s">
        <v>6553</v>
      </c>
      <c r="G391" s="30">
        <v>1</v>
      </c>
      <c r="H391" s="869">
        <v>64000</v>
      </c>
      <c r="I391" s="86">
        <f t="shared" si="23"/>
        <v>64000</v>
      </c>
      <c r="K391" s="171">
        <f t="shared" si="28"/>
        <v>64000</v>
      </c>
      <c r="L391" s="364">
        <f>147000-147000</f>
        <v>0</v>
      </c>
      <c r="N391" s="171">
        <f t="shared" si="29"/>
        <v>64000</v>
      </c>
      <c r="O391" s="91" t="s">
        <v>170</v>
      </c>
      <c r="Q391" s="91" t="s">
        <v>176</v>
      </c>
    </row>
    <row r="392" spans="1:17" s="364" customFormat="1">
      <c r="A392" s="9">
        <v>44455</v>
      </c>
      <c r="B392" s="10" t="s">
        <v>43</v>
      </c>
      <c r="C392" s="11" t="s">
        <v>6554</v>
      </c>
      <c r="D392" s="29" t="s">
        <v>6555</v>
      </c>
      <c r="E392" s="76" t="s">
        <v>2294</v>
      </c>
      <c r="F392" s="76" t="s">
        <v>2295</v>
      </c>
      <c r="G392" s="30">
        <v>2</v>
      </c>
      <c r="H392" s="869">
        <v>97000</v>
      </c>
      <c r="I392" s="86">
        <f t="shared" si="23"/>
        <v>194000</v>
      </c>
      <c r="K392" s="171">
        <f t="shared" si="28"/>
        <v>194000</v>
      </c>
      <c r="M392" s="364">
        <v>-10864</v>
      </c>
      <c r="N392" s="171">
        <f t="shared" si="29"/>
        <v>183136</v>
      </c>
      <c r="O392" s="10" t="s">
        <v>43</v>
      </c>
      <c r="Q392" s="10" t="s">
        <v>176</v>
      </c>
    </row>
    <row r="393" spans="1:17" s="364" customFormat="1">
      <c r="A393" s="9">
        <v>44456</v>
      </c>
      <c r="B393" s="91" t="s">
        <v>43</v>
      </c>
      <c r="C393" s="91" t="s">
        <v>6556</v>
      </c>
      <c r="D393" s="29" t="s">
        <v>6557</v>
      </c>
      <c r="E393" s="76" t="s">
        <v>579</v>
      </c>
      <c r="F393" s="76" t="s">
        <v>72</v>
      </c>
      <c r="G393" s="56">
        <v>1</v>
      </c>
      <c r="H393" s="869">
        <v>81000</v>
      </c>
      <c r="I393" s="86">
        <f t="shared" si="23"/>
        <v>81000</v>
      </c>
      <c r="K393" s="171">
        <f t="shared" si="28"/>
        <v>81000</v>
      </c>
      <c r="M393" s="364">
        <v>-4536</v>
      </c>
      <c r="N393" s="171">
        <f t="shared" si="29"/>
        <v>76464</v>
      </c>
      <c r="O393" s="91" t="s">
        <v>43</v>
      </c>
      <c r="Q393" s="91" t="s">
        <v>54</v>
      </c>
    </row>
    <row r="394" spans="1:17" s="364" customFormat="1">
      <c r="A394" s="9">
        <v>44456</v>
      </c>
      <c r="B394" s="91" t="s">
        <v>43</v>
      </c>
      <c r="C394" s="123" t="s">
        <v>6558</v>
      </c>
      <c r="D394" s="29" t="s">
        <v>6559</v>
      </c>
      <c r="E394" s="76" t="s">
        <v>6560</v>
      </c>
      <c r="F394" s="76" t="s">
        <v>6561</v>
      </c>
      <c r="G394" s="56">
        <v>1</v>
      </c>
      <c r="H394" s="869">
        <v>77000</v>
      </c>
      <c r="I394" s="86">
        <f t="shared" si="23"/>
        <v>77000</v>
      </c>
      <c r="K394" s="171">
        <f t="shared" si="28"/>
        <v>77000</v>
      </c>
      <c r="M394" s="364">
        <v>-4312</v>
      </c>
      <c r="N394" s="171">
        <f t="shared" si="29"/>
        <v>72688</v>
      </c>
      <c r="O394" s="91" t="s">
        <v>43</v>
      </c>
      <c r="Q394" s="91" t="s">
        <v>54</v>
      </c>
    </row>
    <row r="395" spans="1:17" s="364" customFormat="1">
      <c r="A395" s="9">
        <v>44456</v>
      </c>
      <c r="B395" s="91" t="s">
        <v>43</v>
      </c>
      <c r="C395" s="91" t="s">
        <v>6562</v>
      </c>
      <c r="D395" s="29" t="s">
        <v>6563</v>
      </c>
      <c r="E395" s="76" t="s">
        <v>6560</v>
      </c>
      <c r="F395" s="76" t="s">
        <v>6561</v>
      </c>
      <c r="G395" s="56">
        <v>2</v>
      </c>
      <c r="H395" s="869">
        <v>77000</v>
      </c>
      <c r="I395" s="86">
        <f t="shared" si="23"/>
        <v>154000</v>
      </c>
      <c r="K395" s="171">
        <f t="shared" si="28"/>
        <v>154000</v>
      </c>
      <c r="M395" s="20">
        <v>-8624</v>
      </c>
      <c r="N395" s="171">
        <f t="shared" si="29"/>
        <v>145376</v>
      </c>
      <c r="O395" s="91" t="s">
        <v>43</v>
      </c>
      <c r="Q395" s="91" t="s">
        <v>54</v>
      </c>
    </row>
    <row r="396" spans="1:17" s="364" customFormat="1">
      <c r="A396" s="9">
        <v>44456</v>
      </c>
      <c r="B396" s="91" t="s">
        <v>43</v>
      </c>
      <c r="C396" s="91" t="s">
        <v>6564</v>
      </c>
      <c r="D396" s="76" t="s">
        <v>6565</v>
      </c>
      <c r="E396" s="76" t="s">
        <v>6560</v>
      </c>
      <c r="F396" s="76" t="s">
        <v>6561</v>
      </c>
      <c r="G396" s="56">
        <v>2</v>
      </c>
      <c r="H396" s="869">
        <v>77000</v>
      </c>
      <c r="I396" s="86">
        <f t="shared" si="23"/>
        <v>154000</v>
      </c>
      <c r="K396" s="171">
        <f t="shared" si="28"/>
        <v>154000</v>
      </c>
      <c r="M396" s="20">
        <v>-8624</v>
      </c>
      <c r="N396" s="171">
        <f t="shared" si="29"/>
        <v>145376</v>
      </c>
      <c r="O396" s="91" t="s">
        <v>43</v>
      </c>
      <c r="Q396" s="91" t="s">
        <v>54</v>
      </c>
    </row>
    <row r="397" spans="1:17" s="364" customFormat="1">
      <c r="A397" s="9">
        <v>44456</v>
      </c>
      <c r="B397" s="91" t="s">
        <v>43</v>
      </c>
      <c r="C397" s="123" t="s">
        <v>6566</v>
      </c>
      <c r="D397" s="76" t="s">
        <v>6567</v>
      </c>
      <c r="E397" s="76" t="s">
        <v>6560</v>
      </c>
      <c r="F397" s="76" t="s">
        <v>6561</v>
      </c>
      <c r="G397" s="56">
        <v>1</v>
      </c>
      <c r="H397" s="869">
        <v>77000</v>
      </c>
      <c r="I397" s="86">
        <f t="shared" si="23"/>
        <v>77000</v>
      </c>
      <c r="K397" s="171">
        <f t="shared" si="28"/>
        <v>77000</v>
      </c>
      <c r="M397" s="20">
        <v>-4312</v>
      </c>
      <c r="N397" s="171">
        <f t="shared" si="29"/>
        <v>72688</v>
      </c>
      <c r="O397" s="91" t="s">
        <v>43</v>
      </c>
      <c r="Q397" s="91" t="s">
        <v>54</v>
      </c>
    </row>
    <row r="398" spans="1:17" s="364" customFormat="1">
      <c r="A398" s="9">
        <v>44456</v>
      </c>
      <c r="B398" s="91" t="s">
        <v>170</v>
      </c>
      <c r="C398" s="91" t="s">
        <v>6568</v>
      </c>
      <c r="D398" s="29" t="s">
        <v>6569</v>
      </c>
      <c r="E398" s="739" t="s">
        <v>4370</v>
      </c>
      <c r="F398" s="739" t="s">
        <v>4371</v>
      </c>
      <c r="G398" s="56">
        <v>1</v>
      </c>
      <c r="H398" s="869">
        <v>100000</v>
      </c>
      <c r="I398" s="86">
        <f t="shared" si="23"/>
        <v>100000</v>
      </c>
      <c r="K398" s="171">
        <f t="shared" si="28"/>
        <v>100000</v>
      </c>
      <c r="L398" s="364">
        <f>14000-14000</f>
        <v>0</v>
      </c>
      <c r="N398" s="171">
        <f t="shared" si="29"/>
        <v>100000</v>
      </c>
      <c r="O398" s="91" t="s">
        <v>170</v>
      </c>
      <c r="Q398" s="91" t="s">
        <v>176</v>
      </c>
    </row>
    <row r="399" spans="1:17" s="364" customFormat="1">
      <c r="A399" s="9">
        <v>44456</v>
      </c>
      <c r="B399" s="91" t="s">
        <v>23</v>
      </c>
      <c r="C399" s="123" t="s">
        <v>6570</v>
      </c>
      <c r="D399" s="76" t="s">
        <v>6571</v>
      </c>
      <c r="E399" s="754" t="s">
        <v>1056</v>
      </c>
      <c r="F399" s="739" t="s">
        <v>6572</v>
      </c>
      <c r="G399" s="56">
        <v>1</v>
      </c>
      <c r="H399" s="869">
        <v>127000</v>
      </c>
      <c r="I399" s="86">
        <f t="shared" si="23"/>
        <v>127000</v>
      </c>
      <c r="K399" s="171">
        <f t="shared" si="28"/>
        <v>127000</v>
      </c>
      <c r="L399" s="364">
        <v>30000</v>
      </c>
      <c r="N399" s="171">
        <f t="shared" si="29"/>
        <v>157000</v>
      </c>
      <c r="O399" s="91" t="s">
        <v>23</v>
      </c>
      <c r="Q399" s="91" t="s">
        <v>54</v>
      </c>
    </row>
    <row r="400" spans="1:17" s="364" customFormat="1">
      <c r="A400" s="9">
        <v>44456</v>
      </c>
      <c r="B400" s="91" t="s">
        <v>23</v>
      </c>
      <c r="C400" s="123" t="s">
        <v>6570</v>
      </c>
      <c r="D400" s="76" t="s">
        <v>6571</v>
      </c>
      <c r="E400" s="782" t="s">
        <v>3194</v>
      </c>
      <c r="F400" s="76" t="s">
        <v>3195</v>
      </c>
      <c r="G400" s="56">
        <v>1</v>
      </c>
      <c r="H400" s="869">
        <v>82500</v>
      </c>
      <c r="I400" s="86">
        <f t="shared" si="23"/>
        <v>82500</v>
      </c>
      <c r="K400" s="171">
        <f t="shared" si="28"/>
        <v>82500</v>
      </c>
      <c r="N400" s="171">
        <f t="shared" si="29"/>
        <v>82500</v>
      </c>
      <c r="O400" s="91" t="s">
        <v>23</v>
      </c>
      <c r="Q400" s="91" t="s">
        <v>54</v>
      </c>
    </row>
    <row r="401" spans="1:17" s="364" customFormat="1" ht="259.2">
      <c r="A401" s="9">
        <v>44456</v>
      </c>
      <c r="B401" s="91" t="s">
        <v>23</v>
      </c>
      <c r="C401" s="123" t="s">
        <v>5464</v>
      </c>
      <c r="D401" s="930" t="s">
        <v>9433</v>
      </c>
      <c r="E401" s="76" t="s">
        <v>3063</v>
      </c>
      <c r="F401" s="76" t="s">
        <v>3064</v>
      </c>
      <c r="G401" s="56">
        <v>1</v>
      </c>
      <c r="H401" s="869">
        <v>91500</v>
      </c>
      <c r="I401" s="86">
        <f t="shared" si="23"/>
        <v>91500</v>
      </c>
      <c r="K401" s="171">
        <f t="shared" si="28"/>
        <v>91500</v>
      </c>
      <c r="L401" s="364">
        <v>7000</v>
      </c>
      <c r="N401" s="171">
        <f t="shared" si="29"/>
        <v>98500</v>
      </c>
      <c r="O401" s="91" t="s">
        <v>23</v>
      </c>
      <c r="Q401" s="91" t="s">
        <v>28</v>
      </c>
    </row>
    <row r="402" spans="1:17" s="364" customFormat="1">
      <c r="A402" s="9">
        <v>44456</v>
      </c>
      <c r="B402" s="91" t="s">
        <v>23</v>
      </c>
      <c r="C402" s="123" t="s">
        <v>6573</v>
      </c>
      <c r="D402" s="76" t="s">
        <v>6574</v>
      </c>
      <c r="E402" s="739" t="s">
        <v>4947</v>
      </c>
      <c r="F402" s="739" t="s">
        <v>4948</v>
      </c>
      <c r="G402" s="56">
        <v>1</v>
      </c>
      <c r="H402" s="869">
        <v>116000</v>
      </c>
      <c r="I402" s="86">
        <f t="shared" si="23"/>
        <v>116000</v>
      </c>
      <c r="K402" s="171">
        <f t="shared" si="28"/>
        <v>116000</v>
      </c>
      <c r="L402" s="364">
        <v>57000</v>
      </c>
      <c r="N402" s="171">
        <f t="shared" si="29"/>
        <v>173000</v>
      </c>
      <c r="O402" s="91" t="s">
        <v>23</v>
      </c>
      <c r="Q402" s="91" t="s">
        <v>40</v>
      </c>
    </row>
    <row r="403" spans="1:17" s="364" customFormat="1">
      <c r="A403" s="9">
        <v>44456</v>
      </c>
      <c r="B403" s="91" t="s">
        <v>23</v>
      </c>
      <c r="C403" s="91" t="s">
        <v>6575</v>
      </c>
      <c r="D403" s="29" t="s">
        <v>31</v>
      </c>
      <c r="E403" s="781" t="s">
        <v>6560</v>
      </c>
      <c r="F403" s="781" t="s">
        <v>6561</v>
      </c>
      <c r="G403" s="56">
        <v>1</v>
      </c>
      <c r="H403" s="869">
        <v>77000</v>
      </c>
      <c r="I403" s="86">
        <f t="shared" si="23"/>
        <v>77000</v>
      </c>
      <c r="K403" s="171">
        <f t="shared" si="28"/>
        <v>77000</v>
      </c>
      <c r="N403" s="171">
        <f t="shared" si="29"/>
        <v>77000</v>
      </c>
      <c r="O403" s="91" t="s">
        <v>23</v>
      </c>
      <c r="Q403" s="91" t="s">
        <v>35</v>
      </c>
    </row>
    <row r="404" spans="1:17" s="364" customFormat="1">
      <c r="A404" s="9">
        <v>44456</v>
      </c>
      <c r="B404" s="91" t="s">
        <v>23</v>
      </c>
      <c r="C404" s="91" t="s">
        <v>6575</v>
      </c>
      <c r="D404" s="29" t="s">
        <v>31</v>
      </c>
      <c r="E404" s="781" t="s">
        <v>6576</v>
      </c>
      <c r="F404" s="781" t="s">
        <v>6577</v>
      </c>
      <c r="G404" s="56">
        <v>1</v>
      </c>
      <c r="H404" s="869">
        <v>80000</v>
      </c>
      <c r="I404" s="86">
        <f t="shared" si="23"/>
        <v>80000</v>
      </c>
      <c r="K404" s="171">
        <f t="shared" si="28"/>
        <v>80000</v>
      </c>
      <c r="N404" s="171">
        <f t="shared" si="29"/>
        <v>80000</v>
      </c>
      <c r="O404" s="91" t="s">
        <v>23</v>
      </c>
      <c r="Q404" s="91" t="s">
        <v>35</v>
      </c>
    </row>
    <row r="405" spans="1:17" s="364" customFormat="1">
      <c r="A405" s="9">
        <v>44456</v>
      </c>
      <c r="B405" s="91" t="s">
        <v>23</v>
      </c>
      <c r="C405" s="91" t="s">
        <v>6575</v>
      </c>
      <c r="D405" s="29" t="s">
        <v>31</v>
      </c>
      <c r="E405" s="781" t="s">
        <v>5953</v>
      </c>
      <c r="F405" s="781" t="s">
        <v>5954</v>
      </c>
      <c r="G405" s="56">
        <v>1</v>
      </c>
      <c r="H405" s="869">
        <v>61000</v>
      </c>
      <c r="I405" s="86">
        <f t="shared" si="23"/>
        <v>61000</v>
      </c>
      <c r="K405" s="171">
        <f t="shared" si="28"/>
        <v>61000</v>
      </c>
      <c r="N405" s="171">
        <f t="shared" si="29"/>
        <v>61000</v>
      </c>
      <c r="O405" s="91" t="s">
        <v>23</v>
      </c>
      <c r="Q405" s="91" t="s">
        <v>35</v>
      </c>
    </row>
    <row r="406" spans="1:17" s="364" customFormat="1">
      <c r="A406" s="9">
        <v>44456</v>
      </c>
      <c r="B406" s="91" t="s">
        <v>23</v>
      </c>
      <c r="C406" s="91" t="s">
        <v>6578</v>
      </c>
      <c r="D406" s="29" t="s">
        <v>31</v>
      </c>
      <c r="E406" s="739" t="s">
        <v>1107</v>
      </c>
      <c r="F406" s="739" t="s">
        <v>1108</v>
      </c>
      <c r="G406" s="56">
        <v>1</v>
      </c>
      <c r="H406" s="869">
        <v>118000</v>
      </c>
      <c r="I406" s="86">
        <f t="shared" si="23"/>
        <v>118000</v>
      </c>
      <c r="J406" s="364">
        <f>I406*20%</f>
        <v>23600</v>
      </c>
      <c r="K406" s="171">
        <f t="shared" si="28"/>
        <v>94400</v>
      </c>
      <c r="N406" s="171">
        <f t="shared" si="29"/>
        <v>94400</v>
      </c>
      <c r="O406" s="91" t="s">
        <v>23</v>
      </c>
      <c r="Q406" s="91" t="s">
        <v>35</v>
      </c>
    </row>
    <row r="407" spans="1:17" s="364" customFormat="1">
      <c r="A407" s="9">
        <v>44456</v>
      </c>
      <c r="B407" s="91" t="s">
        <v>170</v>
      </c>
      <c r="C407" s="123" t="s">
        <v>6579</v>
      </c>
      <c r="D407" s="29" t="s">
        <v>6569</v>
      </c>
      <c r="E407" s="739" t="s">
        <v>6580</v>
      </c>
      <c r="F407" s="739" t="s">
        <v>6581</v>
      </c>
      <c r="G407" s="56">
        <v>1</v>
      </c>
      <c r="H407" s="869">
        <v>100000</v>
      </c>
      <c r="I407" s="86">
        <f t="shared" si="23"/>
        <v>100000</v>
      </c>
      <c r="K407" s="171">
        <f t="shared" si="28"/>
        <v>100000</v>
      </c>
      <c r="L407" s="364">
        <f>14000-14000</f>
        <v>0</v>
      </c>
      <c r="N407" s="171">
        <f t="shared" si="29"/>
        <v>100000</v>
      </c>
      <c r="O407" s="91" t="s">
        <v>170</v>
      </c>
      <c r="Q407" s="91" t="s">
        <v>54</v>
      </c>
    </row>
    <row r="408" spans="1:17" s="364" customFormat="1">
      <c r="A408" s="9">
        <v>44456</v>
      </c>
      <c r="B408" s="91" t="s">
        <v>43</v>
      </c>
      <c r="C408" s="123" t="s">
        <v>6582</v>
      </c>
      <c r="D408" s="29" t="s">
        <v>6583</v>
      </c>
      <c r="E408" s="76" t="s">
        <v>247</v>
      </c>
      <c r="F408" s="76" t="s">
        <v>248</v>
      </c>
      <c r="G408" s="56">
        <v>1</v>
      </c>
      <c r="H408" s="869">
        <v>68000</v>
      </c>
      <c r="I408" s="86">
        <f t="shared" si="23"/>
        <v>68000</v>
      </c>
      <c r="K408" s="171">
        <f t="shared" si="28"/>
        <v>68000</v>
      </c>
      <c r="M408" s="364">
        <v>-3808</v>
      </c>
      <c r="N408" s="171">
        <f t="shared" si="29"/>
        <v>64192</v>
      </c>
      <c r="O408" s="91" t="s">
        <v>43</v>
      </c>
      <c r="Q408" s="91" t="s">
        <v>54</v>
      </c>
    </row>
    <row r="409" spans="1:17" s="364" customFormat="1">
      <c r="A409" s="9">
        <v>44456</v>
      </c>
      <c r="B409" s="91" t="s">
        <v>43</v>
      </c>
      <c r="C409" s="123" t="s">
        <v>6584</v>
      </c>
      <c r="D409" s="76" t="s">
        <v>6585</v>
      </c>
      <c r="E409" s="76" t="s">
        <v>579</v>
      </c>
      <c r="F409" s="76" t="s">
        <v>72</v>
      </c>
      <c r="G409" s="56">
        <v>1</v>
      </c>
      <c r="H409" s="869">
        <v>81000</v>
      </c>
      <c r="I409" s="86">
        <f t="shared" si="23"/>
        <v>81000</v>
      </c>
      <c r="K409" s="171">
        <f t="shared" si="28"/>
        <v>81000</v>
      </c>
      <c r="M409" s="364">
        <v>-4536</v>
      </c>
      <c r="N409" s="171">
        <f t="shared" si="29"/>
        <v>76464</v>
      </c>
      <c r="O409" s="91" t="s">
        <v>43</v>
      </c>
      <c r="Q409" s="91" t="s">
        <v>54</v>
      </c>
    </row>
    <row r="410" spans="1:17" s="364" customFormat="1">
      <c r="A410" s="9">
        <v>44456</v>
      </c>
      <c r="B410" s="91" t="s">
        <v>23</v>
      </c>
      <c r="C410" s="91" t="s">
        <v>6586</v>
      </c>
      <c r="D410" s="76" t="s">
        <v>6587</v>
      </c>
      <c r="E410" s="739" t="s">
        <v>6588</v>
      </c>
      <c r="F410" s="739" t="s">
        <v>3765</v>
      </c>
      <c r="G410" s="56">
        <v>1</v>
      </c>
      <c r="H410" s="869">
        <v>104000</v>
      </c>
      <c r="I410" s="86">
        <f t="shared" si="23"/>
        <v>104000</v>
      </c>
      <c r="K410" s="171">
        <f t="shared" si="28"/>
        <v>104000</v>
      </c>
      <c r="L410" s="364">
        <v>24000</v>
      </c>
      <c r="N410" s="171">
        <f t="shared" si="29"/>
        <v>128000</v>
      </c>
      <c r="O410" s="91" t="s">
        <v>23</v>
      </c>
      <c r="Q410" s="10" t="s">
        <v>40</v>
      </c>
    </row>
    <row r="411" spans="1:17" s="364" customFormat="1">
      <c r="A411" s="9">
        <v>44456</v>
      </c>
      <c r="B411" s="282" t="s">
        <v>23</v>
      </c>
      <c r="C411" s="283" t="s">
        <v>6589</v>
      </c>
      <c r="D411" s="76" t="s">
        <v>6590</v>
      </c>
      <c r="E411" s="76" t="s">
        <v>6591</v>
      </c>
      <c r="F411" s="76" t="s">
        <v>6592</v>
      </c>
      <c r="G411" s="56">
        <v>51</v>
      </c>
      <c r="H411" s="869">
        <v>71000</v>
      </c>
      <c r="I411" s="86">
        <f t="shared" si="23"/>
        <v>3621000</v>
      </c>
      <c r="J411" s="364">
        <f>I411*30%</f>
        <v>1086300</v>
      </c>
      <c r="K411" s="171">
        <f t="shared" si="28"/>
        <v>2534700</v>
      </c>
      <c r="L411" s="364">
        <v>355000</v>
      </c>
      <c r="N411" s="171">
        <f t="shared" si="29"/>
        <v>2889700</v>
      </c>
      <c r="O411" s="282" t="s">
        <v>23</v>
      </c>
      <c r="Q411" s="282" t="s">
        <v>5552</v>
      </c>
    </row>
    <row r="412" spans="1:17" s="364" customFormat="1">
      <c r="A412" s="1089">
        <v>44459</v>
      </c>
      <c r="B412" s="10" t="s">
        <v>43</v>
      </c>
      <c r="C412" s="10" t="s">
        <v>6593</v>
      </c>
      <c r="D412" s="29" t="s">
        <v>6594</v>
      </c>
      <c r="E412" s="76" t="s">
        <v>4574</v>
      </c>
      <c r="F412" s="76" t="s">
        <v>4048</v>
      </c>
      <c r="G412" s="30">
        <v>1</v>
      </c>
      <c r="H412" s="869">
        <v>192500</v>
      </c>
      <c r="I412" s="86">
        <f t="shared" si="23"/>
        <v>192500</v>
      </c>
      <c r="J412" s="364">
        <f>I412*10%</f>
        <v>19250</v>
      </c>
      <c r="K412" s="171">
        <f t="shared" si="28"/>
        <v>173250</v>
      </c>
      <c r="M412" s="364">
        <v>-9702</v>
      </c>
      <c r="N412" s="171">
        <f t="shared" si="29"/>
        <v>163548</v>
      </c>
      <c r="O412" s="10" t="s">
        <v>43</v>
      </c>
      <c r="Q412" s="10" t="s">
        <v>176</v>
      </c>
    </row>
    <row r="413" spans="1:17" s="364" customFormat="1">
      <c r="A413" s="1089">
        <v>44459</v>
      </c>
      <c r="B413" s="10" t="s">
        <v>43</v>
      </c>
      <c r="C413" s="10" t="s">
        <v>6595</v>
      </c>
      <c r="D413" s="76" t="s">
        <v>6596</v>
      </c>
      <c r="E413" s="76" t="s">
        <v>3796</v>
      </c>
      <c r="F413" s="76" t="s">
        <v>1025</v>
      </c>
      <c r="G413" s="30">
        <v>1</v>
      </c>
      <c r="H413" s="869">
        <v>58500</v>
      </c>
      <c r="I413" s="86">
        <f t="shared" si="23"/>
        <v>58500</v>
      </c>
      <c r="K413" s="171">
        <f t="shared" si="28"/>
        <v>58500</v>
      </c>
      <c r="M413" s="20">
        <v>-3726</v>
      </c>
      <c r="N413" s="171">
        <f t="shared" si="29"/>
        <v>54774</v>
      </c>
      <c r="O413" s="10" t="s">
        <v>43</v>
      </c>
      <c r="Q413" s="10" t="s">
        <v>54</v>
      </c>
    </row>
    <row r="414" spans="1:17" s="364" customFormat="1">
      <c r="A414" s="1089">
        <v>44459</v>
      </c>
      <c r="B414" s="91" t="s">
        <v>43</v>
      </c>
      <c r="C414" s="91" t="s">
        <v>6597</v>
      </c>
      <c r="D414" s="76" t="s">
        <v>6598</v>
      </c>
      <c r="E414" s="76" t="s">
        <v>4574</v>
      </c>
      <c r="F414" s="76" t="s">
        <v>4048</v>
      </c>
      <c r="G414" s="30">
        <v>1</v>
      </c>
      <c r="H414" s="869">
        <v>192500</v>
      </c>
      <c r="I414" s="86">
        <f t="shared" si="23"/>
        <v>192500</v>
      </c>
      <c r="K414" s="171">
        <f t="shared" si="28"/>
        <v>192500</v>
      </c>
      <c r="M414" s="20">
        <v>-10780</v>
      </c>
      <c r="N414" s="171">
        <f t="shared" si="29"/>
        <v>181720</v>
      </c>
      <c r="O414" s="91" t="s">
        <v>43</v>
      </c>
      <c r="Q414" s="91" t="s">
        <v>54</v>
      </c>
    </row>
    <row r="415" spans="1:17" s="364" customFormat="1">
      <c r="A415" s="1089">
        <v>44459</v>
      </c>
      <c r="B415" s="91" t="s">
        <v>43</v>
      </c>
      <c r="C415" s="91" t="s">
        <v>6599</v>
      </c>
      <c r="D415" s="76" t="s">
        <v>6600</v>
      </c>
      <c r="E415" s="782" t="s">
        <v>213</v>
      </c>
      <c r="F415" s="782" t="s">
        <v>191</v>
      </c>
      <c r="G415" s="30">
        <v>1</v>
      </c>
      <c r="H415" s="869">
        <v>92500</v>
      </c>
      <c r="I415" s="86">
        <f t="shared" si="23"/>
        <v>92500</v>
      </c>
      <c r="K415" s="171">
        <f t="shared" si="28"/>
        <v>92500</v>
      </c>
      <c r="M415" s="20">
        <v>-10332</v>
      </c>
      <c r="N415" s="171">
        <f t="shared" si="29"/>
        <v>82168</v>
      </c>
      <c r="O415" s="91" t="s">
        <v>43</v>
      </c>
      <c r="Q415" s="91" t="s">
        <v>54</v>
      </c>
    </row>
    <row r="416" spans="1:17" s="364" customFormat="1">
      <c r="A416" s="1089">
        <v>44459</v>
      </c>
      <c r="B416" s="91" t="s">
        <v>43</v>
      </c>
      <c r="C416" s="91" t="s">
        <v>6599</v>
      </c>
      <c r="D416" s="76" t="s">
        <v>6600</v>
      </c>
      <c r="E416" s="782" t="s">
        <v>190</v>
      </c>
      <c r="F416" s="782" t="s">
        <v>191</v>
      </c>
      <c r="G416" s="30">
        <v>1</v>
      </c>
      <c r="H416" s="869">
        <v>92000</v>
      </c>
      <c r="I416" s="86">
        <f t="shared" si="23"/>
        <v>92000</v>
      </c>
      <c r="K416" s="171">
        <f t="shared" si="28"/>
        <v>92000</v>
      </c>
      <c r="N416" s="171">
        <f t="shared" si="29"/>
        <v>92000</v>
      </c>
      <c r="O416" s="91" t="s">
        <v>43</v>
      </c>
      <c r="Q416" s="91" t="s">
        <v>54</v>
      </c>
    </row>
    <row r="417" spans="1:17" s="364" customFormat="1">
      <c r="A417" s="1089">
        <v>44459</v>
      </c>
      <c r="B417" s="91" t="s">
        <v>43</v>
      </c>
      <c r="C417" s="123" t="s">
        <v>6601</v>
      </c>
      <c r="D417" s="76" t="s">
        <v>6602</v>
      </c>
      <c r="E417" s="76" t="s">
        <v>4153</v>
      </c>
      <c r="F417" s="76" t="s">
        <v>4154</v>
      </c>
      <c r="G417" s="871">
        <v>1</v>
      </c>
      <c r="H417" s="869">
        <v>60000</v>
      </c>
      <c r="I417" s="86">
        <f t="shared" si="23"/>
        <v>60000</v>
      </c>
      <c r="K417" s="171">
        <f t="shared" si="28"/>
        <v>60000</v>
      </c>
      <c r="M417" s="20">
        <v>-3360</v>
      </c>
      <c r="N417" s="171">
        <f t="shared" si="29"/>
        <v>56640</v>
      </c>
      <c r="O417" s="91" t="s">
        <v>43</v>
      </c>
      <c r="Q417" s="91" t="s">
        <v>54</v>
      </c>
    </row>
    <row r="418" spans="1:17" s="364" customFormat="1">
      <c r="A418" s="1089">
        <v>44459</v>
      </c>
      <c r="B418" s="91" t="s">
        <v>43</v>
      </c>
      <c r="C418" s="123" t="s">
        <v>6603</v>
      </c>
      <c r="D418" s="76" t="s">
        <v>6604</v>
      </c>
      <c r="E418" s="76" t="s">
        <v>2084</v>
      </c>
      <c r="F418" s="76" t="s">
        <v>2085</v>
      </c>
      <c r="G418" s="872">
        <v>1</v>
      </c>
      <c r="H418" s="869">
        <v>105000</v>
      </c>
      <c r="I418" s="86">
        <f t="shared" si="23"/>
        <v>105000</v>
      </c>
      <c r="K418" s="171">
        <f t="shared" si="28"/>
        <v>105000</v>
      </c>
      <c r="M418" s="20">
        <v>-5880</v>
      </c>
      <c r="N418" s="171">
        <f t="shared" si="29"/>
        <v>99120</v>
      </c>
      <c r="O418" s="91" t="s">
        <v>43</v>
      </c>
      <c r="Q418" s="91" t="s">
        <v>54</v>
      </c>
    </row>
    <row r="419" spans="1:17" s="364" customFormat="1">
      <c r="A419" s="1089">
        <v>44459</v>
      </c>
      <c r="B419" s="91" t="s">
        <v>43</v>
      </c>
      <c r="C419" s="91" t="s">
        <v>6605</v>
      </c>
      <c r="D419" s="29" t="s">
        <v>6606</v>
      </c>
      <c r="E419" s="76" t="s">
        <v>1302</v>
      </c>
      <c r="F419" s="76" t="s">
        <v>1303</v>
      </c>
      <c r="G419" s="30">
        <v>1</v>
      </c>
      <c r="H419" s="869">
        <v>220000</v>
      </c>
      <c r="I419" s="86">
        <f t="shared" si="23"/>
        <v>220000</v>
      </c>
      <c r="J419" s="364">
        <f>I419*10%</f>
        <v>22000</v>
      </c>
      <c r="K419" s="171">
        <f t="shared" si="28"/>
        <v>198000</v>
      </c>
      <c r="M419" s="20">
        <v>-11088</v>
      </c>
      <c r="N419" s="171">
        <f t="shared" si="29"/>
        <v>186912</v>
      </c>
      <c r="O419" s="91" t="s">
        <v>43</v>
      </c>
      <c r="Q419" s="91" t="s">
        <v>54</v>
      </c>
    </row>
    <row r="420" spans="1:17" s="364" customFormat="1">
      <c r="A420" s="1089">
        <v>44459</v>
      </c>
      <c r="B420" s="91" t="s">
        <v>43</v>
      </c>
      <c r="C420" s="91" t="s">
        <v>6607</v>
      </c>
      <c r="D420" s="76" t="s">
        <v>6608</v>
      </c>
      <c r="E420" s="76" t="s">
        <v>2084</v>
      </c>
      <c r="F420" s="76" t="s">
        <v>2085</v>
      </c>
      <c r="G420" s="872">
        <v>1</v>
      </c>
      <c r="H420" s="869">
        <v>105000</v>
      </c>
      <c r="I420" s="86">
        <f t="shared" si="23"/>
        <v>105000</v>
      </c>
      <c r="K420" s="171">
        <f t="shared" si="28"/>
        <v>105000</v>
      </c>
      <c r="M420" s="20">
        <v>-5880</v>
      </c>
      <c r="N420" s="171">
        <f t="shared" si="29"/>
        <v>99120</v>
      </c>
      <c r="O420" s="91" t="s">
        <v>43</v>
      </c>
      <c r="Q420" s="91" t="s">
        <v>176</v>
      </c>
    </row>
    <row r="421" spans="1:17" s="364" customFormat="1">
      <c r="A421" s="1089">
        <v>44459</v>
      </c>
      <c r="B421" s="91" t="s">
        <v>43</v>
      </c>
      <c r="C421" s="91" t="s">
        <v>6609</v>
      </c>
      <c r="D421" s="76" t="s">
        <v>6610</v>
      </c>
      <c r="E421" s="76" t="s">
        <v>6560</v>
      </c>
      <c r="F421" s="76" t="s">
        <v>6561</v>
      </c>
      <c r="G421" s="858">
        <v>1</v>
      </c>
      <c r="H421" s="869">
        <v>77000</v>
      </c>
      <c r="I421" s="86">
        <f t="shared" si="23"/>
        <v>77000</v>
      </c>
      <c r="K421" s="171">
        <f t="shared" si="28"/>
        <v>77000</v>
      </c>
      <c r="M421" s="20">
        <v>-4312</v>
      </c>
      <c r="N421" s="171">
        <f t="shared" si="29"/>
        <v>72688</v>
      </c>
      <c r="O421" s="91" t="s">
        <v>43</v>
      </c>
      <c r="Q421" s="91" t="s">
        <v>54</v>
      </c>
    </row>
    <row r="422" spans="1:17" s="364" customFormat="1">
      <c r="A422" s="1089">
        <v>44459</v>
      </c>
      <c r="B422" s="91" t="s">
        <v>43</v>
      </c>
      <c r="C422" s="123" t="s">
        <v>6611</v>
      </c>
      <c r="D422" s="76" t="s">
        <v>6612</v>
      </c>
      <c r="E422" s="76" t="s">
        <v>4574</v>
      </c>
      <c r="F422" s="76" t="s">
        <v>4048</v>
      </c>
      <c r="G422" s="30">
        <v>1</v>
      </c>
      <c r="H422" s="869">
        <v>192500</v>
      </c>
      <c r="I422" s="86">
        <f t="shared" si="23"/>
        <v>192500</v>
      </c>
      <c r="J422" s="364">
        <f>I422*10%</f>
        <v>19250</v>
      </c>
      <c r="K422" s="171">
        <f t="shared" si="28"/>
        <v>173250</v>
      </c>
      <c r="M422" s="20">
        <v>-9702</v>
      </c>
      <c r="N422" s="171">
        <f t="shared" si="29"/>
        <v>163548</v>
      </c>
      <c r="O422" s="91" t="s">
        <v>43</v>
      </c>
      <c r="Q422" s="91" t="s">
        <v>176</v>
      </c>
    </row>
    <row r="423" spans="1:17" s="364" customFormat="1">
      <c r="A423" s="1089">
        <v>44459</v>
      </c>
      <c r="B423" s="91" t="s">
        <v>43</v>
      </c>
      <c r="C423" s="123" t="s">
        <v>6613</v>
      </c>
      <c r="D423" s="29" t="s">
        <v>6614</v>
      </c>
      <c r="E423" s="76" t="s">
        <v>6560</v>
      </c>
      <c r="F423" s="76" t="s">
        <v>6561</v>
      </c>
      <c r="G423" s="858">
        <v>2</v>
      </c>
      <c r="H423" s="869">
        <v>77000</v>
      </c>
      <c r="I423" s="86">
        <f t="shared" ref="I423:I480" si="30">H423*G423</f>
        <v>154000</v>
      </c>
      <c r="J423" s="364">
        <f>I423*10%</f>
        <v>15400</v>
      </c>
      <c r="K423" s="171">
        <f t="shared" si="28"/>
        <v>138600</v>
      </c>
      <c r="M423" s="20">
        <v>-7762</v>
      </c>
      <c r="N423" s="171">
        <f t="shared" si="29"/>
        <v>130838</v>
      </c>
      <c r="O423" s="91" t="s">
        <v>43</v>
      </c>
      <c r="Q423" s="91" t="s">
        <v>54</v>
      </c>
    </row>
    <row r="424" spans="1:17" s="364" customFormat="1">
      <c r="A424" s="1089">
        <v>44459</v>
      </c>
      <c r="B424" s="91" t="s">
        <v>43</v>
      </c>
      <c r="C424" s="91" t="s">
        <v>6615</v>
      </c>
      <c r="D424" s="76" t="s">
        <v>6616</v>
      </c>
      <c r="E424" s="739" t="s">
        <v>4897</v>
      </c>
      <c r="F424" s="739" t="s">
        <v>4898</v>
      </c>
      <c r="G424" s="30">
        <v>1</v>
      </c>
      <c r="H424" s="869">
        <v>168000</v>
      </c>
      <c r="I424" s="86">
        <f t="shared" si="30"/>
        <v>168000</v>
      </c>
      <c r="K424" s="171">
        <f t="shared" si="28"/>
        <v>168000</v>
      </c>
      <c r="M424" s="20">
        <v>-9408</v>
      </c>
      <c r="N424" s="171">
        <f t="shared" si="29"/>
        <v>158592</v>
      </c>
      <c r="O424" s="91" t="s">
        <v>43</v>
      </c>
      <c r="Q424" s="91" t="s">
        <v>176</v>
      </c>
    </row>
    <row r="425" spans="1:17" s="364" customFormat="1">
      <c r="A425" s="1089">
        <v>44459</v>
      </c>
      <c r="B425" s="91" t="s">
        <v>206</v>
      </c>
      <c r="C425" s="91" t="s">
        <v>6617</v>
      </c>
      <c r="D425" s="76" t="s">
        <v>6618</v>
      </c>
      <c r="E425" s="865" t="s">
        <v>6619</v>
      </c>
      <c r="F425" s="865" t="s">
        <v>6620</v>
      </c>
      <c r="G425" s="30">
        <v>1</v>
      </c>
      <c r="H425" s="869">
        <v>118000</v>
      </c>
      <c r="I425" s="86">
        <f t="shared" si="30"/>
        <v>118000</v>
      </c>
      <c r="J425" s="364">
        <v>20000</v>
      </c>
      <c r="K425" s="171">
        <f t="shared" si="28"/>
        <v>98000</v>
      </c>
      <c r="L425" s="364">
        <f>61000-40000</f>
        <v>21000</v>
      </c>
      <c r="N425" s="171">
        <f t="shared" si="29"/>
        <v>119000</v>
      </c>
      <c r="O425" s="91" t="s">
        <v>206</v>
      </c>
      <c r="Q425" s="91" t="s">
        <v>176</v>
      </c>
    </row>
    <row r="426" spans="1:17" s="364" customFormat="1">
      <c r="A426" s="1089">
        <v>44459</v>
      </c>
      <c r="B426" s="91" t="s">
        <v>206</v>
      </c>
      <c r="C426" s="91" t="s">
        <v>6617</v>
      </c>
      <c r="D426" s="76" t="s">
        <v>6618</v>
      </c>
      <c r="E426" s="743" t="s">
        <v>3834</v>
      </c>
      <c r="F426" s="743" t="s">
        <v>3835</v>
      </c>
      <c r="G426" s="30">
        <v>1</v>
      </c>
      <c r="H426" s="869">
        <v>122000</v>
      </c>
      <c r="I426" s="86">
        <f t="shared" si="30"/>
        <v>122000</v>
      </c>
      <c r="K426" s="171">
        <f t="shared" si="28"/>
        <v>122000</v>
      </c>
      <c r="N426" s="171">
        <f t="shared" si="29"/>
        <v>122000</v>
      </c>
      <c r="O426" s="91" t="s">
        <v>206</v>
      </c>
      <c r="Q426" s="91" t="s">
        <v>176</v>
      </c>
    </row>
    <row r="427" spans="1:17" s="364" customFormat="1">
      <c r="A427" s="1089">
        <v>44459</v>
      </c>
      <c r="B427" s="91" t="s">
        <v>206</v>
      </c>
      <c r="C427" s="91" t="s">
        <v>6617</v>
      </c>
      <c r="D427" s="76" t="s">
        <v>6618</v>
      </c>
      <c r="E427" s="865" t="s">
        <v>2743</v>
      </c>
      <c r="F427" s="865" t="s">
        <v>2744</v>
      </c>
      <c r="G427" s="30">
        <v>1</v>
      </c>
      <c r="H427" s="869">
        <v>85500</v>
      </c>
      <c r="I427" s="86">
        <f t="shared" si="30"/>
        <v>85500</v>
      </c>
      <c r="K427" s="171">
        <f t="shared" si="28"/>
        <v>85500</v>
      </c>
      <c r="N427" s="171">
        <f t="shared" si="29"/>
        <v>85500</v>
      </c>
      <c r="O427" s="91" t="s">
        <v>206</v>
      </c>
      <c r="Q427" s="91" t="s">
        <v>176</v>
      </c>
    </row>
    <row r="428" spans="1:17" s="364" customFormat="1">
      <c r="A428" s="1089">
        <v>44459</v>
      </c>
      <c r="B428" s="91" t="s">
        <v>206</v>
      </c>
      <c r="C428" s="123" t="s">
        <v>6621</v>
      </c>
      <c r="D428" s="76" t="s">
        <v>6622</v>
      </c>
      <c r="E428" s="739" t="s">
        <v>6623</v>
      </c>
      <c r="F428" s="739" t="s">
        <v>6624</v>
      </c>
      <c r="G428" s="30">
        <v>1</v>
      </c>
      <c r="H428" s="869">
        <v>69500</v>
      </c>
      <c r="I428" s="86">
        <f t="shared" si="30"/>
        <v>69500</v>
      </c>
      <c r="J428" s="364">
        <v>20000</v>
      </c>
      <c r="K428" s="171">
        <f t="shared" si="28"/>
        <v>49500</v>
      </c>
      <c r="L428" s="364">
        <f>17000-17000</f>
        <v>0</v>
      </c>
      <c r="N428" s="171">
        <f t="shared" si="29"/>
        <v>49500</v>
      </c>
      <c r="O428" s="91" t="s">
        <v>206</v>
      </c>
      <c r="Q428" s="91" t="s">
        <v>328</v>
      </c>
    </row>
    <row r="429" spans="1:17" s="364" customFormat="1">
      <c r="A429" s="1089">
        <v>44459</v>
      </c>
      <c r="B429" s="91" t="s">
        <v>177</v>
      </c>
      <c r="C429" s="91" t="s">
        <v>6625</v>
      </c>
      <c r="D429" s="29" t="s">
        <v>6626</v>
      </c>
      <c r="E429" s="76" t="s">
        <v>3507</v>
      </c>
      <c r="F429" s="76" t="s">
        <v>3508</v>
      </c>
      <c r="G429" s="30">
        <v>1</v>
      </c>
      <c r="H429" s="869">
        <v>94000</v>
      </c>
      <c r="I429" s="86">
        <f t="shared" si="30"/>
        <v>94000</v>
      </c>
      <c r="K429" s="171">
        <f t="shared" si="28"/>
        <v>94000</v>
      </c>
      <c r="L429" s="364">
        <v>8000</v>
      </c>
      <c r="N429" s="171">
        <f t="shared" si="29"/>
        <v>102000</v>
      </c>
      <c r="O429" s="91" t="s">
        <v>177</v>
      </c>
      <c r="Q429" s="91" t="s">
        <v>54</v>
      </c>
    </row>
    <row r="430" spans="1:17" s="364" customFormat="1">
      <c r="A430" s="1089">
        <v>44459</v>
      </c>
      <c r="B430" s="10" t="s">
        <v>23</v>
      </c>
      <c r="C430" s="11" t="s">
        <v>6627</v>
      </c>
      <c r="D430" s="76" t="s">
        <v>6628</v>
      </c>
      <c r="E430" s="739" t="s">
        <v>1903</v>
      </c>
      <c r="F430" s="739" t="s">
        <v>595</v>
      </c>
      <c r="G430" s="873">
        <v>1</v>
      </c>
      <c r="H430" s="869">
        <v>104000</v>
      </c>
      <c r="I430" s="86">
        <f t="shared" si="30"/>
        <v>104000</v>
      </c>
      <c r="K430" s="171">
        <f t="shared" si="28"/>
        <v>104000</v>
      </c>
      <c r="L430" s="364">
        <v>11000</v>
      </c>
      <c r="N430" s="171">
        <f t="shared" si="29"/>
        <v>115000</v>
      </c>
      <c r="O430" s="10" t="s">
        <v>23</v>
      </c>
      <c r="Q430" s="10" t="s">
        <v>40</v>
      </c>
    </row>
    <row r="431" spans="1:17" s="364" customFormat="1">
      <c r="A431" s="1089">
        <v>44459</v>
      </c>
      <c r="B431" s="10" t="s">
        <v>206</v>
      </c>
      <c r="C431" s="10" t="s">
        <v>6629</v>
      </c>
      <c r="D431" s="76" t="s">
        <v>6630</v>
      </c>
      <c r="E431" s="76" t="s">
        <v>5323</v>
      </c>
      <c r="F431" s="76" t="s">
        <v>5324</v>
      </c>
      <c r="G431" s="30">
        <v>1</v>
      </c>
      <c r="H431" s="869">
        <v>157000</v>
      </c>
      <c r="I431" s="86">
        <f t="shared" si="30"/>
        <v>157000</v>
      </c>
      <c r="K431" s="171">
        <f t="shared" si="28"/>
        <v>157000</v>
      </c>
      <c r="L431" s="364">
        <v>134200</v>
      </c>
      <c r="N431" s="171">
        <f t="shared" si="29"/>
        <v>291200</v>
      </c>
      <c r="O431" s="10" t="s">
        <v>206</v>
      </c>
      <c r="Q431" s="10" t="s">
        <v>40</v>
      </c>
    </row>
    <row r="432" spans="1:17" s="364" customFormat="1">
      <c r="A432" s="1089">
        <v>44460</v>
      </c>
      <c r="B432" s="91" t="s">
        <v>43</v>
      </c>
      <c r="C432" s="123" t="s">
        <v>6631</v>
      </c>
      <c r="D432" s="76" t="s">
        <v>6632</v>
      </c>
      <c r="E432" s="874" t="s">
        <v>2169</v>
      </c>
      <c r="F432" s="874" t="s">
        <v>128</v>
      </c>
      <c r="G432" s="30">
        <v>1</v>
      </c>
      <c r="H432" s="869">
        <v>77500</v>
      </c>
      <c r="I432" s="86">
        <f t="shared" si="30"/>
        <v>77500</v>
      </c>
      <c r="J432" s="364">
        <f>I432*10%</f>
        <v>7750</v>
      </c>
      <c r="K432" s="171">
        <f t="shared" si="28"/>
        <v>69750</v>
      </c>
      <c r="L432" s="20">
        <v>-10609</v>
      </c>
      <c r="N432" s="171">
        <f t="shared" si="29"/>
        <v>59141</v>
      </c>
      <c r="O432" s="91" t="s">
        <v>43</v>
      </c>
      <c r="Q432" s="91" t="s">
        <v>176</v>
      </c>
    </row>
    <row r="433" spans="1:17" s="364" customFormat="1">
      <c r="A433" s="1089">
        <v>44460</v>
      </c>
      <c r="B433" s="91" t="s">
        <v>43</v>
      </c>
      <c r="C433" s="123" t="s">
        <v>6631</v>
      </c>
      <c r="D433" s="76" t="s">
        <v>6632</v>
      </c>
      <c r="E433" s="874" t="s">
        <v>4223</v>
      </c>
      <c r="F433" s="874" t="s">
        <v>4224</v>
      </c>
      <c r="G433" s="30">
        <v>1</v>
      </c>
      <c r="H433" s="869">
        <v>61000</v>
      </c>
      <c r="I433" s="86">
        <f t="shared" si="30"/>
        <v>61000</v>
      </c>
      <c r="J433" s="364">
        <f t="shared" ref="J433:J434" si="31">I433*10%</f>
        <v>6100</v>
      </c>
      <c r="K433" s="171">
        <f t="shared" si="28"/>
        <v>54900</v>
      </c>
      <c r="N433" s="171">
        <f t="shared" si="29"/>
        <v>54900</v>
      </c>
      <c r="O433" s="91" t="s">
        <v>43</v>
      </c>
      <c r="Q433" s="91" t="s">
        <v>176</v>
      </c>
    </row>
    <row r="434" spans="1:17" s="364" customFormat="1">
      <c r="A434" s="1089">
        <v>44460</v>
      </c>
      <c r="B434" s="91" t="s">
        <v>43</v>
      </c>
      <c r="C434" s="123" t="s">
        <v>6631</v>
      </c>
      <c r="D434" s="76" t="s">
        <v>6632</v>
      </c>
      <c r="E434" s="874" t="s">
        <v>553</v>
      </c>
      <c r="F434" s="874" t="s">
        <v>554</v>
      </c>
      <c r="G434" s="30">
        <v>1</v>
      </c>
      <c r="H434" s="869">
        <v>72000</v>
      </c>
      <c r="I434" s="86">
        <f t="shared" si="30"/>
        <v>72000</v>
      </c>
      <c r="J434" s="364">
        <f t="shared" si="31"/>
        <v>7200</v>
      </c>
      <c r="K434" s="171">
        <f t="shared" si="28"/>
        <v>64800</v>
      </c>
      <c r="N434" s="171">
        <f t="shared" si="29"/>
        <v>64800</v>
      </c>
      <c r="O434" s="91" t="s">
        <v>43</v>
      </c>
      <c r="Q434" s="91" t="s">
        <v>176</v>
      </c>
    </row>
    <row r="435" spans="1:17" s="364" customFormat="1">
      <c r="A435" s="1089">
        <v>44460</v>
      </c>
      <c r="B435" s="91" t="s">
        <v>43</v>
      </c>
      <c r="C435" s="91" t="s">
        <v>6633</v>
      </c>
      <c r="D435" s="76" t="s">
        <v>6634</v>
      </c>
      <c r="E435" s="76" t="s">
        <v>579</v>
      </c>
      <c r="F435" s="76" t="s">
        <v>72</v>
      </c>
      <c r="G435" s="30">
        <v>1</v>
      </c>
      <c r="H435" s="869">
        <v>108000</v>
      </c>
      <c r="I435" s="86">
        <f t="shared" si="30"/>
        <v>108000</v>
      </c>
      <c r="J435" s="364">
        <f>I435*10%</f>
        <v>10800</v>
      </c>
      <c r="K435" s="171">
        <f t="shared" si="28"/>
        <v>97200</v>
      </c>
      <c r="M435" s="364">
        <v>-5443</v>
      </c>
      <c r="N435" s="171">
        <f t="shared" si="29"/>
        <v>91757</v>
      </c>
      <c r="O435" s="91" t="s">
        <v>43</v>
      </c>
      <c r="Q435" s="91" t="s">
        <v>176</v>
      </c>
    </row>
    <row r="436" spans="1:17" s="364" customFormat="1">
      <c r="A436" s="1089">
        <v>44460</v>
      </c>
      <c r="B436" s="91" t="s">
        <v>43</v>
      </c>
      <c r="C436" s="91" t="s">
        <v>6635</v>
      </c>
      <c r="D436" s="29" t="s">
        <v>6636</v>
      </c>
      <c r="E436" s="76" t="s">
        <v>5723</v>
      </c>
      <c r="F436" s="76" t="s">
        <v>5724</v>
      </c>
      <c r="G436" s="30">
        <v>1</v>
      </c>
      <c r="H436" s="869">
        <v>89000</v>
      </c>
      <c r="I436" s="86">
        <f t="shared" si="30"/>
        <v>89000</v>
      </c>
      <c r="J436" s="20">
        <f>I436*10%</f>
        <v>8900</v>
      </c>
      <c r="K436" s="171">
        <f t="shared" si="28"/>
        <v>80100</v>
      </c>
      <c r="L436" s="364">
        <v>-4486</v>
      </c>
      <c r="N436" s="171">
        <f t="shared" si="29"/>
        <v>75614</v>
      </c>
      <c r="O436" s="91" t="s">
        <v>43</v>
      </c>
      <c r="Q436" s="91" t="s">
        <v>176</v>
      </c>
    </row>
    <row r="437" spans="1:17" s="364" customFormat="1">
      <c r="A437" s="1089">
        <v>44460</v>
      </c>
      <c r="B437" s="91" t="s">
        <v>206</v>
      </c>
      <c r="C437" s="123" t="s">
        <v>6637</v>
      </c>
      <c r="D437" s="76" t="s">
        <v>6638</v>
      </c>
      <c r="E437" s="739" t="s">
        <v>6639</v>
      </c>
      <c r="F437" s="739" t="s">
        <v>6640</v>
      </c>
      <c r="G437" s="30">
        <v>1</v>
      </c>
      <c r="H437" s="869">
        <v>173000</v>
      </c>
      <c r="I437" s="86">
        <f t="shared" si="30"/>
        <v>173000</v>
      </c>
      <c r="J437" s="20"/>
      <c r="K437" s="171">
        <f t="shared" si="28"/>
        <v>173000</v>
      </c>
      <c r="L437" s="364">
        <v>38900</v>
      </c>
      <c r="N437" s="171">
        <f t="shared" si="29"/>
        <v>211900</v>
      </c>
      <c r="O437" s="91" t="s">
        <v>206</v>
      </c>
      <c r="Q437" s="91" t="s">
        <v>40</v>
      </c>
    </row>
    <row r="438" spans="1:17" s="364" customFormat="1">
      <c r="A438" s="1089">
        <v>44460</v>
      </c>
      <c r="B438" s="91" t="s">
        <v>206</v>
      </c>
      <c r="C438" s="123" t="s">
        <v>6641</v>
      </c>
      <c r="D438" s="76" t="s">
        <v>6642</v>
      </c>
      <c r="E438" s="76" t="s">
        <v>6643</v>
      </c>
      <c r="F438" s="76" t="s">
        <v>6644</v>
      </c>
      <c r="G438" s="30">
        <v>1</v>
      </c>
      <c r="H438" s="869">
        <v>122000</v>
      </c>
      <c r="I438" s="86">
        <f t="shared" si="30"/>
        <v>122000</v>
      </c>
      <c r="J438" s="364">
        <v>20000</v>
      </c>
      <c r="K438" s="171">
        <f t="shared" si="28"/>
        <v>102000</v>
      </c>
      <c r="L438" s="364">
        <v>39700</v>
      </c>
      <c r="N438" s="171">
        <f t="shared" si="29"/>
        <v>141700</v>
      </c>
      <c r="O438" s="91" t="s">
        <v>206</v>
      </c>
      <c r="Q438" s="91" t="s">
        <v>5335</v>
      </c>
    </row>
    <row r="439" spans="1:17" s="364" customFormat="1">
      <c r="A439" s="1089">
        <v>44460</v>
      </c>
      <c r="B439" s="91" t="s">
        <v>206</v>
      </c>
      <c r="C439" s="123" t="s">
        <v>6645</v>
      </c>
      <c r="D439" s="76" t="s">
        <v>6646</v>
      </c>
      <c r="E439" s="739" t="s">
        <v>6647</v>
      </c>
      <c r="F439" s="739" t="s">
        <v>6648</v>
      </c>
      <c r="G439" s="30">
        <v>1</v>
      </c>
      <c r="H439" s="869">
        <v>27500</v>
      </c>
      <c r="I439" s="86">
        <f t="shared" si="30"/>
        <v>27500</v>
      </c>
      <c r="K439" s="171">
        <f t="shared" si="28"/>
        <v>27500</v>
      </c>
      <c r="L439" s="20">
        <v>6200</v>
      </c>
      <c r="N439" s="171">
        <f t="shared" si="29"/>
        <v>33700</v>
      </c>
      <c r="O439" s="91" t="s">
        <v>206</v>
      </c>
      <c r="Q439" s="91" t="s">
        <v>5335</v>
      </c>
    </row>
    <row r="440" spans="1:17" s="364" customFormat="1">
      <c r="A440" s="1089">
        <v>44460</v>
      </c>
      <c r="B440" s="91" t="s">
        <v>313</v>
      </c>
      <c r="C440" s="123" t="s">
        <v>6649</v>
      </c>
      <c r="D440" s="76" t="s">
        <v>6650</v>
      </c>
      <c r="E440" s="875" t="s">
        <v>6651</v>
      </c>
      <c r="F440" s="875" t="s">
        <v>6652</v>
      </c>
      <c r="G440" s="30">
        <v>1</v>
      </c>
      <c r="H440" s="869">
        <v>69000</v>
      </c>
      <c r="I440" s="86">
        <f t="shared" si="30"/>
        <v>69000</v>
      </c>
      <c r="K440" s="171">
        <f t="shared" si="28"/>
        <v>69000</v>
      </c>
      <c r="L440" s="20">
        <v>6063</v>
      </c>
      <c r="N440" s="171">
        <f t="shared" si="29"/>
        <v>75063</v>
      </c>
      <c r="O440" s="91" t="s">
        <v>313</v>
      </c>
      <c r="Q440" s="91" t="s">
        <v>28</v>
      </c>
    </row>
    <row r="441" spans="1:17" s="364" customFormat="1">
      <c r="A441" s="1089">
        <v>44460</v>
      </c>
      <c r="B441" s="91" t="s">
        <v>313</v>
      </c>
      <c r="C441" s="123" t="s">
        <v>6649</v>
      </c>
      <c r="D441" s="76" t="s">
        <v>6653</v>
      </c>
      <c r="E441" s="875" t="s">
        <v>3016</v>
      </c>
      <c r="F441" s="875" t="s">
        <v>3017</v>
      </c>
      <c r="G441" s="352">
        <v>1</v>
      </c>
      <c r="H441" s="869">
        <v>103000</v>
      </c>
      <c r="I441" s="86">
        <f t="shared" si="30"/>
        <v>103000</v>
      </c>
      <c r="K441" s="171">
        <f t="shared" si="28"/>
        <v>103000</v>
      </c>
      <c r="N441" s="171">
        <f t="shared" si="29"/>
        <v>103000</v>
      </c>
      <c r="O441" s="91" t="s">
        <v>313</v>
      </c>
      <c r="Q441" s="91" t="s">
        <v>28</v>
      </c>
    </row>
    <row r="442" spans="1:17" s="364" customFormat="1">
      <c r="A442" s="1089">
        <v>44460</v>
      </c>
      <c r="B442" s="91" t="s">
        <v>313</v>
      </c>
      <c r="C442" s="123" t="s">
        <v>6649</v>
      </c>
      <c r="D442" s="76" t="s">
        <v>6654</v>
      </c>
      <c r="E442" s="875" t="s">
        <v>6655</v>
      </c>
      <c r="F442" s="875" t="s">
        <v>5018</v>
      </c>
      <c r="G442" s="30">
        <v>1</v>
      </c>
      <c r="H442" s="869">
        <v>139000</v>
      </c>
      <c r="I442" s="86">
        <f t="shared" si="30"/>
        <v>139000</v>
      </c>
      <c r="K442" s="171">
        <f t="shared" si="28"/>
        <v>139000</v>
      </c>
      <c r="N442" s="171">
        <f t="shared" si="29"/>
        <v>139000</v>
      </c>
      <c r="O442" s="91" t="s">
        <v>313</v>
      </c>
      <c r="Q442" s="91" t="s">
        <v>28</v>
      </c>
    </row>
    <row r="443" spans="1:17" s="364" customFormat="1">
      <c r="A443" s="1089">
        <v>44460</v>
      </c>
      <c r="B443" s="91" t="s">
        <v>313</v>
      </c>
      <c r="C443" s="123" t="s">
        <v>6656</v>
      </c>
      <c r="D443" s="76" t="s">
        <v>6657</v>
      </c>
      <c r="E443" s="739" t="s">
        <v>6658</v>
      </c>
      <c r="F443" s="739" t="s">
        <v>6659</v>
      </c>
      <c r="G443" s="30">
        <v>1</v>
      </c>
      <c r="H443" s="869">
        <v>111000</v>
      </c>
      <c r="I443" s="86">
        <f t="shared" si="30"/>
        <v>111000</v>
      </c>
      <c r="K443" s="171">
        <f t="shared" si="28"/>
        <v>111000</v>
      </c>
      <c r="L443" s="20">
        <v>7057</v>
      </c>
      <c r="N443" s="171">
        <f t="shared" si="29"/>
        <v>118057</v>
      </c>
      <c r="O443" s="91" t="s">
        <v>313</v>
      </c>
      <c r="Q443" s="91" t="s">
        <v>28</v>
      </c>
    </row>
    <row r="444" spans="1:17" s="364" customFormat="1">
      <c r="A444" s="1089">
        <v>44460</v>
      </c>
      <c r="B444" s="91" t="s">
        <v>313</v>
      </c>
      <c r="C444" s="123" t="s">
        <v>6660</v>
      </c>
      <c r="D444" s="76" t="s">
        <v>6661</v>
      </c>
      <c r="E444" s="739" t="s">
        <v>6662</v>
      </c>
      <c r="F444" s="739" t="s">
        <v>6663</v>
      </c>
      <c r="G444" s="30">
        <v>1</v>
      </c>
      <c r="H444" s="869">
        <v>155000</v>
      </c>
      <c r="I444" s="86">
        <f t="shared" si="30"/>
        <v>155000</v>
      </c>
      <c r="K444" s="171">
        <f t="shared" si="28"/>
        <v>155000</v>
      </c>
      <c r="L444" s="20">
        <v>7019</v>
      </c>
      <c r="N444" s="171">
        <f t="shared" si="29"/>
        <v>162019</v>
      </c>
      <c r="O444" s="91" t="s">
        <v>313</v>
      </c>
      <c r="Q444" s="91" t="s">
        <v>28</v>
      </c>
    </row>
    <row r="445" spans="1:17" s="364" customFormat="1">
      <c r="A445" s="1089">
        <v>44460</v>
      </c>
      <c r="B445" s="91" t="s">
        <v>43</v>
      </c>
      <c r="C445" s="123" t="s">
        <v>6664</v>
      </c>
      <c r="D445" s="76" t="s">
        <v>6665</v>
      </c>
      <c r="E445" s="76" t="s">
        <v>5677</v>
      </c>
      <c r="F445" s="76" t="s">
        <v>5678</v>
      </c>
      <c r="G445" s="30">
        <v>1</v>
      </c>
      <c r="H445" s="869">
        <v>98000</v>
      </c>
      <c r="I445" s="86">
        <f t="shared" si="30"/>
        <v>98000</v>
      </c>
      <c r="J445" s="364">
        <f>I445*10%</f>
        <v>9800</v>
      </c>
      <c r="K445" s="171">
        <f t="shared" si="28"/>
        <v>88200</v>
      </c>
      <c r="M445" s="364">
        <v>-4939</v>
      </c>
      <c r="N445" s="171">
        <f t="shared" si="29"/>
        <v>83261</v>
      </c>
      <c r="O445" s="91" t="s">
        <v>43</v>
      </c>
      <c r="Q445" s="91" t="s">
        <v>176</v>
      </c>
    </row>
    <row r="446" spans="1:17" s="364" customFormat="1">
      <c r="A446" s="1089">
        <v>44460</v>
      </c>
      <c r="B446" s="91" t="s">
        <v>23</v>
      </c>
      <c r="C446" s="123" t="s">
        <v>6666</v>
      </c>
      <c r="D446" s="76" t="s">
        <v>6667</v>
      </c>
      <c r="E446" s="876" t="s">
        <v>6668</v>
      </c>
      <c r="F446" s="876" t="s">
        <v>2372</v>
      </c>
      <c r="G446" s="30">
        <v>2</v>
      </c>
      <c r="H446" s="869">
        <v>89000</v>
      </c>
      <c r="I446" s="86">
        <f t="shared" si="30"/>
        <v>178000</v>
      </c>
      <c r="K446" s="171">
        <f t="shared" si="28"/>
        <v>178000</v>
      </c>
      <c r="L446" s="364">
        <v>78000</v>
      </c>
      <c r="N446" s="171">
        <f t="shared" si="29"/>
        <v>256000</v>
      </c>
      <c r="O446" s="91" t="s">
        <v>23</v>
      </c>
      <c r="Q446" s="91" t="s">
        <v>54</v>
      </c>
    </row>
    <row r="447" spans="1:17" s="364" customFormat="1">
      <c r="A447" s="1089">
        <v>44460</v>
      </c>
      <c r="B447" s="91" t="s">
        <v>23</v>
      </c>
      <c r="C447" s="123" t="s">
        <v>6666</v>
      </c>
      <c r="D447" s="76" t="s">
        <v>6667</v>
      </c>
      <c r="E447" s="876" t="s">
        <v>6669</v>
      </c>
      <c r="F447" s="876" t="s">
        <v>6670</v>
      </c>
      <c r="G447" s="30">
        <v>2</v>
      </c>
      <c r="H447" s="869">
        <v>81500</v>
      </c>
      <c r="I447" s="86">
        <f t="shared" si="30"/>
        <v>163000</v>
      </c>
      <c r="K447" s="171">
        <f t="shared" si="28"/>
        <v>163000</v>
      </c>
      <c r="N447" s="171">
        <f t="shared" si="29"/>
        <v>163000</v>
      </c>
      <c r="O447" s="91" t="s">
        <v>23</v>
      </c>
      <c r="Q447" s="91" t="s">
        <v>54</v>
      </c>
    </row>
    <row r="448" spans="1:17" s="364" customFormat="1">
      <c r="A448" s="1089">
        <v>44460</v>
      </c>
      <c r="B448" s="91" t="s">
        <v>23</v>
      </c>
      <c r="C448" s="91" t="s">
        <v>6671</v>
      </c>
      <c r="D448" s="76" t="s">
        <v>6672</v>
      </c>
      <c r="E448" s="865" t="s">
        <v>6673</v>
      </c>
      <c r="F448" s="865" t="s">
        <v>6674</v>
      </c>
      <c r="G448" s="30">
        <v>1</v>
      </c>
      <c r="H448" s="869">
        <v>115000</v>
      </c>
      <c r="I448" s="86">
        <f t="shared" si="30"/>
        <v>115000</v>
      </c>
      <c r="K448" s="171">
        <f t="shared" si="28"/>
        <v>115000</v>
      </c>
      <c r="L448" s="20">
        <v>46000</v>
      </c>
      <c r="N448" s="171">
        <f t="shared" si="29"/>
        <v>161000</v>
      </c>
      <c r="O448" s="91" t="s">
        <v>23</v>
      </c>
      <c r="Q448" s="91" t="s">
        <v>40</v>
      </c>
    </row>
    <row r="449" spans="1:17" s="364" customFormat="1">
      <c r="A449" s="1089">
        <v>44460</v>
      </c>
      <c r="B449" s="91" t="s">
        <v>23</v>
      </c>
      <c r="C449" s="91" t="s">
        <v>6671</v>
      </c>
      <c r="D449" s="76" t="s">
        <v>6672</v>
      </c>
      <c r="E449" s="743" t="s">
        <v>365</v>
      </c>
      <c r="F449" s="743" t="s">
        <v>454</v>
      </c>
      <c r="G449" s="30">
        <v>1</v>
      </c>
      <c r="H449" s="869">
        <v>85000</v>
      </c>
      <c r="I449" s="86">
        <f t="shared" si="30"/>
        <v>85000</v>
      </c>
      <c r="K449" s="171">
        <f t="shared" ref="K449:K480" si="32">I449-J449</f>
        <v>85000</v>
      </c>
      <c r="N449" s="171">
        <f t="shared" ref="N449:N481" si="33">K449+L449+M449</f>
        <v>85000</v>
      </c>
      <c r="O449" s="91" t="s">
        <v>23</v>
      </c>
      <c r="Q449" s="91" t="s">
        <v>40</v>
      </c>
    </row>
    <row r="450" spans="1:17" s="364" customFormat="1">
      <c r="A450" s="1089">
        <v>44461</v>
      </c>
      <c r="B450" s="91" t="s">
        <v>206</v>
      </c>
      <c r="C450" s="123" t="s">
        <v>6675</v>
      </c>
      <c r="D450" s="76" t="s">
        <v>6676</v>
      </c>
      <c r="E450" s="76" t="s">
        <v>1669</v>
      </c>
      <c r="F450" s="76" t="s">
        <v>1670</v>
      </c>
      <c r="G450" s="30">
        <v>1</v>
      </c>
      <c r="H450" s="869">
        <v>81000</v>
      </c>
      <c r="I450" s="86">
        <f t="shared" si="30"/>
        <v>81000</v>
      </c>
      <c r="K450" s="171">
        <f t="shared" si="32"/>
        <v>81000</v>
      </c>
      <c r="L450" s="364">
        <f>70700-40000</f>
        <v>30700</v>
      </c>
      <c r="N450" s="171">
        <f t="shared" si="33"/>
        <v>111700</v>
      </c>
      <c r="O450" s="91" t="s">
        <v>206</v>
      </c>
      <c r="Q450" s="91" t="s">
        <v>328</v>
      </c>
    </row>
    <row r="451" spans="1:17" s="364" customFormat="1">
      <c r="A451" s="1089">
        <v>44461</v>
      </c>
      <c r="B451" s="91" t="s">
        <v>43</v>
      </c>
      <c r="C451" s="123" t="s">
        <v>6677</v>
      </c>
      <c r="D451" s="76" t="s">
        <v>6678</v>
      </c>
      <c r="E451" s="781" t="s">
        <v>6679</v>
      </c>
      <c r="F451" s="781" t="s">
        <v>6680</v>
      </c>
      <c r="G451" s="30">
        <v>1</v>
      </c>
      <c r="H451" s="869">
        <v>166000</v>
      </c>
      <c r="I451" s="86">
        <f t="shared" si="30"/>
        <v>166000</v>
      </c>
      <c r="J451" s="364">
        <f>I451*10%</f>
        <v>16600</v>
      </c>
      <c r="K451" s="171">
        <f t="shared" si="32"/>
        <v>149400</v>
      </c>
      <c r="M451" s="364">
        <v>-15826</v>
      </c>
      <c r="N451" s="171">
        <f t="shared" si="33"/>
        <v>133574</v>
      </c>
      <c r="O451" s="91" t="s">
        <v>43</v>
      </c>
      <c r="Q451" s="91" t="s">
        <v>54</v>
      </c>
    </row>
    <row r="452" spans="1:17" s="364" customFormat="1">
      <c r="A452" s="1089">
        <v>44461</v>
      </c>
      <c r="B452" s="91" t="s">
        <v>43</v>
      </c>
      <c r="C452" s="123" t="s">
        <v>6677</v>
      </c>
      <c r="D452" s="76" t="s">
        <v>6678</v>
      </c>
      <c r="E452" s="760" t="s">
        <v>4061</v>
      </c>
      <c r="F452" s="760" t="s">
        <v>4062</v>
      </c>
      <c r="G452" s="30">
        <v>1</v>
      </c>
      <c r="H452" s="869">
        <v>148000</v>
      </c>
      <c r="I452" s="86">
        <f t="shared" si="30"/>
        <v>148000</v>
      </c>
      <c r="J452" s="364">
        <f>I452*10%</f>
        <v>14800</v>
      </c>
      <c r="K452" s="171">
        <f t="shared" si="32"/>
        <v>133200</v>
      </c>
      <c r="N452" s="171">
        <f t="shared" si="33"/>
        <v>133200</v>
      </c>
      <c r="O452" s="91" t="s">
        <v>43</v>
      </c>
      <c r="Q452" s="91" t="s">
        <v>54</v>
      </c>
    </row>
    <row r="453" spans="1:17" s="364" customFormat="1">
      <c r="A453" s="1089">
        <v>44461</v>
      </c>
      <c r="B453" s="91" t="s">
        <v>43</v>
      </c>
      <c r="C453" s="123" t="s">
        <v>6681</v>
      </c>
      <c r="D453" s="76" t="s">
        <v>6682</v>
      </c>
      <c r="E453" s="76" t="s">
        <v>4182</v>
      </c>
      <c r="F453" s="76" t="s">
        <v>4183</v>
      </c>
      <c r="G453" s="30">
        <v>1</v>
      </c>
      <c r="H453" s="869">
        <v>69500</v>
      </c>
      <c r="I453" s="86">
        <f t="shared" si="30"/>
        <v>69500</v>
      </c>
      <c r="K453" s="171">
        <f t="shared" si="32"/>
        <v>69500</v>
      </c>
      <c r="L453" s="364">
        <v>25000</v>
      </c>
      <c r="M453" s="364">
        <v>-3892</v>
      </c>
      <c r="N453" s="171">
        <f t="shared" si="33"/>
        <v>90608</v>
      </c>
      <c r="O453" s="91" t="s">
        <v>43</v>
      </c>
      <c r="Q453" s="91" t="s">
        <v>54</v>
      </c>
    </row>
    <row r="454" spans="1:17" s="364" customFormat="1">
      <c r="A454" s="1089">
        <v>44461</v>
      </c>
      <c r="B454" s="91" t="s">
        <v>23</v>
      </c>
      <c r="C454" s="91" t="s">
        <v>6683</v>
      </c>
      <c r="D454" s="76" t="s">
        <v>6684</v>
      </c>
      <c r="E454" s="739" t="s">
        <v>6685</v>
      </c>
      <c r="F454" s="739" t="s">
        <v>6686</v>
      </c>
      <c r="G454" s="30">
        <v>1</v>
      </c>
      <c r="H454" s="869">
        <v>99000</v>
      </c>
      <c r="I454" s="86">
        <f t="shared" si="30"/>
        <v>99000</v>
      </c>
      <c r="K454" s="171">
        <f t="shared" si="32"/>
        <v>99000</v>
      </c>
      <c r="L454" s="364">
        <v>35000</v>
      </c>
      <c r="N454" s="171">
        <f t="shared" si="33"/>
        <v>134000</v>
      </c>
      <c r="O454" s="91" t="s">
        <v>23</v>
      </c>
      <c r="Q454" s="91" t="s">
        <v>54</v>
      </c>
    </row>
    <row r="455" spans="1:17" s="364" customFormat="1">
      <c r="A455" s="1089">
        <v>44461</v>
      </c>
      <c r="B455" s="91" t="s">
        <v>313</v>
      </c>
      <c r="C455" s="123" t="s">
        <v>6687</v>
      </c>
      <c r="D455" s="76" t="s">
        <v>6688</v>
      </c>
      <c r="E455" s="739" t="s">
        <v>6689</v>
      </c>
      <c r="F455" s="739" t="s">
        <v>6690</v>
      </c>
      <c r="G455" s="30">
        <v>1</v>
      </c>
      <c r="H455" s="869">
        <v>82000</v>
      </c>
      <c r="I455" s="86">
        <f t="shared" si="30"/>
        <v>82000</v>
      </c>
      <c r="K455" s="171">
        <f t="shared" si="32"/>
        <v>82000</v>
      </c>
      <c r="L455" s="364">
        <v>42019</v>
      </c>
      <c r="N455" s="171">
        <f t="shared" si="33"/>
        <v>124019</v>
      </c>
      <c r="O455" s="91" t="s">
        <v>313</v>
      </c>
      <c r="Q455" s="91" t="s">
        <v>28</v>
      </c>
    </row>
    <row r="456" spans="1:17" s="364" customFormat="1">
      <c r="A456" s="1089">
        <v>44461</v>
      </c>
      <c r="B456" s="91" t="s">
        <v>313</v>
      </c>
      <c r="C456" s="123" t="s">
        <v>6691</v>
      </c>
      <c r="D456" s="76" t="s">
        <v>6692</v>
      </c>
      <c r="E456" s="76" t="s">
        <v>3432</v>
      </c>
      <c r="F456" s="76" t="s">
        <v>3433</v>
      </c>
      <c r="G456" s="30">
        <v>1</v>
      </c>
      <c r="H456" s="869">
        <v>188000</v>
      </c>
      <c r="I456" s="86">
        <f t="shared" si="30"/>
        <v>188000</v>
      </c>
      <c r="K456" s="171">
        <f t="shared" si="32"/>
        <v>188000</v>
      </c>
      <c r="L456" s="20">
        <v>14094</v>
      </c>
      <c r="N456" s="171">
        <f t="shared" si="33"/>
        <v>202094</v>
      </c>
      <c r="O456" s="91" t="s">
        <v>313</v>
      </c>
      <c r="Q456" s="91" t="s">
        <v>40</v>
      </c>
    </row>
    <row r="457" spans="1:17" s="364" customFormat="1">
      <c r="A457" s="1089">
        <v>44461</v>
      </c>
      <c r="B457" s="91" t="s">
        <v>313</v>
      </c>
      <c r="C457" s="123" t="s">
        <v>6693</v>
      </c>
      <c r="D457" s="76" t="s">
        <v>6694</v>
      </c>
      <c r="E457" s="877" t="s">
        <v>6695</v>
      </c>
      <c r="F457" s="877" t="s">
        <v>6696</v>
      </c>
      <c r="G457" s="30">
        <v>1</v>
      </c>
      <c r="H457" s="869">
        <v>68000</v>
      </c>
      <c r="I457" s="86">
        <f t="shared" si="30"/>
        <v>68000</v>
      </c>
      <c r="K457" s="171">
        <f t="shared" si="32"/>
        <v>68000</v>
      </c>
      <c r="L457" s="20">
        <v>78085</v>
      </c>
      <c r="N457" s="171">
        <f t="shared" si="33"/>
        <v>146085</v>
      </c>
      <c r="O457" s="91" t="s">
        <v>313</v>
      </c>
      <c r="Q457" s="91" t="s">
        <v>54</v>
      </c>
    </row>
    <row r="458" spans="1:17" s="364" customFormat="1">
      <c r="A458" s="1089">
        <v>44461</v>
      </c>
      <c r="B458" s="91" t="s">
        <v>313</v>
      </c>
      <c r="C458" s="123" t="s">
        <v>6693</v>
      </c>
      <c r="D458" s="76" t="s">
        <v>6694</v>
      </c>
      <c r="E458" s="877" t="s">
        <v>4976</v>
      </c>
      <c r="F458" s="877" t="s">
        <v>4977</v>
      </c>
      <c r="G458" s="30">
        <v>1</v>
      </c>
      <c r="H458" s="869">
        <v>89000</v>
      </c>
      <c r="I458" s="86">
        <f t="shared" si="30"/>
        <v>89000</v>
      </c>
      <c r="K458" s="171">
        <f t="shared" si="32"/>
        <v>89000</v>
      </c>
      <c r="N458" s="171">
        <f t="shared" si="33"/>
        <v>89000</v>
      </c>
      <c r="O458" s="91" t="s">
        <v>313</v>
      </c>
      <c r="Q458" s="91" t="s">
        <v>54</v>
      </c>
    </row>
    <row r="459" spans="1:17" s="364" customFormat="1">
      <c r="A459" s="1089">
        <v>44461</v>
      </c>
      <c r="B459" s="91" t="s">
        <v>313</v>
      </c>
      <c r="C459" s="123" t="s">
        <v>6693</v>
      </c>
      <c r="D459" s="76" t="s">
        <v>6694</v>
      </c>
      <c r="E459" s="878" t="s">
        <v>6697</v>
      </c>
      <c r="F459" s="878" t="s">
        <v>2728</v>
      </c>
      <c r="G459" s="30">
        <v>1</v>
      </c>
      <c r="H459" s="869">
        <v>92000</v>
      </c>
      <c r="I459" s="86">
        <f t="shared" si="30"/>
        <v>92000</v>
      </c>
      <c r="K459" s="171">
        <f t="shared" si="32"/>
        <v>92000</v>
      </c>
      <c r="N459" s="171">
        <f t="shared" si="33"/>
        <v>92000</v>
      </c>
      <c r="O459" s="91" t="s">
        <v>313</v>
      </c>
      <c r="Q459" s="91" t="s">
        <v>54</v>
      </c>
    </row>
    <row r="460" spans="1:17" s="364" customFormat="1">
      <c r="A460" s="1089">
        <v>44461</v>
      </c>
      <c r="B460" s="91" t="s">
        <v>313</v>
      </c>
      <c r="C460" s="123" t="s">
        <v>6693</v>
      </c>
      <c r="D460" s="76" t="s">
        <v>6694</v>
      </c>
      <c r="E460" s="878" t="s">
        <v>3447</v>
      </c>
      <c r="F460" s="878" t="s">
        <v>3448</v>
      </c>
      <c r="G460" s="30">
        <v>1</v>
      </c>
      <c r="H460" s="869">
        <v>69000</v>
      </c>
      <c r="I460" s="86">
        <f t="shared" si="30"/>
        <v>69000</v>
      </c>
      <c r="K460" s="171">
        <f t="shared" si="32"/>
        <v>69000</v>
      </c>
      <c r="N460" s="171">
        <f t="shared" si="33"/>
        <v>69000</v>
      </c>
      <c r="O460" s="91" t="s">
        <v>313</v>
      </c>
      <c r="Q460" s="91" t="s">
        <v>54</v>
      </c>
    </row>
    <row r="461" spans="1:17" s="364" customFormat="1">
      <c r="A461" s="1089">
        <v>44461</v>
      </c>
      <c r="B461" s="91" t="s">
        <v>313</v>
      </c>
      <c r="C461" s="123" t="s">
        <v>6693</v>
      </c>
      <c r="D461" s="76" t="s">
        <v>6694</v>
      </c>
      <c r="E461" s="878" t="s">
        <v>6698</v>
      </c>
      <c r="F461" s="877" t="s">
        <v>6699</v>
      </c>
      <c r="G461" s="30">
        <v>1</v>
      </c>
      <c r="H461" s="869">
        <v>114000</v>
      </c>
      <c r="I461" s="86">
        <f t="shared" si="30"/>
        <v>114000</v>
      </c>
      <c r="K461" s="171">
        <f t="shared" si="32"/>
        <v>114000</v>
      </c>
      <c r="N461" s="171">
        <f t="shared" si="33"/>
        <v>114000</v>
      </c>
      <c r="O461" s="91" t="s">
        <v>313</v>
      </c>
      <c r="Q461" s="91" t="s">
        <v>54</v>
      </c>
    </row>
    <row r="462" spans="1:17" s="364" customFormat="1">
      <c r="A462" s="1089">
        <v>44461</v>
      </c>
      <c r="B462" s="91" t="s">
        <v>313</v>
      </c>
      <c r="C462" s="123" t="s">
        <v>6693</v>
      </c>
      <c r="D462" s="76" t="s">
        <v>6694</v>
      </c>
      <c r="E462" s="877" t="s">
        <v>3838</v>
      </c>
      <c r="F462" s="877" t="s">
        <v>3839</v>
      </c>
      <c r="G462" s="706">
        <v>1</v>
      </c>
      <c r="H462" s="869">
        <v>122000</v>
      </c>
      <c r="I462" s="86">
        <f t="shared" si="30"/>
        <v>122000</v>
      </c>
      <c r="K462" s="171">
        <f t="shared" si="32"/>
        <v>122000</v>
      </c>
      <c r="N462" s="171">
        <f t="shared" si="33"/>
        <v>122000</v>
      </c>
      <c r="O462" s="91" t="s">
        <v>313</v>
      </c>
      <c r="Q462" s="91" t="s">
        <v>54</v>
      </c>
    </row>
    <row r="463" spans="1:17" s="364" customFormat="1">
      <c r="A463" s="1089">
        <v>44461</v>
      </c>
      <c r="B463" s="91" t="s">
        <v>313</v>
      </c>
      <c r="C463" s="123" t="s">
        <v>6693</v>
      </c>
      <c r="D463" s="76" t="s">
        <v>6694</v>
      </c>
      <c r="E463" s="877" t="s">
        <v>6700</v>
      </c>
      <c r="F463" s="877" t="s">
        <v>6701</v>
      </c>
      <c r="G463" s="30">
        <v>1</v>
      </c>
      <c r="H463" s="869">
        <v>99000</v>
      </c>
      <c r="I463" s="86">
        <f t="shared" si="30"/>
        <v>99000</v>
      </c>
      <c r="K463" s="171">
        <f t="shared" si="32"/>
        <v>99000</v>
      </c>
      <c r="N463" s="171">
        <f t="shared" si="33"/>
        <v>99000</v>
      </c>
      <c r="O463" s="91" t="s">
        <v>313</v>
      </c>
      <c r="Q463" s="91" t="s">
        <v>54</v>
      </c>
    </row>
    <row r="464" spans="1:17" s="364" customFormat="1">
      <c r="A464" s="1089">
        <v>44461</v>
      </c>
      <c r="B464" s="91" t="s">
        <v>313</v>
      </c>
      <c r="C464" s="123" t="s">
        <v>3494</v>
      </c>
      <c r="D464" s="76" t="s">
        <v>6702</v>
      </c>
      <c r="E464" s="76" t="s">
        <v>4315</v>
      </c>
      <c r="F464" s="76" t="s">
        <v>4316</v>
      </c>
      <c r="G464" s="30">
        <v>1</v>
      </c>
      <c r="H464" s="869">
        <v>103000</v>
      </c>
      <c r="I464" s="86">
        <f t="shared" si="30"/>
        <v>103000</v>
      </c>
      <c r="K464" s="171">
        <f t="shared" si="32"/>
        <v>103000</v>
      </c>
      <c r="L464" s="364">
        <v>47003</v>
      </c>
      <c r="N464" s="171">
        <f t="shared" si="33"/>
        <v>150003</v>
      </c>
      <c r="O464" s="91" t="s">
        <v>313</v>
      </c>
      <c r="Q464" s="91" t="s">
        <v>40</v>
      </c>
    </row>
    <row r="465" spans="1:17" s="364" customFormat="1">
      <c r="A465" s="1089">
        <v>44461</v>
      </c>
      <c r="B465" s="91" t="s">
        <v>23</v>
      </c>
      <c r="C465" s="91" t="s">
        <v>6703</v>
      </c>
      <c r="D465" s="29" t="s">
        <v>32</v>
      </c>
      <c r="E465" s="76" t="s">
        <v>6273</v>
      </c>
      <c r="F465" s="76" t="s">
        <v>6032</v>
      </c>
      <c r="G465" s="30">
        <v>1</v>
      </c>
      <c r="H465" s="869">
        <v>93000</v>
      </c>
      <c r="I465" s="86">
        <f t="shared" si="30"/>
        <v>93000</v>
      </c>
      <c r="K465" s="171">
        <f t="shared" si="32"/>
        <v>93000</v>
      </c>
      <c r="N465" s="171">
        <f t="shared" si="33"/>
        <v>93000</v>
      </c>
      <c r="O465" s="91" t="s">
        <v>23</v>
      </c>
      <c r="Q465" s="91" t="s">
        <v>35</v>
      </c>
    </row>
    <row r="466" spans="1:17" s="364" customFormat="1">
      <c r="A466" s="1089">
        <v>44462</v>
      </c>
      <c r="B466" s="91" t="s">
        <v>43</v>
      </c>
      <c r="C466" s="123" t="s">
        <v>6704</v>
      </c>
      <c r="D466" s="76" t="s">
        <v>6705</v>
      </c>
      <c r="E466" s="739" t="s">
        <v>1648</v>
      </c>
      <c r="F466" s="739" t="s">
        <v>1649</v>
      </c>
      <c r="G466" s="30">
        <v>1</v>
      </c>
      <c r="H466" s="869">
        <v>145000</v>
      </c>
      <c r="I466" s="86">
        <f t="shared" si="30"/>
        <v>145000</v>
      </c>
      <c r="J466" s="364">
        <f>I466*10%</f>
        <v>14500</v>
      </c>
      <c r="K466" s="171">
        <f t="shared" si="32"/>
        <v>130500</v>
      </c>
      <c r="L466" s="364">
        <v>23000</v>
      </c>
      <c r="M466" s="364">
        <v>-7308</v>
      </c>
      <c r="N466" s="171">
        <f t="shared" si="33"/>
        <v>146192</v>
      </c>
      <c r="O466" s="91" t="s">
        <v>43</v>
      </c>
      <c r="Q466" s="91" t="s">
        <v>54</v>
      </c>
    </row>
    <row r="467" spans="1:17" s="364" customFormat="1">
      <c r="A467" s="1089">
        <v>44462</v>
      </c>
      <c r="B467" s="91" t="s">
        <v>43</v>
      </c>
      <c r="C467" s="91" t="s">
        <v>6706</v>
      </c>
      <c r="D467" s="29" t="s">
        <v>6707</v>
      </c>
      <c r="E467" s="76" t="s">
        <v>3796</v>
      </c>
      <c r="F467" s="76" t="s">
        <v>1025</v>
      </c>
      <c r="G467" s="30">
        <v>1</v>
      </c>
      <c r="H467" s="869">
        <v>58500</v>
      </c>
      <c r="I467" s="86">
        <f t="shared" si="30"/>
        <v>58500</v>
      </c>
      <c r="K467" s="171">
        <f t="shared" si="32"/>
        <v>58500</v>
      </c>
      <c r="M467" s="364">
        <v>-3276</v>
      </c>
      <c r="N467" s="171">
        <f t="shared" si="33"/>
        <v>55224</v>
      </c>
      <c r="O467" s="91" t="s">
        <v>43</v>
      </c>
      <c r="Q467" s="91" t="s">
        <v>54</v>
      </c>
    </row>
    <row r="468" spans="1:17" s="364" customFormat="1">
      <c r="A468" s="1089">
        <v>44462</v>
      </c>
      <c r="B468" s="91" t="s">
        <v>43</v>
      </c>
      <c r="C468" s="91" t="s">
        <v>6708</v>
      </c>
      <c r="D468" s="76" t="s">
        <v>6709</v>
      </c>
      <c r="E468" s="739" t="s">
        <v>6710</v>
      </c>
      <c r="F468" s="739" t="s">
        <v>6711</v>
      </c>
      <c r="G468" s="30">
        <v>4</v>
      </c>
      <c r="H468" s="869">
        <v>76500</v>
      </c>
      <c r="I468" s="86">
        <f t="shared" si="30"/>
        <v>306000</v>
      </c>
      <c r="J468" s="364">
        <f>I468*10%</f>
        <v>30600</v>
      </c>
      <c r="K468" s="171">
        <f t="shared" si="32"/>
        <v>275400</v>
      </c>
      <c r="M468" s="364">
        <v>-15442</v>
      </c>
      <c r="N468" s="171">
        <f t="shared" si="33"/>
        <v>259958</v>
      </c>
      <c r="O468" s="91" t="s">
        <v>43</v>
      </c>
      <c r="Q468" s="91" t="s">
        <v>54</v>
      </c>
    </row>
    <row r="469" spans="1:17" s="364" customFormat="1">
      <c r="A469" s="1089">
        <v>44462</v>
      </c>
      <c r="B469" s="91" t="s">
        <v>206</v>
      </c>
      <c r="C469" s="123" t="s">
        <v>6712</v>
      </c>
      <c r="D469" s="76" t="s">
        <v>6713</v>
      </c>
      <c r="E469" s="76" t="s">
        <v>62</v>
      </c>
      <c r="F469" s="76" t="s">
        <v>63</v>
      </c>
      <c r="G469" s="30">
        <v>1</v>
      </c>
      <c r="H469" s="869">
        <v>66000</v>
      </c>
      <c r="I469" s="86">
        <f t="shared" si="30"/>
        <v>66000</v>
      </c>
      <c r="K469" s="171">
        <f t="shared" si="32"/>
        <v>66000</v>
      </c>
      <c r="L469" s="364">
        <f>18400-18000</f>
        <v>400</v>
      </c>
      <c r="N469" s="171">
        <f t="shared" si="33"/>
        <v>66400</v>
      </c>
      <c r="O469" s="91" t="s">
        <v>206</v>
      </c>
      <c r="Q469" s="91" t="s">
        <v>176</v>
      </c>
    </row>
    <row r="470" spans="1:17" s="364" customFormat="1">
      <c r="A470" s="1089">
        <v>44462</v>
      </c>
      <c r="B470" s="91" t="s">
        <v>43</v>
      </c>
      <c r="C470" s="123" t="s">
        <v>6714</v>
      </c>
      <c r="D470" s="76" t="s">
        <v>6715</v>
      </c>
      <c r="E470" s="76" t="s">
        <v>6716</v>
      </c>
      <c r="F470" s="76" t="s">
        <v>6717</v>
      </c>
      <c r="G470" s="30">
        <v>1</v>
      </c>
      <c r="H470" s="869">
        <v>115500</v>
      </c>
      <c r="I470" s="86">
        <f t="shared" si="30"/>
        <v>115500</v>
      </c>
      <c r="J470" s="364">
        <f>I470*10%</f>
        <v>11550</v>
      </c>
      <c r="K470" s="171">
        <f t="shared" si="32"/>
        <v>103950</v>
      </c>
      <c r="L470" s="364">
        <v>10000</v>
      </c>
      <c r="M470" s="20">
        <v>-5821</v>
      </c>
      <c r="N470" s="171">
        <f t="shared" si="33"/>
        <v>108129</v>
      </c>
      <c r="O470" s="91" t="s">
        <v>43</v>
      </c>
      <c r="Q470" s="91" t="s">
        <v>54</v>
      </c>
    </row>
    <row r="471" spans="1:17" s="364" customFormat="1">
      <c r="A471" s="1089">
        <v>44462</v>
      </c>
      <c r="B471" s="91" t="s">
        <v>43</v>
      </c>
      <c r="C471" s="123" t="s">
        <v>6718</v>
      </c>
      <c r="D471" s="29" t="s">
        <v>6719</v>
      </c>
      <c r="E471" s="76" t="s">
        <v>6399</v>
      </c>
      <c r="F471" s="76" t="s">
        <v>6400</v>
      </c>
      <c r="G471" s="30">
        <v>1</v>
      </c>
      <c r="H471" s="869">
        <v>26000</v>
      </c>
      <c r="I471" s="86">
        <f t="shared" si="30"/>
        <v>26000</v>
      </c>
      <c r="K471" s="171">
        <f t="shared" si="32"/>
        <v>26000</v>
      </c>
      <c r="L471" s="364">
        <v>13000</v>
      </c>
      <c r="M471" s="20">
        <v>-1456</v>
      </c>
      <c r="N471" s="171">
        <f t="shared" si="33"/>
        <v>37544</v>
      </c>
      <c r="O471" s="91" t="s">
        <v>43</v>
      </c>
      <c r="Q471" s="91" t="s">
        <v>176</v>
      </c>
    </row>
    <row r="472" spans="1:17" s="364" customFormat="1">
      <c r="A472" s="1089">
        <v>44462</v>
      </c>
      <c r="B472" s="91" t="s">
        <v>43</v>
      </c>
      <c r="C472" s="123" t="s">
        <v>6720</v>
      </c>
      <c r="D472" s="76" t="s">
        <v>6721</v>
      </c>
      <c r="E472" s="76" t="s">
        <v>5380</v>
      </c>
      <c r="F472" s="76" t="s">
        <v>5381</v>
      </c>
      <c r="G472" s="30">
        <v>1</v>
      </c>
      <c r="H472" s="869">
        <v>157000</v>
      </c>
      <c r="I472" s="86">
        <f t="shared" si="30"/>
        <v>157000</v>
      </c>
      <c r="J472" s="364">
        <f>I472*10%</f>
        <v>15700</v>
      </c>
      <c r="K472" s="171">
        <f t="shared" si="32"/>
        <v>141300</v>
      </c>
      <c r="L472" s="364">
        <v>55000</v>
      </c>
      <c r="M472" s="20">
        <v>-7913</v>
      </c>
      <c r="N472" s="171">
        <f t="shared" si="33"/>
        <v>188387</v>
      </c>
      <c r="O472" s="91" t="s">
        <v>43</v>
      </c>
      <c r="Q472" s="91" t="s">
        <v>54</v>
      </c>
    </row>
    <row r="473" spans="1:17" s="364" customFormat="1">
      <c r="A473" s="1089">
        <v>44462</v>
      </c>
      <c r="B473" s="91" t="s">
        <v>43</v>
      </c>
      <c r="C473" s="123" t="s">
        <v>6722</v>
      </c>
      <c r="D473" s="29" t="s">
        <v>6723</v>
      </c>
      <c r="E473" s="781" t="s">
        <v>6724</v>
      </c>
      <c r="F473" s="781" t="s">
        <v>6725</v>
      </c>
      <c r="G473" s="30">
        <v>1</v>
      </c>
      <c r="H473" s="869">
        <v>62000</v>
      </c>
      <c r="I473" s="86">
        <f t="shared" si="30"/>
        <v>62000</v>
      </c>
      <c r="J473" s="364">
        <f>I473*10%</f>
        <v>6200</v>
      </c>
      <c r="K473" s="171">
        <f t="shared" si="32"/>
        <v>55800</v>
      </c>
      <c r="N473" s="171">
        <f t="shared" si="33"/>
        <v>55800</v>
      </c>
      <c r="O473" s="91" t="s">
        <v>43</v>
      </c>
      <c r="Q473" s="91" t="s">
        <v>176</v>
      </c>
    </row>
    <row r="474" spans="1:17" s="364" customFormat="1">
      <c r="A474" s="1089">
        <v>44462</v>
      </c>
      <c r="B474" s="91" t="s">
        <v>43</v>
      </c>
      <c r="C474" s="123" t="s">
        <v>6722</v>
      </c>
      <c r="D474" s="29" t="s">
        <v>6726</v>
      </c>
      <c r="E474" s="760" t="s">
        <v>5333</v>
      </c>
      <c r="F474" s="760" t="s">
        <v>5334</v>
      </c>
      <c r="G474" s="30">
        <v>1</v>
      </c>
      <c r="H474" s="869">
        <v>72000</v>
      </c>
      <c r="I474" s="86">
        <f t="shared" si="30"/>
        <v>72000</v>
      </c>
      <c r="J474" s="364">
        <f>I474*10%</f>
        <v>7200</v>
      </c>
      <c r="K474" s="171">
        <f t="shared" si="32"/>
        <v>64800</v>
      </c>
      <c r="N474" s="171">
        <f t="shared" si="33"/>
        <v>64800</v>
      </c>
      <c r="O474" s="91" t="s">
        <v>43</v>
      </c>
      <c r="Q474" s="91" t="s">
        <v>176</v>
      </c>
    </row>
    <row r="475" spans="1:17" s="364" customFormat="1">
      <c r="A475" s="1089">
        <v>44462</v>
      </c>
      <c r="B475" s="91" t="s">
        <v>313</v>
      </c>
      <c r="C475" s="123" t="s">
        <v>6727</v>
      </c>
      <c r="D475" s="76" t="s">
        <v>6728</v>
      </c>
      <c r="E475" s="876" t="s">
        <v>407</v>
      </c>
      <c r="F475" s="876" t="s">
        <v>408</v>
      </c>
      <c r="G475" s="30">
        <v>2</v>
      </c>
      <c r="H475" s="869">
        <v>68500</v>
      </c>
      <c r="I475" s="86">
        <f t="shared" si="30"/>
        <v>137000</v>
      </c>
      <c r="J475" s="20"/>
      <c r="K475" s="171">
        <f t="shared" si="32"/>
        <v>137000</v>
      </c>
      <c r="L475" s="20">
        <v>45072</v>
      </c>
      <c r="N475" s="171">
        <f t="shared" si="33"/>
        <v>182072</v>
      </c>
      <c r="O475" s="91" t="s">
        <v>313</v>
      </c>
      <c r="Q475" s="10" t="s">
        <v>895</v>
      </c>
    </row>
    <row r="476" spans="1:17" s="364" customFormat="1">
      <c r="A476" s="1089">
        <v>44462</v>
      </c>
      <c r="B476" s="91" t="s">
        <v>313</v>
      </c>
      <c r="C476" s="123" t="s">
        <v>6727</v>
      </c>
      <c r="D476" s="76" t="s">
        <v>6728</v>
      </c>
      <c r="E476" s="876" t="s">
        <v>6729</v>
      </c>
      <c r="F476" s="876" t="s">
        <v>6730</v>
      </c>
      <c r="G476" s="30">
        <v>2</v>
      </c>
      <c r="H476" s="869">
        <v>84500</v>
      </c>
      <c r="I476" s="86">
        <f t="shared" si="30"/>
        <v>169000</v>
      </c>
      <c r="J476" s="20"/>
      <c r="K476" s="171">
        <f t="shared" si="32"/>
        <v>169000</v>
      </c>
      <c r="N476" s="171">
        <f t="shared" si="33"/>
        <v>169000</v>
      </c>
      <c r="O476" s="91" t="s">
        <v>313</v>
      </c>
      <c r="Q476" s="10" t="s">
        <v>895</v>
      </c>
    </row>
    <row r="477" spans="1:17" s="364" customFormat="1">
      <c r="A477" s="1089">
        <v>44462</v>
      </c>
      <c r="B477" s="91" t="s">
        <v>206</v>
      </c>
      <c r="C477" s="123" t="s">
        <v>6731</v>
      </c>
      <c r="D477" s="76" t="s">
        <v>6732</v>
      </c>
      <c r="E477" s="739" t="s">
        <v>6347</v>
      </c>
      <c r="F477" s="739" t="s">
        <v>6348</v>
      </c>
      <c r="G477" s="30">
        <v>2</v>
      </c>
      <c r="H477" s="869">
        <v>57000</v>
      </c>
      <c r="I477" s="86">
        <f t="shared" si="30"/>
        <v>114000</v>
      </c>
      <c r="K477" s="171">
        <f t="shared" si="32"/>
        <v>114000</v>
      </c>
      <c r="L477" s="364">
        <f>16600-16000</f>
        <v>600</v>
      </c>
      <c r="N477" s="171">
        <f t="shared" si="33"/>
        <v>114600</v>
      </c>
      <c r="O477" s="91" t="s">
        <v>206</v>
      </c>
      <c r="Q477" s="10" t="s">
        <v>328</v>
      </c>
    </row>
    <row r="478" spans="1:17" s="364" customFormat="1">
      <c r="A478" s="1089">
        <v>44462</v>
      </c>
      <c r="B478" s="282" t="s">
        <v>23</v>
      </c>
      <c r="C478" s="283" t="s">
        <v>6733</v>
      </c>
      <c r="D478" s="29" t="s">
        <v>6734</v>
      </c>
      <c r="E478" s="364" t="s">
        <v>4452</v>
      </c>
      <c r="F478" s="76" t="s">
        <v>6735</v>
      </c>
      <c r="G478" s="56">
        <v>6</v>
      </c>
      <c r="H478" s="869">
        <v>109200</v>
      </c>
      <c r="I478" s="86">
        <f t="shared" si="30"/>
        <v>655200</v>
      </c>
      <c r="K478" s="171">
        <f t="shared" si="32"/>
        <v>655200</v>
      </c>
      <c r="N478" s="171">
        <f t="shared" si="33"/>
        <v>655200</v>
      </c>
      <c r="O478" s="282" t="s">
        <v>23</v>
      </c>
    </row>
    <row r="479" spans="1:17" s="364" customFormat="1">
      <c r="A479" s="1089">
        <v>44462</v>
      </c>
      <c r="B479" s="282" t="s">
        <v>23</v>
      </c>
      <c r="C479" s="283" t="s">
        <v>6733</v>
      </c>
      <c r="D479" s="29" t="s">
        <v>6734</v>
      </c>
      <c r="E479" s="364" t="s">
        <v>6044</v>
      </c>
      <c r="F479" s="76" t="s">
        <v>6736</v>
      </c>
      <c r="G479" s="56">
        <v>1</v>
      </c>
      <c r="H479" s="869">
        <v>88500</v>
      </c>
      <c r="I479" s="86">
        <f t="shared" si="30"/>
        <v>88500</v>
      </c>
      <c r="K479" s="171">
        <f t="shared" si="32"/>
        <v>88500</v>
      </c>
      <c r="N479" s="171">
        <f t="shared" si="33"/>
        <v>88500</v>
      </c>
      <c r="O479" s="282" t="s">
        <v>23</v>
      </c>
    </row>
    <row r="480" spans="1:17" s="364" customFormat="1">
      <c r="A480" s="1089">
        <v>44462</v>
      </c>
      <c r="B480" s="282" t="s">
        <v>23</v>
      </c>
      <c r="C480" s="283" t="s">
        <v>6733</v>
      </c>
      <c r="D480" s="29" t="s">
        <v>6734</v>
      </c>
      <c r="E480" s="364" t="s">
        <v>2667</v>
      </c>
      <c r="F480" s="364" t="s">
        <v>6737</v>
      </c>
      <c r="G480" s="56">
        <v>1</v>
      </c>
      <c r="H480" s="869">
        <v>81200</v>
      </c>
      <c r="I480" s="86">
        <f t="shared" si="30"/>
        <v>81200</v>
      </c>
      <c r="K480" s="171">
        <f t="shared" si="32"/>
        <v>81200</v>
      </c>
      <c r="N480" s="171">
        <f t="shared" si="33"/>
        <v>81200</v>
      </c>
      <c r="O480" s="282" t="s">
        <v>23</v>
      </c>
    </row>
    <row r="481" spans="7:14">
      <c r="G481">
        <f>SUM(G2:G480)</f>
        <v>686</v>
      </c>
      <c r="K481" s="171">
        <f>SUM(K2:K480)</f>
        <v>54328575</v>
      </c>
      <c r="N481" s="171">
        <f t="shared" si="33"/>
        <v>54328575</v>
      </c>
    </row>
  </sheetData>
  <dataValidations count="1">
    <dataValidation type="list" allowBlank="1" showErrorMessage="1" sqref="Q1" xr:uid="{00000000-0002-0000-0800-000000000000}">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M.JANUARI</vt:lpstr>
      <vt:lpstr>M.FEBRUARI</vt:lpstr>
      <vt:lpstr>M.MARET</vt:lpstr>
      <vt:lpstr>M.APRIL</vt:lpstr>
      <vt:lpstr>M.MEI</vt:lpstr>
      <vt:lpstr>M.JUNI</vt:lpstr>
      <vt:lpstr>M.JULI</vt:lpstr>
      <vt:lpstr>M.AGUSTUS</vt:lpstr>
      <vt:lpstr>M.SEPTEMBER</vt:lpstr>
      <vt:lpstr>M.OKTOBER</vt:lpstr>
      <vt:lpstr>M.NOVEMBER</vt:lpstr>
      <vt:lpstr>M.DESEMBER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YOGA 14</cp:lastModifiedBy>
  <dcterms:created xsi:type="dcterms:W3CDTF">2020-12-28T04:49:54Z</dcterms:created>
  <dcterms:modified xsi:type="dcterms:W3CDTF">2022-02-05T09:54:59Z</dcterms:modified>
</cp:coreProperties>
</file>