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D:\CODEMGE\PROJETOS\modelagem-transporte-pessoas\Modelagem\Ferrovia\Acessibilidade\Tempo médio ponderado do transporte de pessoas no estado (pessoas)\"/>
    </mc:Choice>
  </mc:AlternateContent>
  <xr:revisionPtr revIDLastSave="0" documentId="13_ncr:1_{1FAEA00D-4780-42E9-8D93-2569F8E31D76}" xr6:coauthVersionLast="47" xr6:coauthVersionMax="47" xr10:uidLastSave="{00000000-0000-0000-0000-000000000000}"/>
  <bookViews>
    <workbookView xWindow="-120" yWindow="-16320" windowWidth="29040" windowHeight="15720" xr2:uid="{226C6E26-527D-407C-8BBE-4D73A9AAA8E7}"/>
  </bookViews>
  <sheets>
    <sheet name="Extract_Data_PEF"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E2" i="1" l="1"/>
  <c r="AE3" i="1"/>
  <c r="AE4" i="1"/>
  <c r="AE5" i="1"/>
  <c r="AF5" i="1" s="1"/>
  <c r="AE6" i="1"/>
  <c r="AE7" i="1"/>
  <c r="AE8" i="1"/>
  <c r="AF8" i="1" s="1"/>
  <c r="AE9" i="1"/>
  <c r="AF9" i="1" s="1"/>
  <c r="AE10" i="1"/>
  <c r="AF10" i="1" s="1"/>
  <c r="AE11" i="1"/>
  <c r="AF11" i="1" s="1"/>
  <c r="AE12" i="1"/>
  <c r="AF12" i="1" s="1"/>
  <c r="AE13" i="1"/>
  <c r="AF13" i="1" s="1"/>
  <c r="AE14" i="1"/>
  <c r="AE15" i="1"/>
  <c r="AE16" i="1"/>
  <c r="AE17" i="1"/>
  <c r="AE18" i="1"/>
  <c r="AE19" i="1"/>
  <c r="AF2" i="1"/>
  <c r="AF3" i="1"/>
  <c r="AF4" i="1"/>
  <c r="AF6" i="1"/>
  <c r="AF7" i="1"/>
  <c r="AF14" i="1"/>
  <c r="AF15" i="1"/>
  <c r="AF16" i="1"/>
  <c r="AF17" i="1"/>
  <c r="AF18" i="1"/>
  <c r="AF19" i="1"/>
  <c r="O2" i="1"/>
  <c r="O3" i="1"/>
  <c r="O4" i="1"/>
  <c r="O5" i="1"/>
  <c r="O6" i="1"/>
  <c r="O7" i="1"/>
  <c r="O8" i="1"/>
  <c r="O9" i="1"/>
  <c r="O10" i="1"/>
  <c r="O11" i="1"/>
  <c r="O12" i="1"/>
  <c r="O13" i="1"/>
  <c r="O14" i="1"/>
  <c r="O15" i="1"/>
  <c r="O16" i="1"/>
  <c r="O17" i="1"/>
  <c r="O18" i="1"/>
  <c r="O19" i="1"/>
  <c r="J2" i="1"/>
  <c r="J6" i="1"/>
  <c r="J7" i="1"/>
  <c r="J8" i="1"/>
  <c r="J14" i="1"/>
  <c r="J19" i="1"/>
  <c r="J12" i="1"/>
  <c r="J5" i="1"/>
  <c r="J10" i="1"/>
  <c r="J11" i="1"/>
  <c r="J13" i="1"/>
  <c r="J16" i="1"/>
  <c r="J17" i="1"/>
  <c r="J18" i="1"/>
  <c r="J15" i="1"/>
  <c r="J3" i="1"/>
  <c r="J9" i="1"/>
  <c r="J4" i="1"/>
  <c r="R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tc={F7D7C131-7522-4A74-9953-CC48422FF08E}</author>
    <author>tc={D2B0E0F3-0450-483F-B6F8-3C2A8C22AC15}</author>
    <author>tc={34C5A472-3746-42D3-8BE6-42360A235F8C}</author>
  </authors>
  <commentList>
    <comment ref="A10" authorId="0" shapeId="0" xr:uid="{F7D7C131-7522-4A74-9953-CC48422FF08E}">
      <text>
        <t>[Comentário encadeado]
Sua versão do Excel permite que você leia este comentário encadeado, no entanto, as edições serão removidas se o arquivo for aberto em uma versão mais recente do Excel. Saiba mais: https://go.microsoft.com/fwlink/?linkid=870924
Comentário:
    Compartilhamento com a Linha RP 22</t>
      </text>
    </comment>
    <comment ref="A15" authorId="1" shapeId="0" xr:uid="{D2B0E0F3-0450-483F-B6F8-3C2A8C22AC15}">
      <text>
        <t>[Comentário encadeado]
Sua versão do Excel permite que você leia este comentário encadeado, no entanto, as edições serão removidas se o arquivo for aberto em uma versão mais recente do Excel. Saiba mais: https://go.microsoft.com/fwlink/?linkid=870924
Comentário:
    (100% da oferta de viagens no trecho Betim –
Eldorado e 50% da oferta de viagens no trecho Eldorado-Betim)</t>
      </text>
    </comment>
    <comment ref="K15" authorId="2" shapeId="0" xr:uid="{34C5A472-3746-42D3-8BE6-42360A235F8C}">
      <text>
        <t>[Comentário encadeado]
Sua versão do Excel permite que você leia este comentário encadeado, no entanto, as edições serão removidas se o arquivo for aberto em uma versão mais recente do Excel. Saiba mais: https://go.microsoft.com/fwlink/?linkid=870924
Comentário:
    *144 min para o serviço Nova Lima-Ibirité-Betim e 67 min para o serviço Betim-Eldorado</t>
      </text>
    </comment>
  </commentList>
</comments>
</file>

<file path=xl/sharedStrings.xml><?xml version="1.0" encoding="utf-8"?>
<sst xmlns="http://schemas.openxmlformats.org/spreadsheetml/2006/main" count="237" uniqueCount="110">
  <si>
    <t>Proposta</t>
  </si>
  <si>
    <t>Código</t>
  </si>
  <si>
    <t>Categoria</t>
  </si>
  <si>
    <t>Tipo de empreendimento</t>
  </si>
  <si>
    <t>Extensão (km)</t>
  </si>
  <si>
    <t>Tipo bitola</t>
  </si>
  <si>
    <t>Total de estações</t>
  </si>
  <si>
    <t>Estações atendidas</t>
  </si>
  <si>
    <t>Tempo de viagem ida (min)</t>
  </si>
  <si>
    <t>Tempo de viagem ida &amp; volta (min)</t>
  </si>
  <si>
    <t>Viagens (mês)</t>
  </si>
  <si>
    <t>Demanda (mês)</t>
  </si>
  <si>
    <t>Produção quilométrica (km/mês)</t>
  </si>
  <si>
    <t>Receita anual (R$)</t>
  </si>
  <si>
    <t>Total de composições</t>
  </si>
  <si>
    <t>Tipo carros</t>
  </si>
  <si>
    <t>Quantidade/composição</t>
  </si>
  <si>
    <t>Especificação</t>
  </si>
  <si>
    <t>Frota Total (operacional + reserva)</t>
  </si>
  <si>
    <t>Capacidade (PAX/viagem)</t>
  </si>
  <si>
    <t>Araguari/ Campos Altos</t>
  </si>
  <si>
    <t>RP 12-33</t>
  </si>
  <si>
    <t>['Greenfield', 'Brownfield']</t>
  </si>
  <si>
    <t>Métrica</t>
  </si>
  <si>
    <t>['Araguari', 'Uberlândia', 'Uberaba', 'Nova Ponte', 'Santa Juliana', 'Araxá', 'Ibiá', 'Campos Altos']</t>
  </si>
  <si>
    <t>['Locomotiva', 'Carro de passageiros', 'Carros auxiliares']</t>
  </si>
  <si>
    <t>[1, 4, 2]</t>
  </si>
  <si>
    <t>RP 14-26b</t>
  </si>
  <si>
    <t>Proposta Regional Versão: 01</t>
  </si>
  <si>
    <t>['Greenfield', 'Brownfield (via compartilhada com operação da carga)']</t>
  </si>
  <si>
    <t>['Métrica (570,92)', 'Mista (94,23)']</t>
  </si>
  <si>
    <t>['Belo Horizonte', 'Joaquim Felício', 'Engenheiro Navarro', 'Araçaí', 'Bocaiúva', 'Cordisburgo', 'Montes Claros', 'Curvelo', 'Corinto', 'Janaúba', 'Augusto de Lima', 'Buenópolis']</t>
  </si>
  <si>
    <t>Belo Horizonte / Lafaiete/ Mariana</t>
  </si>
  <si>
    <t>RP 15</t>
  </si>
  <si>
    <t>Proposta Regional Versão: 00</t>
  </si>
  <si>
    <t>['Belo Horizonte', 'Mariana', 'Sabará', 'Raposos', 'Nova Lima', 'Rio Acima', 'Conselheiro Lafaiete', 'Ouro Preto']</t>
  </si>
  <si>
    <t>Belo Horizonte / Ouro Preto</t>
  </si>
  <si>
    <t>RP 15b</t>
  </si>
  <si>
    <t>-</t>
  </si>
  <si>
    <t>['Belo Horizonte', 'Sabará', 'Raposos', 'Nova Lima', 'Rio Acima', 'Itabirito', 'Ouro Preto']</t>
  </si>
  <si>
    <t>João Monlevade / Governador Valadares</t>
  </si>
  <si>
    <t>RP 17</t>
  </si>
  <si>
    <t>['João Monlevade', 'Governador Valadares', 'Nova Era', 'Antônio Dias', 'Timóteo', 'Ipatinga', 'Ipaba', 'Belo Oriente', 'Periquito']</t>
  </si>
  <si>
    <t>[1, 3, 2]</t>
  </si>
  <si>
    <t>Divinópolis / Cordisburgo</t>
  </si>
  <si>
    <t>RP 22</t>
  </si>
  <si>
    <t>Métrica (183,73) Mista (122,65)</t>
  </si>
  <si>
    <t>['Divinópolis', 'Sabará', 'Araçaí', 'Carmo do Cajuru', 'Santa Luzia', 'Cordisburgo', 'Itaúna', 'Vespasiano', 'Mateus Leme', 'Pedro Leopoldo', 'Juatuba', 'Matozinhos', 'Betim', 'Capim Branco', 'Contagem', 'Prudente de Morais', 'Belo Horizonte', 'Sete Lagoas']</t>
  </si>
  <si>
    <t>[1, 7, 1]</t>
  </si>
  <si>
    <t>Divinópolis / Lavras</t>
  </si>
  <si>
    <t>RP 23</t>
  </si>
  <si>
    <t>['Divinópolis', 'Lavras', 'São Sebastião do Oeste', 'Cláudio', 'Carmo da Mata', 'Oliveira', 'Santo Antônio do Amparo', 'Bom Sucesso', 'Ijaci']</t>
  </si>
  <si>
    <t>Divinópolis / Oliveira</t>
  </si>
  <si>
    <t>RP 23b</t>
  </si>
  <si>
    <t>['Greenfield', 'Brownfield (trecho sob concessão, porém sem operação de carga)']</t>
  </si>
  <si>
    <t>['Divinópolis', 'São Sebastião do Oeste', 'Cláudio', 'Carmo da Mata', 'Oliveira']</t>
  </si>
  <si>
    <t>[1, 5, 1]</t>
  </si>
  <si>
    <t>Poços de Caldas / Campinas (SP)</t>
  </si>
  <si>
    <t>RP 27</t>
  </si>
  <si>
    <t>['Métrica (173,86)', 'Larga (7,92)', 'Mista (11,03)']</t>
  </si>
  <si>
    <t>['Poços de Caldas', 'Jaguariúna', 'Águas da Prata', 'Paulínia', 'São João da Boa Vista', 'Campinas', 'Aguaí', 'Estiva Gerbi', 'Mogi Guaçu', 'Mogi Mirim', 'Santo Antônio de Posse']</t>
  </si>
  <si>
    <t>[1, 8, 2]</t>
  </si>
  <si>
    <t>['Mariana', 'São Geraldo', 'Além Paraíba', 'Acaiaca', 'Visconde do Rio Branco', 'Barra Longa', 'Ubá', 'Ponte Nova', 'Astolfo Dutra', 'Teixeiras', 'Dona Eusébia', 'Viçosa', 'Leopoldina', 'Cajuri', 'Recreio', 'Coimbra', 'Volta Grande']</t>
  </si>
  <si>
    <t>[1, 2, 2]</t>
  </si>
  <si>
    <t>Nova Lima-Ibirité-Betim</t>
  </si>
  <si>
    <t>Linha A</t>
  </si>
  <si>
    <t>Nova Lima-Ibirité-Eldorado</t>
  </si>
  <si>
    <t>[4, 4, 1]</t>
  </si>
  <si>
    <t>Barreiro-Betim</t>
  </si>
  <si>
    <t>Linha A2</t>
  </si>
  <si>
    <t>[7, 4, 1]</t>
  </si>
  <si>
    <t>Nova Lima-Eldorado-Betim</t>
  </si>
  <si>
    <t>Metropolitana Versão: 03</t>
  </si>
  <si>
    <t>[11, 4, 2]</t>
  </si>
  <si>
    <t>Nova Lima-Sabará-Belo Horizonte</t>
  </si>
  <si>
    <t>Linha B</t>
  </si>
  <si>
    <t>[3, 2, 1]</t>
  </si>
  <si>
    <t>Pedro Leopoldo-Sta Luzia-Belo Horizonte</t>
  </si>
  <si>
    <t>Linha C</t>
  </si>
  <si>
    <t>Metropolitana Versão: 00</t>
  </si>
  <si>
    <t>[]</t>
  </si>
  <si>
    <t>São Gabriel-Sta Luzia</t>
  </si>
  <si>
    <t>Linha C1</t>
  </si>
  <si>
    <t>[2, 2, 1]</t>
  </si>
  <si>
    <t>Belo Horizonte/ Janaúba</t>
  </si>
  <si>
    <t>RP 14-26</t>
  </si>
  <si>
    <t>['Belo Horizonte', 'Araçaí', 'Bocaiúva', 'Santa Luzia', 'Cordisburgo', 'Montes Claros', 'Vespasiano', 'Curvelo', 'Capitão Enéas', 'Pedro Leopoldo', 'Augusto de Lima', 'Janaúba', 'Matozinhos', 'Buenópolis', 'Capim Branco', 'Joaquim Felício', 'Prudente de Morais', 'Prudente de Morais', 'Sete Lagoas']</t>
  </si>
  <si>
    <t>Mariana / Além Paraíba</t>
  </si>
  <si>
    <t>RP 28</t>
  </si>
  <si>
    <t>Pass,ano/km</t>
  </si>
  <si>
    <t>Receita,ano/km</t>
  </si>
  <si>
    <t>['Greenfield', 'Brownfield (Via exclusiva para passageiros e compartilhamento da faixa de domínio com a operação da carga)']</t>
  </si>
  <si>
    <t>[14, 4, 2]</t>
  </si>
  <si>
    <t>Linha A1</t>
  </si>
  <si>
    <t>Linha A3</t>
  </si>
  <si>
    <t>Metropolitana Versão: 02</t>
  </si>
  <si>
    <t>Metropolitana Versão: 01</t>
  </si>
  <si>
    <t>Headway médio (min/hora pico manhã)</t>
  </si>
  <si>
    <t>Nº de trens no Pico Manhã</t>
  </si>
  <si>
    <t>[8, 2, 1]</t>
  </si>
  <si>
    <t>Comprimento da composição (m):</t>
  </si>
  <si>
    <t>[1, 4, 1]</t>
  </si>
  <si>
    <t>Tarifa Econômica</t>
  </si>
  <si>
    <t xml:space="preserve">Tarifa Executiva </t>
  </si>
  <si>
    <t>Diesel</t>
  </si>
  <si>
    <r>
      <t xml:space="preserve">Dias de operação </t>
    </r>
    <r>
      <rPr>
        <sz val="11"/>
        <color theme="1"/>
        <rFont val="Calibri"/>
        <family val="2"/>
        <scheme val="minor"/>
      </rPr>
      <t>(mês)</t>
    </r>
  </si>
  <si>
    <t>Indicador de Impacto de Acessibilidade (s/km)</t>
  </si>
  <si>
    <t>Demanda (ano)</t>
  </si>
  <si>
    <t>Desenvolvimento da Infraestrutura - Impacto -Capacidade (pax/ano)</t>
  </si>
  <si>
    <t>Saturação - Impacto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</si>
</sst>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9" formatCode="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rgb="FFFFC000"/>
        <bgColor indexed="64"/>
      </patternFill>
    </fill>
    <fill>
      <patternFill patternType="solid">
        <fgColor theme="4" tint="0.39997558519241921"/>
        <bgColor indexed="64"/>
      </patternFill>
    </fill>
    <fill>
      <patternFill patternType="solid">
        <fgColor rgb="FFFF0000"/>
        <bgColor indexed="64"/>
      </patternFill>
    </fill>
    <fill>
      <patternFill patternType="solid">
        <fgColor theme="1" tint="4.9989318521683403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4">
    <xf numFmtId="0" fontId="0" fillId="0" borderId="0" xfId="0"/>
    <xf numFmtId="0" fontId="0" fillId="33" borderId="0" xfId="0" applyFill="1"/>
    <xf numFmtId="0" fontId="18" fillId="33" borderId="0" xfId="0" applyFont="1" applyFill="1"/>
    <xf numFmtId="0" fontId="0" fillId="34" borderId="0" xfId="0" applyFill="1"/>
    <xf numFmtId="3" fontId="0" fillId="34" borderId="0" xfId="0" applyNumberFormat="1" applyFill="1"/>
    <xf numFmtId="0" fontId="0" fillId="35" borderId="0" xfId="0" applyFill="1"/>
    <xf numFmtId="0" fontId="18" fillId="35" borderId="0" xfId="0" applyFont="1" applyFill="1"/>
    <xf numFmtId="3" fontId="0" fillId="0" borderId="0" xfId="0" applyNumberFormat="1"/>
    <xf numFmtId="0" fontId="18" fillId="0" borderId="0" xfId="0" applyFont="1"/>
    <xf numFmtId="169" fontId="18" fillId="33" borderId="0" xfId="0" applyNumberFormat="1" applyFont="1" applyFill="1" applyAlignment="1">
      <alignment horizontal="left" indent="12"/>
    </xf>
    <xf numFmtId="169" fontId="0" fillId="33" borderId="0" xfId="0" applyNumberFormat="1" applyFill="1" applyAlignment="1">
      <alignment horizontal="left" indent="12"/>
    </xf>
    <xf numFmtId="0" fontId="17" fillId="36" borderId="0" xfId="0" applyFont="1" applyFill="1"/>
    <xf numFmtId="9" fontId="17" fillId="36" borderId="0" xfId="42" applyFont="1" applyFill="1"/>
    <xf numFmtId="0" fontId="0" fillId="37" borderId="0" xfId="0" applyFill="1"/>
  </cellXfs>
  <cellStyles count="43">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Porcentagem" xfId="42" builtinId="5"/>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9">
    <dxf>
      <font>
        <strike val="0"/>
        <outline val="0"/>
        <shadow val="0"/>
        <u val="none"/>
        <vertAlign val="baseline"/>
        <sz val="11"/>
        <color theme="0"/>
        <name val="Calibri"/>
        <family val="2"/>
        <scheme val="minor"/>
      </font>
      <fill>
        <patternFill patternType="solid">
          <fgColor indexed="64"/>
          <bgColor rgb="FFFF0000"/>
        </patternFill>
      </fill>
    </dxf>
    <dxf>
      <font>
        <strike val="0"/>
        <outline val="0"/>
        <shadow val="0"/>
        <u val="none"/>
        <vertAlign val="baseline"/>
        <sz val="11"/>
        <color theme="0"/>
        <name val="Calibri"/>
        <family val="2"/>
        <scheme val="minor"/>
      </font>
      <numFmt numFmtId="0" formatCode="General"/>
      <fill>
        <patternFill patternType="solid">
          <fgColor indexed="64"/>
          <bgColor rgb="FFFF0000"/>
        </patternFill>
      </fill>
    </dxf>
    <dxf>
      <numFmt numFmtId="0" formatCode="General"/>
      <fill>
        <patternFill patternType="solid">
          <fgColor indexed="64"/>
          <bgColor rgb="FF92D050"/>
        </patternFill>
      </fill>
    </dxf>
    <dxf>
      <numFmt numFmtId="169" formatCode="0.0"/>
      <fill>
        <patternFill patternType="solid">
          <fgColor indexed="64"/>
          <bgColor rgb="FF92D050"/>
        </patternFill>
      </fill>
      <alignment horizontal="left" vertical="bottom" textRotation="0" wrapText="0" relativeIndent="-1" justifyLastLine="0" shrinkToFit="0" readingOrder="0"/>
    </dxf>
    <dxf>
      <fill>
        <patternFill patternType="solid">
          <fgColor indexed="64"/>
          <bgColor rgb="FF92D05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92D050"/>
        </patternFill>
      </fill>
    </dxf>
    <dxf>
      <fill>
        <patternFill patternType="solid">
          <fgColor indexed="64"/>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John Heberty de Freitas" id="{E1B0D8C0-C215-4413-A742-7CEB7D9A1525}" userId="S::johnfreitas@codemge.com.br::699be426-96d6-4ea2-b862-5838b23ba1f2"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E062C7E-FF6F-4BF9-BB2A-80F13D5CF934}" name="Tabela1" displayName="Tabela1" ref="A1:AF19" totalsRowShown="0">
  <autoFilter ref="A1:AF19" xr:uid="{6E062C7E-FF6F-4BF9-BB2A-80F13D5CF934}"/>
  <sortState xmlns:xlrd2="http://schemas.microsoft.com/office/spreadsheetml/2017/richdata2" ref="A2:AD19">
    <sortCondition ref="J1:J19"/>
  </sortState>
  <tableColumns count="32">
    <tableColumn id="1" xr3:uid="{230161C0-5080-4C55-B1E5-59031A71095C}" name="Proposta"/>
    <tableColumn id="2" xr3:uid="{557D83AD-6CD4-46D8-9467-83E4A1527D38}" name="Código"/>
    <tableColumn id="3" xr3:uid="{5DBC51D2-7B0E-4BE0-8909-1157A5E1FDC5}" name="Categoria"/>
    <tableColumn id="4" xr3:uid="{52C0ADEB-C1C0-423E-BAF1-86F4FD374A24}" name="Tipo de empreendimento"/>
    <tableColumn id="5" xr3:uid="{F1416CA4-C12B-4381-A1E9-92B6D9F1FFFA}" name="Extensão (km)"/>
    <tableColumn id="6" xr3:uid="{7807379A-173B-4248-B6A5-F01B70BB9222}" name="Tipo bitola"/>
    <tableColumn id="7" xr3:uid="{3A0AAC04-52C1-499A-8EF5-7D522E3C6561}" name="Total de estações"/>
    <tableColumn id="8" xr3:uid="{BFD5A126-CF6B-4549-BA10-CE8600E15495}" name="Estações atendidas"/>
    <tableColumn id="9" xr3:uid="{CF245E0C-5E4F-4C51-8C59-A768826647E0}" name="Tempo de viagem ida (min)"/>
    <tableColumn id="15" xr3:uid="{2BA981FB-F1DA-49F9-A525-537ABC33395C}" name="Indicador de Impacto de Acessibilidade (s/km)" dataDxfId="3">
      <calculatedColumnFormula>(Tabela1[[#This Row],[Tempo de viagem ida (min)]]*60)/Tabela1[[#This Row],[Extensão (km)]]</calculatedColumnFormula>
    </tableColumn>
    <tableColumn id="10" xr3:uid="{88D7CF8D-7110-4E5A-9DED-F938BF38F3CC}" name="Tempo de viagem ida &amp; volta (min)"/>
    <tableColumn id="11" xr3:uid="{8C964795-EB2B-4F72-848E-039A151B898A}" name="Viagens (mês)"/>
    <tableColumn id="12" xr3:uid="{64989040-8E9E-4C8C-91E2-02925462B749}" name="Dias de operação (mês)"/>
    <tableColumn id="13" xr3:uid="{01A85245-57A9-4CCB-B258-F5225AC22E7C}" name="Demanda (mês)"/>
    <tableColumn id="25" xr3:uid="{FC20C242-E682-414C-A42A-C1423C0953FB}" name="Demanda (ano)" dataDxfId="2">
      <calculatedColumnFormula>Tabela1[[#This Row],[Demanda (mês)]]*12</calculatedColumnFormula>
    </tableColumn>
    <tableColumn id="34" xr3:uid="{8D5D3BBE-2E50-42B4-8B8F-9F292F15F23D}" name="Headway médio (min/hora pico manhã)" dataDxfId="8"/>
    <tableColumn id="35" xr3:uid="{8489B7E2-F8F2-4907-B1CE-3583B74807D6}" name="Nº de trens no Pico Manhã" dataDxfId="7"/>
    <tableColumn id="14" xr3:uid="{00091734-3DF7-43CC-8AA9-DFB07DD6AD49}" name="Produção quilométrica (km/mês)"/>
    <tableColumn id="24" xr3:uid="{F3299766-160D-4CB8-9AF9-AEF75EDE9E05}" name="Tarifa Econômica" dataDxfId="6"/>
    <tableColumn id="20" xr3:uid="{8E168F30-3ACF-4E88-8A5D-FFCBE20D23CE}" name="Tarifa Executiva " dataDxfId="5"/>
    <tableColumn id="16" xr3:uid="{86F58004-E2E0-45BE-8321-01520EBD7CFA}" name="Receita anual (R$)"/>
    <tableColumn id="17" xr3:uid="{6C43EAF8-FDA8-4012-A818-784817F40ABB}" name="Pass,ano/km"/>
    <tableColumn id="18" xr3:uid="{93242B10-2F01-4180-A93E-3851C7FDC048}" name="Receita,ano/km"/>
    <tableColumn id="19" xr3:uid="{695BDD2E-DA63-4BD5-A39B-3440CDAB103E}" name="Total de composições"/>
    <tableColumn id="36" xr3:uid="{A9685508-D7E4-4295-A73B-9E93EF5ADC33}" name="Comprimento da composição (m):" dataDxfId="4"/>
    <tableColumn id="21" xr3:uid="{E0C75AF4-85E2-484B-8291-019566EEBBC6}" name="Tipo carros"/>
    <tableColumn id="22" xr3:uid="{468F292C-0173-41FA-A1B3-28CA01B8EF00}" name="Quantidade/composição"/>
    <tableColumn id="23" xr3:uid="{DED23B7B-52B2-4949-81D8-ABB197D932D0}" name="Especificação"/>
    <tableColumn id="26" xr3:uid="{6246591A-42D4-408F-A8E1-5529AD046A04}" name="Frota Total (operacional + reserva)"/>
    <tableColumn id="27" xr3:uid="{C0E651C7-8199-4930-8BF9-53E58A94D953}" name="Capacidade (PAX/viagem)"/>
    <tableColumn id="28" xr3:uid="{ABE20B88-D011-4452-95B2-5F6E1A245DFE}" name="Desenvolvimento da Infraestrutura - Impacto -Capacidade (pax/ano)" dataDxfId="1">
      <calculatedColumnFormula>Tabela1[[#This Row],[Capacidade (PAX/viagem)]]*Tabela1[[#This Row],[Viagens (mês)]]*12*2</calculatedColumnFormula>
    </tableColumn>
    <tableColumn id="29" xr3:uid="{0AD1C26E-D9A4-45AA-8A8F-D8848A24324E}" name="Saturação - Impacto" dataDxfId="0" dataCellStyle="Porcentagem">
      <calculatedColumnFormula>Tabela1[[#This Row],[Demanda (ano)]]/Tabela1[[#This Row],[Desenvolvimento da Infraestrutura - Impacto -Capacidade (pax/ano)]]</calculatedColumnFormula>
    </tableColumn>
  </tableColumns>
  <tableStyleInfo name="TableStyleLight9"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0" dT="2025-07-23T14:33:22.82" personId="{E1B0D8C0-C215-4413-A742-7CEB7D9A1525}" id="{F7D7C131-7522-4A74-9953-CC48422FF08E}">
    <text>Compartilhamento com a Linha RP 22</text>
  </threadedComment>
  <threadedComment ref="A15" dT="2025-07-23T13:32:14.50" personId="{E1B0D8C0-C215-4413-A742-7CEB7D9A1525}" id="{D2B0E0F3-0450-483F-B6F8-3C2A8C22AC15}">
    <text>(100% da oferta de viagens no trecho Betim –
Eldorado e 50% da oferta de viagens no trecho Eldorado-Betim)</text>
  </threadedComment>
  <threadedComment ref="K15" dT="2025-07-23T13:34:23.13" personId="{E1B0D8C0-C215-4413-A742-7CEB7D9A1525}" id="{34C5A472-3746-42D3-8BE6-42360A235F8C}">
    <text>*144 min para o serviço Nova Lima-Ibirité-Betim e 67 min para o serviço Betim-Eldorado</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F7A73-104D-445A-86C8-35E101D7C664}">
  <dimension ref="A1:AF1048570"/>
  <sheetViews>
    <sheetView tabSelected="1" workbookViewId="0">
      <pane xSplit="1" ySplit="4" topLeftCell="B5" activePane="bottomRight" state="frozen"/>
      <selection pane="topRight" activeCell="B1" sqref="B1"/>
      <selection pane="bottomLeft" activeCell="A5" sqref="A5"/>
      <selection pane="bottomRight" activeCell="O1" sqref="O1"/>
    </sheetView>
  </sheetViews>
  <sheetFormatPr defaultRowHeight="14.4" x14ac:dyDescent="0.3"/>
  <cols>
    <col min="1" max="1" width="37.109375" bestFit="1" customWidth="1"/>
    <col min="2" max="2" width="9.33203125" bestFit="1" customWidth="1"/>
    <col min="3" max="3" width="42.44140625" bestFit="1" customWidth="1"/>
    <col min="4" max="4" width="82.77734375" bestFit="1" customWidth="1"/>
    <col min="5" max="5" width="15.5546875" bestFit="1" customWidth="1"/>
    <col min="6" max="6" width="42.33203125" bestFit="1" customWidth="1"/>
    <col min="7" max="7" width="18.21875" bestFit="1" customWidth="1"/>
    <col min="8" max="8" width="60.77734375" customWidth="1"/>
    <col min="9" max="9" width="27.21875" bestFit="1" customWidth="1"/>
    <col min="10" max="10" width="28.6640625" customWidth="1"/>
    <col min="11" max="11" width="34" bestFit="1" customWidth="1"/>
    <col min="12" max="12" width="15.5546875" bestFit="1" customWidth="1"/>
    <col min="13" max="13" width="23.5546875" bestFit="1" customWidth="1"/>
    <col min="14" max="14" width="16.88671875" bestFit="1" customWidth="1"/>
    <col min="15" max="15" width="16.88671875" customWidth="1"/>
    <col min="16" max="16" width="27.33203125" customWidth="1"/>
    <col min="17" max="17" width="38" customWidth="1"/>
    <col min="18" max="18" width="32.21875" bestFit="1" customWidth="1"/>
    <col min="19" max="19" width="17.77734375" bestFit="1" customWidth="1"/>
    <col min="20" max="20" width="17" bestFit="1" customWidth="1"/>
    <col min="21" max="21" width="18.77734375" bestFit="1" customWidth="1"/>
    <col min="22" max="22" width="14.21875" bestFit="1" customWidth="1"/>
    <col min="23" max="23" width="16.88671875" bestFit="1" customWidth="1"/>
    <col min="24" max="24" width="21.88671875" customWidth="1"/>
    <col min="25" max="25" width="32.88671875" bestFit="1" customWidth="1"/>
    <col min="26" max="26" width="24.109375" customWidth="1"/>
    <col min="27" max="27" width="24.6640625" bestFit="1" customWidth="1"/>
    <col min="28" max="28" width="15.21875" customWidth="1"/>
    <col min="29" max="29" width="33.21875" bestFit="1" customWidth="1"/>
    <col min="30" max="30" width="25.77734375" bestFit="1" customWidth="1"/>
    <col min="31" max="31" width="16.5546875" customWidth="1"/>
  </cols>
  <sheetData>
    <row r="1" spans="1:32" x14ac:dyDescent="0.3">
      <c r="A1" t="s">
        <v>0</v>
      </c>
      <c r="B1" t="s">
        <v>1</v>
      </c>
      <c r="C1" t="s">
        <v>2</v>
      </c>
      <c r="D1" t="s">
        <v>3</v>
      </c>
      <c r="E1" t="s">
        <v>4</v>
      </c>
      <c r="F1" t="s">
        <v>5</v>
      </c>
      <c r="G1" t="s">
        <v>6</v>
      </c>
      <c r="H1" t="s">
        <v>7</v>
      </c>
      <c r="I1" t="s">
        <v>8</v>
      </c>
      <c r="J1" t="s">
        <v>106</v>
      </c>
      <c r="K1" t="s">
        <v>9</v>
      </c>
      <c r="L1" t="s">
        <v>10</v>
      </c>
      <c r="M1" t="s">
        <v>105</v>
      </c>
      <c r="N1" t="s">
        <v>11</v>
      </c>
      <c r="O1" s="13" t="s">
        <v>107</v>
      </c>
      <c r="P1" t="s">
        <v>97</v>
      </c>
      <c r="Q1" t="s">
        <v>98</v>
      </c>
      <c r="R1" t="s">
        <v>12</v>
      </c>
      <c r="S1" t="s">
        <v>102</v>
      </c>
      <c r="T1" t="s">
        <v>103</v>
      </c>
      <c r="U1" t="s">
        <v>13</v>
      </c>
      <c r="V1" t="s">
        <v>89</v>
      </c>
      <c r="W1" t="s">
        <v>90</v>
      </c>
      <c r="X1" t="s">
        <v>14</v>
      </c>
      <c r="Y1" t="s">
        <v>100</v>
      </c>
      <c r="Z1" t="s">
        <v>15</v>
      </c>
      <c r="AA1" t="s">
        <v>16</v>
      </c>
      <c r="AB1" t="s">
        <v>17</v>
      </c>
      <c r="AC1" t="s">
        <v>18</v>
      </c>
      <c r="AD1" t="s">
        <v>19</v>
      </c>
      <c r="AE1" s="13" t="s">
        <v>108</v>
      </c>
      <c r="AF1" s="13" t="s">
        <v>109</v>
      </c>
    </row>
    <row r="2" spans="1:32" s="8" customFormat="1" x14ac:dyDescent="0.3">
      <c r="A2" s="6" t="s">
        <v>20</v>
      </c>
      <c r="B2" s="2" t="s">
        <v>21</v>
      </c>
      <c r="C2" s="2" t="s">
        <v>34</v>
      </c>
      <c r="D2" s="2" t="s">
        <v>29</v>
      </c>
      <c r="E2" s="2">
        <v>503</v>
      </c>
      <c r="F2" s="2" t="s">
        <v>23</v>
      </c>
      <c r="G2" s="2">
        <v>8</v>
      </c>
      <c r="H2" s="2" t="s">
        <v>24</v>
      </c>
      <c r="I2" s="2">
        <v>551</v>
      </c>
      <c r="J2" s="9">
        <f>(Tabela1[[#This Row],[Tempo de viagem ida (min)]]*60)/Tabela1[[#This Row],[Extensão (km)]]</f>
        <v>65.725646123260432</v>
      </c>
      <c r="K2" s="2">
        <v>1102</v>
      </c>
      <c r="L2" s="2">
        <v>27</v>
      </c>
      <c r="M2" s="2">
        <v>27</v>
      </c>
      <c r="N2" s="2">
        <v>39245</v>
      </c>
      <c r="O2" s="2">
        <f>Tabela1[[#This Row],[Demanda (mês)]]*12</f>
        <v>470940</v>
      </c>
      <c r="P2" s="3" t="s">
        <v>38</v>
      </c>
      <c r="Q2" s="4" t="s">
        <v>38</v>
      </c>
      <c r="R2" s="2">
        <v>13693</v>
      </c>
      <c r="S2" s="2">
        <v>6.98</v>
      </c>
      <c r="T2" s="2">
        <v>18.72</v>
      </c>
      <c r="U2" s="2">
        <v>15155658</v>
      </c>
      <c r="V2" s="2">
        <v>2.87</v>
      </c>
      <c r="W2" s="2">
        <v>92.24</v>
      </c>
      <c r="X2" s="2">
        <v>1</v>
      </c>
      <c r="Y2" s="2">
        <v>163</v>
      </c>
      <c r="Z2" s="2" t="s">
        <v>25</v>
      </c>
      <c r="AA2" s="2" t="s">
        <v>26</v>
      </c>
      <c r="AB2" s="2" t="s">
        <v>104</v>
      </c>
      <c r="AC2" s="2">
        <v>1</v>
      </c>
      <c r="AD2" s="2">
        <v>285</v>
      </c>
      <c r="AE2" s="11">
        <f>Tabela1[[#This Row],[Capacidade (PAX/viagem)]]*Tabela1[[#This Row],[Viagens (mês)]]*12*2</f>
        <v>184680</v>
      </c>
      <c r="AF2" s="12">
        <f>Tabela1[[#This Row],[Demanda (ano)]]/Tabela1[[#This Row],[Desenvolvimento da Infraestrutura - Impacto -Capacidade (pax/ano)]]</f>
        <v>2.5500324886289798</v>
      </c>
    </row>
    <row r="3" spans="1:32" s="8" customFormat="1" x14ac:dyDescent="0.3">
      <c r="A3" s="5" t="s">
        <v>74</v>
      </c>
      <c r="B3" s="1" t="s">
        <v>75</v>
      </c>
      <c r="C3" s="1" t="s">
        <v>79</v>
      </c>
      <c r="D3" s="1" t="s">
        <v>91</v>
      </c>
      <c r="E3" s="1">
        <v>36</v>
      </c>
      <c r="F3" s="3" t="s">
        <v>38</v>
      </c>
      <c r="G3" s="1">
        <v>9</v>
      </c>
      <c r="H3" s="3" t="s">
        <v>80</v>
      </c>
      <c r="I3" s="1">
        <v>40</v>
      </c>
      <c r="J3" s="10">
        <f>(Tabela1[[#This Row],[Tempo de viagem ida (min)]]*60)/Tabela1[[#This Row],[Extensão (km)]]</f>
        <v>66.666666666666671</v>
      </c>
      <c r="K3" s="1">
        <v>80</v>
      </c>
      <c r="L3" s="1">
        <v>39</v>
      </c>
      <c r="M3" s="1">
        <v>22</v>
      </c>
      <c r="N3" s="1">
        <v>7760</v>
      </c>
      <c r="O3" s="1">
        <f>Tabela1[[#This Row],[Demanda (mês)]]*12</f>
        <v>93120</v>
      </c>
      <c r="P3" s="1">
        <v>31.65</v>
      </c>
      <c r="Q3" s="1">
        <v>3</v>
      </c>
      <c r="R3" s="1">
        <v>49170</v>
      </c>
      <c r="S3" s="3">
        <v>8.4499999999999993</v>
      </c>
      <c r="T3" s="3" t="s">
        <v>38</v>
      </c>
      <c r="U3" s="1">
        <v>15609691</v>
      </c>
      <c r="V3" s="1">
        <v>3.47</v>
      </c>
      <c r="W3" s="1">
        <v>23.76</v>
      </c>
      <c r="X3" s="3" t="s">
        <v>38</v>
      </c>
      <c r="Y3" s="3" t="s">
        <v>38</v>
      </c>
      <c r="Z3" s="1" t="s">
        <v>25</v>
      </c>
      <c r="AA3" s="1" t="s">
        <v>76</v>
      </c>
      <c r="AB3" s="2" t="s">
        <v>104</v>
      </c>
      <c r="AC3" s="1">
        <v>8</v>
      </c>
      <c r="AD3" s="1">
        <v>360</v>
      </c>
      <c r="AE3" s="11">
        <f>Tabela1[[#This Row],[Capacidade (PAX/viagem)]]*Tabela1[[#This Row],[Viagens (mês)]]*12*2</f>
        <v>336960</v>
      </c>
      <c r="AF3" s="12">
        <f>Tabela1[[#This Row],[Demanda (ano)]]/Tabela1[[#This Row],[Desenvolvimento da Infraestrutura - Impacto -Capacidade (pax/ano)]]</f>
        <v>0.27635327635327633</v>
      </c>
    </row>
    <row r="4" spans="1:32" s="8" customFormat="1" x14ac:dyDescent="0.3">
      <c r="A4" s="5" t="s">
        <v>81</v>
      </c>
      <c r="B4" s="1" t="s">
        <v>82</v>
      </c>
      <c r="C4" s="1" t="s">
        <v>96</v>
      </c>
      <c r="D4" s="1" t="s">
        <v>91</v>
      </c>
      <c r="E4" s="1">
        <v>17</v>
      </c>
      <c r="F4" s="3" t="s">
        <v>38</v>
      </c>
      <c r="G4" s="1">
        <v>6</v>
      </c>
      <c r="H4" s="3" t="s">
        <v>80</v>
      </c>
      <c r="I4" s="1">
        <v>19</v>
      </c>
      <c r="J4" s="10">
        <f>(Tabela1[[#This Row],[Tempo de viagem ida (min)]]*60)/Tabela1[[#This Row],[Extensão (km)]]</f>
        <v>67.058823529411768</v>
      </c>
      <c r="K4" s="1">
        <v>38</v>
      </c>
      <c r="L4" s="1">
        <v>54</v>
      </c>
      <c r="M4" s="1">
        <v>22</v>
      </c>
      <c r="N4" s="1">
        <v>9570</v>
      </c>
      <c r="O4" s="1">
        <f>Tabela1[[#This Row],[Demanda (mês)]]*12</f>
        <v>114840</v>
      </c>
      <c r="P4" s="1">
        <v>21.2</v>
      </c>
      <c r="Q4" s="1">
        <v>2</v>
      </c>
      <c r="R4" s="1">
        <f>1450*22</f>
        <v>31900</v>
      </c>
      <c r="S4" s="3">
        <v>8.4499999999999993</v>
      </c>
      <c r="T4" s="3" t="s">
        <v>38</v>
      </c>
      <c r="U4" s="1">
        <v>19548244</v>
      </c>
      <c r="V4" s="1">
        <v>6.59</v>
      </c>
      <c r="W4" s="1">
        <v>45.82</v>
      </c>
      <c r="X4" s="3" t="s">
        <v>38</v>
      </c>
      <c r="Y4" s="3" t="s">
        <v>38</v>
      </c>
      <c r="Z4" s="1" t="s">
        <v>25</v>
      </c>
      <c r="AA4" s="1" t="s">
        <v>83</v>
      </c>
      <c r="AB4" s="2" t="s">
        <v>104</v>
      </c>
      <c r="AC4" s="1">
        <v>6</v>
      </c>
      <c r="AD4" s="1">
        <v>360</v>
      </c>
      <c r="AE4" s="11">
        <f>Tabela1[[#This Row],[Capacidade (PAX/viagem)]]*Tabela1[[#This Row],[Viagens (mês)]]*12*2</f>
        <v>466560</v>
      </c>
      <c r="AF4" s="12">
        <f>Tabela1[[#This Row],[Demanda (ano)]]/Tabela1[[#This Row],[Desenvolvimento da Infraestrutura - Impacto -Capacidade (pax/ano)]]</f>
        <v>0.24614197530864199</v>
      </c>
    </row>
    <row r="5" spans="1:32" x14ac:dyDescent="0.3">
      <c r="A5" s="5" t="s">
        <v>49</v>
      </c>
      <c r="B5" s="1" t="s">
        <v>50</v>
      </c>
      <c r="C5" s="1" t="s">
        <v>34</v>
      </c>
      <c r="D5" s="1" t="s">
        <v>54</v>
      </c>
      <c r="E5" s="1">
        <v>183</v>
      </c>
      <c r="F5" s="1" t="s">
        <v>23</v>
      </c>
      <c r="G5" s="1">
        <v>9</v>
      </c>
      <c r="H5" s="1" t="s">
        <v>51</v>
      </c>
      <c r="I5" s="1">
        <v>205</v>
      </c>
      <c r="J5" s="10">
        <f>(Tabela1[[#This Row],[Tempo de viagem ida (min)]]*60)/Tabela1[[#This Row],[Extensão (km)]]</f>
        <v>67.213114754098356</v>
      </c>
      <c r="K5" s="1">
        <v>410</v>
      </c>
      <c r="L5" s="1">
        <v>27</v>
      </c>
      <c r="M5" s="1">
        <v>27</v>
      </c>
      <c r="N5" s="1">
        <v>20421</v>
      </c>
      <c r="O5" s="1">
        <f>Tabela1[[#This Row],[Demanda (mês)]]*12</f>
        <v>245052</v>
      </c>
      <c r="P5" s="4" t="s">
        <v>38</v>
      </c>
      <c r="Q5" s="4" t="s">
        <v>38</v>
      </c>
      <c r="R5" s="1">
        <v>4999</v>
      </c>
      <c r="S5" s="2">
        <v>6.98</v>
      </c>
      <c r="T5" s="2">
        <v>18.72</v>
      </c>
      <c r="U5" s="1">
        <v>4681157</v>
      </c>
      <c r="V5" s="1">
        <v>4.09</v>
      </c>
      <c r="W5" s="1">
        <v>78.040000000000006</v>
      </c>
      <c r="X5" s="1">
        <v>1</v>
      </c>
      <c r="Y5" s="1">
        <v>163</v>
      </c>
      <c r="Z5" s="1" t="s">
        <v>25</v>
      </c>
      <c r="AA5" s="1" t="s">
        <v>56</v>
      </c>
      <c r="AB5" s="2" t="s">
        <v>104</v>
      </c>
      <c r="AC5" s="1">
        <v>1</v>
      </c>
      <c r="AD5" s="1">
        <v>285</v>
      </c>
      <c r="AE5" s="11">
        <f>Tabela1[[#This Row],[Capacidade (PAX/viagem)]]*Tabela1[[#This Row],[Viagens (mês)]]*12*2</f>
        <v>184680</v>
      </c>
      <c r="AF5" s="12">
        <f>Tabela1[[#This Row],[Demanda (ano)]]/Tabela1[[#This Row],[Desenvolvimento da Infraestrutura - Impacto -Capacidade (pax/ano)]]</f>
        <v>1.3269005847953217</v>
      </c>
    </row>
    <row r="6" spans="1:32" x14ac:dyDescent="0.3">
      <c r="A6" s="6" t="s">
        <v>84</v>
      </c>
      <c r="B6" s="2" t="s">
        <v>85</v>
      </c>
      <c r="C6" s="2" t="s">
        <v>34</v>
      </c>
      <c r="D6" s="2" t="s">
        <v>29</v>
      </c>
      <c r="E6" s="2">
        <v>665</v>
      </c>
      <c r="F6" s="2" t="s">
        <v>30</v>
      </c>
      <c r="G6" s="2">
        <v>19</v>
      </c>
      <c r="H6" s="2" t="s">
        <v>86</v>
      </c>
      <c r="I6" s="2">
        <v>745</v>
      </c>
      <c r="J6" s="9">
        <f>(Tabela1[[#This Row],[Tempo de viagem ida (min)]]*60)/Tabela1[[#This Row],[Extensão (km)]]</f>
        <v>67.218045112781951</v>
      </c>
      <c r="K6" s="2">
        <v>1490</v>
      </c>
      <c r="L6" s="2">
        <v>27</v>
      </c>
      <c r="M6" s="2">
        <v>27</v>
      </c>
      <c r="N6" s="2">
        <v>53362</v>
      </c>
      <c r="O6" s="2">
        <f>Tabela1[[#This Row],[Demanda (mês)]]*12</f>
        <v>640344</v>
      </c>
      <c r="P6" s="3" t="s">
        <v>38</v>
      </c>
      <c r="Q6" s="4" t="s">
        <v>38</v>
      </c>
      <c r="R6" s="2">
        <v>18066</v>
      </c>
      <c r="S6" s="2">
        <v>6.98</v>
      </c>
      <c r="T6" s="2">
        <v>18.72</v>
      </c>
      <c r="U6" s="2">
        <v>22110233</v>
      </c>
      <c r="V6" s="2">
        <v>2.95</v>
      </c>
      <c r="W6" s="2">
        <v>101.99</v>
      </c>
      <c r="X6" s="2">
        <v>1</v>
      </c>
      <c r="Y6" s="2">
        <v>256</v>
      </c>
      <c r="Z6" s="2" t="s">
        <v>25</v>
      </c>
      <c r="AA6" s="2" t="s">
        <v>61</v>
      </c>
      <c r="AB6" s="2" t="s">
        <v>104</v>
      </c>
      <c r="AC6" s="2">
        <v>1</v>
      </c>
      <c r="AD6" s="2">
        <v>569</v>
      </c>
      <c r="AE6" s="11">
        <f>Tabela1[[#This Row],[Capacidade (PAX/viagem)]]*Tabela1[[#This Row],[Viagens (mês)]]*12*2</f>
        <v>368712</v>
      </c>
      <c r="AF6" s="12">
        <f>Tabela1[[#This Row],[Demanda (ano)]]/Tabela1[[#This Row],[Desenvolvimento da Infraestrutura - Impacto -Capacidade (pax/ano)]]</f>
        <v>1.7367050706242271</v>
      </c>
    </row>
    <row r="7" spans="1:32" x14ac:dyDescent="0.3">
      <c r="A7" s="6" t="s">
        <v>84</v>
      </c>
      <c r="B7" s="2" t="s">
        <v>27</v>
      </c>
      <c r="C7" s="2" t="s">
        <v>28</v>
      </c>
      <c r="D7" s="2" t="s">
        <v>29</v>
      </c>
      <c r="E7" s="2">
        <v>665</v>
      </c>
      <c r="F7" s="2" t="s">
        <v>30</v>
      </c>
      <c r="G7" s="2">
        <v>14</v>
      </c>
      <c r="H7" s="2" t="s">
        <v>31</v>
      </c>
      <c r="I7" s="2">
        <v>745</v>
      </c>
      <c r="J7" s="9">
        <f>(Tabela1[[#This Row],[Tempo de viagem ida (min)]]*60)/Tabela1[[#This Row],[Extensão (km)]]</f>
        <v>67.218045112781951</v>
      </c>
      <c r="K7" s="2">
        <v>1490</v>
      </c>
      <c r="L7" s="2">
        <v>27</v>
      </c>
      <c r="M7" s="2">
        <v>27</v>
      </c>
      <c r="N7" s="2">
        <v>23355</v>
      </c>
      <c r="O7" s="2">
        <f>Tabela1[[#This Row],[Demanda (mês)]]*12</f>
        <v>280260</v>
      </c>
      <c r="P7" s="3" t="s">
        <v>38</v>
      </c>
      <c r="Q7" s="4" t="s">
        <v>38</v>
      </c>
      <c r="R7" s="2">
        <v>18066</v>
      </c>
      <c r="S7" s="2">
        <v>6.98</v>
      </c>
      <c r="T7" s="2">
        <v>18.72</v>
      </c>
      <c r="U7" s="2">
        <v>13932631</v>
      </c>
      <c r="V7" s="2">
        <v>1.29</v>
      </c>
      <c r="W7" s="2">
        <v>64.27</v>
      </c>
      <c r="X7" s="2">
        <v>1</v>
      </c>
      <c r="Y7" s="2">
        <v>163</v>
      </c>
      <c r="Z7" s="2" t="s">
        <v>25</v>
      </c>
      <c r="AA7" s="2" t="s">
        <v>26</v>
      </c>
      <c r="AB7" s="2" t="s">
        <v>104</v>
      </c>
      <c r="AC7" s="2">
        <v>1</v>
      </c>
      <c r="AD7" s="2">
        <v>285</v>
      </c>
      <c r="AE7" s="11">
        <f>Tabela1[[#This Row],[Capacidade (PAX/viagem)]]*Tabela1[[#This Row],[Viagens (mês)]]*12*2</f>
        <v>184680</v>
      </c>
      <c r="AF7" s="12">
        <f>Tabela1[[#This Row],[Demanda (ano)]]/Tabela1[[#This Row],[Desenvolvimento da Infraestrutura - Impacto -Capacidade (pax/ano)]]</f>
        <v>1.5175438596491229</v>
      </c>
    </row>
    <row r="8" spans="1:32" x14ac:dyDescent="0.3">
      <c r="A8" s="5" t="s">
        <v>32</v>
      </c>
      <c r="B8" s="1" t="s">
        <v>33</v>
      </c>
      <c r="C8" s="1" t="s">
        <v>34</v>
      </c>
      <c r="D8" s="1" t="s">
        <v>22</v>
      </c>
      <c r="E8" s="1">
        <v>238</v>
      </c>
      <c r="F8" s="3" t="s">
        <v>38</v>
      </c>
      <c r="G8" s="1">
        <v>9</v>
      </c>
      <c r="H8" s="1" t="s">
        <v>35</v>
      </c>
      <c r="I8" s="1">
        <v>270</v>
      </c>
      <c r="J8" s="10">
        <f>(Tabela1[[#This Row],[Tempo de viagem ida (min)]]*60)/Tabela1[[#This Row],[Extensão (km)]]</f>
        <v>68.067226890756302</v>
      </c>
      <c r="K8" s="1">
        <v>540</v>
      </c>
      <c r="L8" s="1">
        <v>27</v>
      </c>
      <c r="M8" s="1">
        <v>27</v>
      </c>
      <c r="N8" s="1">
        <v>15416</v>
      </c>
      <c r="O8" s="1">
        <f>Tabela1[[#This Row],[Demanda (mês)]]*12</f>
        <v>184992</v>
      </c>
      <c r="P8" s="4" t="s">
        <v>38</v>
      </c>
      <c r="Q8" s="4" t="s">
        <v>38</v>
      </c>
      <c r="R8" s="1">
        <v>6469</v>
      </c>
      <c r="S8" s="2">
        <v>6.98</v>
      </c>
      <c r="T8" s="2">
        <v>18.72</v>
      </c>
      <c r="U8" s="1">
        <v>4041627</v>
      </c>
      <c r="V8" s="1">
        <v>2.38</v>
      </c>
      <c r="W8" s="1">
        <v>52.07</v>
      </c>
      <c r="X8" s="1">
        <v>1</v>
      </c>
      <c r="Y8" s="1">
        <v>140</v>
      </c>
      <c r="Z8" s="1" t="s">
        <v>25</v>
      </c>
      <c r="AA8" s="1" t="s">
        <v>101</v>
      </c>
      <c r="AB8" s="2" t="s">
        <v>104</v>
      </c>
      <c r="AC8" s="1">
        <v>1</v>
      </c>
      <c r="AD8" s="1">
        <v>285</v>
      </c>
      <c r="AE8" s="11">
        <f>Tabela1[[#This Row],[Capacidade (PAX/viagem)]]*Tabela1[[#This Row],[Viagens (mês)]]*12*2</f>
        <v>184680</v>
      </c>
      <c r="AF8" s="12">
        <f>Tabela1[[#This Row],[Demanda (ano)]]/Tabela1[[#This Row],[Desenvolvimento da Infraestrutura - Impacto -Capacidade (pax/ano)]]</f>
        <v>1.0016894087069526</v>
      </c>
    </row>
    <row r="9" spans="1:32" x14ac:dyDescent="0.3">
      <c r="A9" s="5" t="s">
        <v>77</v>
      </c>
      <c r="B9" s="1" t="s">
        <v>78</v>
      </c>
      <c r="C9" s="1" t="s">
        <v>79</v>
      </c>
      <c r="D9" s="1" t="s">
        <v>91</v>
      </c>
      <c r="E9" s="1">
        <v>49</v>
      </c>
      <c r="F9" s="3" t="s">
        <v>38</v>
      </c>
      <c r="G9" s="1">
        <v>9</v>
      </c>
      <c r="H9" s="3" t="s">
        <v>80</v>
      </c>
      <c r="I9" s="1">
        <v>56</v>
      </c>
      <c r="J9" s="10">
        <f>(Tabela1[[#This Row],[Tempo de viagem ida (min)]]*60)/Tabela1[[#This Row],[Extensão (km)]]</f>
        <v>68.571428571428569</v>
      </c>
      <c r="K9" s="1">
        <v>111</v>
      </c>
      <c r="L9" s="1">
        <v>80</v>
      </c>
      <c r="M9" s="1">
        <v>22</v>
      </c>
      <c r="N9" s="1">
        <v>14495</v>
      </c>
      <c r="O9" s="1">
        <f>Tabela1[[#This Row],[Demanda (mês)]]*12</f>
        <v>173940</v>
      </c>
      <c r="P9" s="1">
        <v>14.6</v>
      </c>
      <c r="Q9" s="1">
        <v>8</v>
      </c>
      <c r="R9" s="1">
        <v>137390</v>
      </c>
      <c r="S9" s="3">
        <v>8.4499999999999993</v>
      </c>
      <c r="T9" s="3" t="s">
        <v>38</v>
      </c>
      <c r="U9" s="1">
        <v>29607481</v>
      </c>
      <c r="V9" s="1">
        <v>2.3199999999999998</v>
      </c>
      <c r="W9" s="1">
        <v>16.13</v>
      </c>
      <c r="X9" s="3" t="s">
        <v>38</v>
      </c>
      <c r="Y9" s="3" t="s">
        <v>38</v>
      </c>
      <c r="Z9" s="1" t="s">
        <v>25</v>
      </c>
      <c r="AA9" s="1" t="s">
        <v>99</v>
      </c>
      <c r="AB9" s="2" t="s">
        <v>104</v>
      </c>
      <c r="AC9" s="1">
        <v>18</v>
      </c>
      <c r="AD9" s="1">
        <v>360</v>
      </c>
      <c r="AE9" s="11">
        <f>Tabela1[[#This Row],[Capacidade (PAX/viagem)]]*Tabela1[[#This Row],[Viagens (mês)]]*12*2</f>
        <v>691200</v>
      </c>
      <c r="AF9" s="12">
        <f>Tabela1[[#This Row],[Demanda (ano)]]/Tabela1[[#This Row],[Desenvolvimento da Infraestrutura - Impacto -Capacidade (pax/ano)]]</f>
        <v>0.25164930555555554</v>
      </c>
    </row>
    <row r="10" spans="1:32" x14ac:dyDescent="0.3">
      <c r="A10" s="5" t="s">
        <v>52</v>
      </c>
      <c r="B10" s="1" t="s">
        <v>53</v>
      </c>
      <c r="C10" s="1" t="s">
        <v>28</v>
      </c>
      <c r="D10" s="1" t="s">
        <v>54</v>
      </c>
      <c r="E10" s="1">
        <v>78</v>
      </c>
      <c r="F10" s="1" t="s">
        <v>23</v>
      </c>
      <c r="G10" s="1">
        <v>5</v>
      </c>
      <c r="H10" s="1" t="s">
        <v>55</v>
      </c>
      <c r="I10" s="1">
        <v>90</v>
      </c>
      <c r="J10" s="10">
        <f>(Tabela1[[#This Row],[Tempo de viagem ida (min)]]*60)/Tabela1[[#This Row],[Extensão (km)]]</f>
        <v>69.230769230769226</v>
      </c>
      <c r="K10" s="1">
        <v>180</v>
      </c>
      <c r="L10" s="1">
        <v>27</v>
      </c>
      <c r="M10" s="1">
        <v>27</v>
      </c>
      <c r="N10" s="1">
        <v>17435</v>
      </c>
      <c r="O10" s="1">
        <f>Tabela1[[#This Row],[Demanda (mês)]]*12</f>
        <v>209220</v>
      </c>
      <c r="P10" s="4" t="s">
        <v>38</v>
      </c>
      <c r="Q10" s="4" t="s">
        <v>38</v>
      </c>
      <c r="R10" s="1">
        <v>2127</v>
      </c>
      <c r="S10" s="2">
        <v>6.98</v>
      </c>
      <c r="T10" s="2">
        <v>18.72</v>
      </c>
      <c r="U10" s="1">
        <v>3815521</v>
      </c>
      <c r="V10" s="1">
        <v>8.1999999999999993</v>
      </c>
      <c r="W10" s="1">
        <v>149.49</v>
      </c>
      <c r="X10" s="1">
        <v>1</v>
      </c>
      <c r="Y10" s="1">
        <v>163</v>
      </c>
      <c r="Z10" s="1" t="s">
        <v>25</v>
      </c>
      <c r="AA10" s="1" t="s">
        <v>56</v>
      </c>
      <c r="AB10" s="2" t="s">
        <v>104</v>
      </c>
      <c r="AC10" s="1">
        <v>1</v>
      </c>
      <c r="AD10" s="1">
        <v>285</v>
      </c>
      <c r="AE10" s="11">
        <f>Tabela1[[#This Row],[Capacidade (PAX/viagem)]]*Tabela1[[#This Row],[Viagens (mês)]]*12*2</f>
        <v>184680</v>
      </c>
      <c r="AF10" s="12">
        <f>Tabela1[[#This Row],[Demanda (ano)]]/Tabela1[[#This Row],[Desenvolvimento da Infraestrutura - Impacto -Capacidade (pax/ano)]]</f>
        <v>1.1328784925276154</v>
      </c>
    </row>
    <row r="11" spans="1:32" x14ac:dyDescent="0.3">
      <c r="A11" s="5" t="s">
        <v>57</v>
      </c>
      <c r="B11" s="1" t="s">
        <v>58</v>
      </c>
      <c r="C11" s="1" t="s">
        <v>34</v>
      </c>
      <c r="D11" s="1" t="s">
        <v>29</v>
      </c>
      <c r="E11" s="1">
        <v>193</v>
      </c>
      <c r="F11" s="1" t="s">
        <v>59</v>
      </c>
      <c r="G11" s="1">
        <v>11</v>
      </c>
      <c r="H11" s="1" t="s">
        <v>60</v>
      </c>
      <c r="I11" s="1">
        <v>224</v>
      </c>
      <c r="J11" s="10">
        <f>(Tabela1[[#This Row],[Tempo de viagem ida (min)]]*60)/Tabela1[[#This Row],[Extensão (km)]]</f>
        <v>69.637305699481871</v>
      </c>
      <c r="K11" s="1">
        <v>448</v>
      </c>
      <c r="L11" s="1">
        <v>27</v>
      </c>
      <c r="M11" s="1">
        <v>27</v>
      </c>
      <c r="N11" s="1">
        <v>46504</v>
      </c>
      <c r="O11" s="1">
        <f>Tabela1[[#This Row],[Demanda (mês)]]*12</f>
        <v>558048</v>
      </c>
      <c r="P11" s="4" t="s">
        <v>38</v>
      </c>
      <c r="Q11" s="4" t="s">
        <v>38</v>
      </c>
      <c r="R11" s="1">
        <v>5244</v>
      </c>
      <c r="S11" s="2">
        <v>6.98</v>
      </c>
      <c r="T11" s="2">
        <v>18.72</v>
      </c>
      <c r="U11" s="1">
        <v>11201232</v>
      </c>
      <c r="V11" s="1">
        <v>8.8699999999999992</v>
      </c>
      <c r="W11" s="1">
        <v>178.03</v>
      </c>
      <c r="X11" s="1">
        <v>1</v>
      </c>
      <c r="Y11" s="1">
        <v>256</v>
      </c>
      <c r="Z11" s="1" t="s">
        <v>25</v>
      </c>
      <c r="AA11" s="1" t="s">
        <v>56</v>
      </c>
      <c r="AB11" s="2" t="s">
        <v>104</v>
      </c>
      <c r="AC11" s="1">
        <v>1</v>
      </c>
      <c r="AD11" s="1">
        <v>569</v>
      </c>
      <c r="AE11" s="11">
        <f>Tabela1[[#This Row],[Capacidade (PAX/viagem)]]*Tabela1[[#This Row],[Viagens (mês)]]*12*2</f>
        <v>368712</v>
      </c>
      <c r="AF11" s="12">
        <f>Tabela1[[#This Row],[Demanda (ano)]]/Tabela1[[#This Row],[Desenvolvimento da Infraestrutura - Impacto -Capacidade (pax/ano)]]</f>
        <v>1.5135064765996225</v>
      </c>
    </row>
    <row r="12" spans="1:32" s="8" customFormat="1" x14ac:dyDescent="0.3">
      <c r="A12" s="5" t="s">
        <v>44</v>
      </c>
      <c r="B12" s="1" t="s">
        <v>45</v>
      </c>
      <c r="C12" s="1" t="s">
        <v>34</v>
      </c>
      <c r="D12" s="1" t="s">
        <v>29</v>
      </c>
      <c r="E12" s="1">
        <v>306</v>
      </c>
      <c r="F12" s="1" t="s">
        <v>46</v>
      </c>
      <c r="G12" s="1">
        <v>18</v>
      </c>
      <c r="H12" s="1" t="s">
        <v>47</v>
      </c>
      <c r="I12" s="1">
        <v>356</v>
      </c>
      <c r="J12" s="10">
        <f>(Tabela1[[#This Row],[Tempo de viagem ida (min)]]*60)/Tabela1[[#This Row],[Extensão (km)]]</f>
        <v>69.803921568627445</v>
      </c>
      <c r="K12" s="1">
        <v>712</v>
      </c>
      <c r="L12" s="1">
        <v>27</v>
      </c>
      <c r="M12" s="1">
        <v>27</v>
      </c>
      <c r="N12" s="1">
        <v>37210</v>
      </c>
      <c r="O12" s="1">
        <f>Tabela1[[#This Row],[Demanda (mês)]]*12</f>
        <v>446520</v>
      </c>
      <c r="P12" s="4" t="s">
        <v>38</v>
      </c>
      <c r="Q12" s="4" t="s">
        <v>38</v>
      </c>
      <c r="R12" s="1">
        <v>8340</v>
      </c>
      <c r="S12" s="2">
        <v>6.98</v>
      </c>
      <c r="T12" s="2">
        <v>18.72</v>
      </c>
      <c r="U12" s="1">
        <v>10139977</v>
      </c>
      <c r="V12" s="1">
        <v>4.46</v>
      </c>
      <c r="W12" s="1">
        <v>101.32</v>
      </c>
      <c r="X12" s="1">
        <v>1</v>
      </c>
      <c r="Y12" s="1">
        <v>210</v>
      </c>
      <c r="Z12" s="1" t="s">
        <v>25</v>
      </c>
      <c r="AA12" s="1" t="s">
        <v>48</v>
      </c>
      <c r="AB12" s="2" t="s">
        <v>104</v>
      </c>
      <c r="AC12" s="1">
        <v>1</v>
      </c>
      <c r="AD12" s="1">
        <v>498</v>
      </c>
      <c r="AE12" s="11">
        <f>Tabela1[[#This Row],[Capacidade (PAX/viagem)]]*Tabela1[[#This Row],[Viagens (mês)]]*12*2</f>
        <v>322704</v>
      </c>
      <c r="AF12" s="12">
        <f>Tabela1[[#This Row],[Demanda (ano)]]/Tabela1[[#This Row],[Desenvolvimento da Infraestrutura - Impacto -Capacidade (pax/ano)]]</f>
        <v>1.3836828796668155</v>
      </c>
    </row>
    <row r="13" spans="1:32" s="8" customFormat="1" x14ac:dyDescent="0.3">
      <c r="A13" s="6" t="s">
        <v>87</v>
      </c>
      <c r="B13" s="2" t="s">
        <v>88</v>
      </c>
      <c r="C13" s="2" t="s">
        <v>34</v>
      </c>
      <c r="D13" s="2" t="s">
        <v>29</v>
      </c>
      <c r="E13" s="2">
        <v>384</v>
      </c>
      <c r="F13" s="2" t="s">
        <v>23</v>
      </c>
      <c r="G13" s="2">
        <v>17</v>
      </c>
      <c r="H13" s="2" t="s">
        <v>62</v>
      </c>
      <c r="I13" s="2">
        <v>448</v>
      </c>
      <c r="J13" s="9">
        <f>(Tabela1[[#This Row],[Tempo de viagem ida (min)]]*60)/Tabela1[[#This Row],[Extensão (km)]]</f>
        <v>70</v>
      </c>
      <c r="K13" s="2">
        <v>896</v>
      </c>
      <c r="L13" s="2">
        <v>27</v>
      </c>
      <c r="M13" s="2">
        <v>27</v>
      </c>
      <c r="N13" s="2">
        <v>13310</v>
      </c>
      <c r="O13" s="2">
        <f>Tabela1[[#This Row],[Demanda (mês)]]*12</f>
        <v>159720</v>
      </c>
      <c r="P13" s="4" t="s">
        <v>38</v>
      </c>
      <c r="Q13" s="4" t="s">
        <v>38</v>
      </c>
      <c r="R13" s="2">
        <v>10457</v>
      </c>
      <c r="S13" s="2">
        <v>6.98</v>
      </c>
      <c r="T13" s="2">
        <v>18.72</v>
      </c>
      <c r="U13" s="2">
        <v>2459475</v>
      </c>
      <c r="V13" s="2">
        <v>1.27</v>
      </c>
      <c r="W13" s="2">
        <v>19.600000000000001</v>
      </c>
      <c r="X13" s="2">
        <v>1</v>
      </c>
      <c r="Y13" s="2">
        <v>117</v>
      </c>
      <c r="Z13" s="2" t="s">
        <v>25</v>
      </c>
      <c r="AA13" s="2" t="s">
        <v>63</v>
      </c>
      <c r="AB13" s="2" t="s">
        <v>104</v>
      </c>
      <c r="AC13" s="2">
        <v>1</v>
      </c>
      <c r="AD13" s="2">
        <v>142</v>
      </c>
      <c r="AE13" s="11">
        <f>Tabela1[[#This Row],[Capacidade (PAX/viagem)]]*Tabela1[[#This Row],[Viagens (mês)]]*12*2</f>
        <v>92016</v>
      </c>
      <c r="AF13" s="12">
        <f>Tabela1[[#This Row],[Demanda (ano)]]/Tabela1[[#This Row],[Desenvolvimento da Infraestrutura - Impacto -Capacidade (pax/ano)]]</f>
        <v>1.7357850808555033</v>
      </c>
    </row>
    <row r="14" spans="1:32" x14ac:dyDescent="0.3">
      <c r="A14" s="5" t="s">
        <v>36</v>
      </c>
      <c r="B14" s="1" t="s">
        <v>37</v>
      </c>
      <c r="C14" s="1" t="s">
        <v>34</v>
      </c>
      <c r="D14" s="1" t="s">
        <v>22</v>
      </c>
      <c r="E14" s="1">
        <v>147</v>
      </c>
      <c r="F14" s="3" t="s">
        <v>38</v>
      </c>
      <c r="G14" s="1">
        <v>7</v>
      </c>
      <c r="H14" s="1" t="s">
        <v>39</v>
      </c>
      <c r="I14" s="1">
        <v>172</v>
      </c>
      <c r="J14" s="10">
        <f>(Tabela1[[#This Row],[Tempo de viagem ida (min)]]*60)/Tabela1[[#This Row],[Extensão (km)]]</f>
        <v>70.204081632653057</v>
      </c>
      <c r="K14" s="1">
        <v>344</v>
      </c>
      <c r="L14" s="1">
        <v>27</v>
      </c>
      <c r="M14" s="1">
        <v>27</v>
      </c>
      <c r="N14" s="1">
        <v>11629</v>
      </c>
      <c r="O14" s="1">
        <f>Tabela1[[#This Row],[Demanda (mês)]]*12</f>
        <v>139548</v>
      </c>
      <c r="P14" s="4" t="s">
        <v>38</v>
      </c>
      <c r="Q14" s="4" t="s">
        <v>38</v>
      </c>
      <c r="R14" s="1">
        <v>4021</v>
      </c>
      <c r="S14" s="2">
        <v>6.98</v>
      </c>
      <c r="T14" s="2">
        <v>18.72</v>
      </c>
      <c r="U14" s="1">
        <v>3158219</v>
      </c>
      <c r="V14" s="1">
        <v>2.89</v>
      </c>
      <c r="W14" s="1">
        <v>65.459999999999994</v>
      </c>
      <c r="X14" s="1">
        <v>1</v>
      </c>
      <c r="Y14" s="1">
        <v>140</v>
      </c>
      <c r="Z14" s="1" t="s">
        <v>25</v>
      </c>
      <c r="AA14" s="1" t="s">
        <v>101</v>
      </c>
      <c r="AB14" s="2" t="s">
        <v>104</v>
      </c>
      <c r="AC14" s="1">
        <v>1</v>
      </c>
      <c r="AD14" s="1">
        <v>285</v>
      </c>
      <c r="AE14" s="11">
        <f>Tabela1[[#This Row],[Capacidade (PAX/viagem)]]*Tabela1[[#This Row],[Viagens (mês)]]*12*2</f>
        <v>184680</v>
      </c>
      <c r="AF14" s="12">
        <f>Tabela1[[#This Row],[Demanda (ano)]]/Tabela1[[#This Row],[Desenvolvimento da Infraestrutura - Impacto -Capacidade (pax/ano)]]</f>
        <v>0.75562053281351527</v>
      </c>
    </row>
    <row r="15" spans="1:32" x14ac:dyDescent="0.3">
      <c r="A15" s="5" t="s">
        <v>71</v>
      </c>
      <c r="B15" s="1" t="s">
        <v>94</v>
      </c>
      <c r="C15" s="1" t="s">
        <v>72</v>
      </c>
      <c r="D15" s="1" t="s">
        <v>91</v>
      </c>
      <c r="E15" s="1">
        <v>52</v>
      </c>
      <c r="F15" s="3" t="s">
        <v>38</v>
      </c>
      <c r="G15" s="1">
        <v>20</v>
      </c>
      <c r="H15" s="3" t="s">
        <v>80</v>
      </c>
      <c r="I15" s="1">
        <v>67</v>
      </c>
      <c r="J15" s="10">
        <f>(Tabela1[[#This Row],[Tempo de viagem ida (min)]]*60)/Tabela1[[#This Row],[Extensão (km)]]</f>
        <v>77.307692307692307</v>
      </c>
      <c r="K15" s="1">
        <v>144</v>
      </c>
      <c r="L15" s="1">
        <v>88</v>
      </c>
      <c r="M15" s="1">
        <v>22</v>
      </c>
      <c r="N15" s="1">
        <v>58240</v>
      </c>
      <c r="O15" s="1">
        <f>Tabela1[[#This Row],[Demanda (mês)]]*12</f>
        <v>698880</v>
      </c>
      <c r="P15" s="1">
        <v>20.89</v>
      </c>
      <c r="Q15" s="1">
        <v>11</v>
      </c>
      <c r="R15" s="1">
        <v>154880</v>
      </c>
      <c r="S15" s="3">
        <v>8.4499999999999993</v>
      </c>
      <c r="T15" s="3" t="s">
        <v>38</v>
      </c>
      <c r="U15" s="1">
        <v>92484188</v>
      </c>
      <c r="V15" s="1">
        <v>8.2799999999999994</v>
      </c>
      <c r="W15" s="1">
        <v>44.7</v>
      </c>
      <c r="X15" s="3" t="s">
        <v>38</v>
      </c>
      <c r="Y15" s="3" t="s">
        <v>38</v>
      </c>
      <c r="Z15" s="1" t="s">
        <v>25</v>
      </c>
      <c r="AA15" s="1" t="s">
        <v>73</v>
      </c>
      <c r="AB15" s="2" t="s">
        <v>104</v>
      </c>
      <c r="AC15" s="1">
        <v>52</v>
      </c>
      <c r="AD15" s="1">
        <v>720</v>
      </c>
      <c r="AE15" s="11">
        <f>Tabela1[[#This Row],[Capacidade (PAX/viagem)]]*Tabela1[[#This Row],[Viagens (mês)]]*12*2</f>
        <v>1520640</v>
      </c>
      <c r="AF15" s="12">
        <f>Tabela1[[#This Row],[Demanda (ano)]]/Tabela1[[#This Row],[Desenvolvimento da Infraestrutura - Impacto -Capacidade (pax/ano)]]</f>
        <v>0.45959595959595961</v>
      </c>
    </row>
    <row r="16" spans="1:32" x14ac:dyDescent="0.3">
      <c r="A16" s="6" t="s">
        <v>64</v>
      </c>
      <c r="B16" s="2" t="s">
        <v>65</v>
      </c>
      <c r="C16" s="2" t="s">
        <v>79</v>
      </c>
      <c r="D16" s="2" t="s">
        <v>91</v>
      </c>
      <c r="E16" s="2">
        <v>52</v>
      </c>
      <c r="F16" s="2" t="s">
        <v>38</v>
      </c>
      <c r="G16" s="2">
        <v>20</v>
      </c>
      <c r="H16" s="2" t="s">
        <v>80</v>
      </c>
      <c r="I16" s="2">
        <v>72</v>
      </c>
      <c r="J16" s="9">
        <f>(Tabela1[[#This Row],[Tempo de viagem ida (min)]]*60)/Tabela1[[#This Row],[Extensão (km)]]</f>
        <v>83.07692307692308</v>
      </c>
      <c r="K16" s="2">
        <v>144</v>
      </c>
      <c r="L16" s="2">
        <v>112</v>
      </c>
      <c r="M16" s="2">
        <v>22</v>
      </c>
      <c r="N16" s="2">
        <v>58240</v>
      </c>
      <c r="O16" s="2">
        <f>Tabela1[[#This Row],[Demanda (mês)]]*12</f>
        <v>698880</v>
      </c>
      <c r="P16" s="4">
        <v>10.45</v>
      </c>
      <c r="Q16" s="4">
        <v>14</v>
      </c>
      <c r="R16" s="2">
        <v>201740</v>
      </c>
      <c r="S16" s="2">
        <v>8.4499999999999993</v>
      </c>
      <c r="T16" s="2" t="s">
        <v>38</v>
      </c>
      <c r="U16" s="2">
        <v>92484188</v>
      </c>
      <c r="V16" s="2">
        <v>6.35</v>
      </c>
      <c r="W16" s="2">
        <v>34.31</v>
      </c>
      <c r="X16" s="2" t="s">
        <v>38</v>
      </c>
      <c r="Y16" s="2" t="s">
        <v>38</v>
      </c>
      <c r="Z16" s="2" t="s">
        <v>25</v>
      </c>
      <c r="AA16" s="2" t="s">
        <v>92</v>
      </c>
      <c r="AB16" s="2" t="s">
        <v>104</v>
      </c>
      <c r="AC16" s="2">
        <v>64</v>
      </c>
      <c r="AD16" s="2">
        <v>720</v>
      </c>
      <c r="AE16" s="11">
        <f>Tabela1[[#This Row],[Capacidade (PAX/viagem)]]*Tabela1[[#This Row],[Viagens (mês)]]*12*2</f>
        <v>1935360</v>
      </c>
      <c r="AF16" s="12">
        <f>Tabela1[[#This Row],[Demanda (ano)]]/Tabela1[[#This Row],[Desenvolvimento da Infraestrutura - Impacto -Capacidade (pax/ano)]]</f>
        <v>0.3611111111111111</v>
      </c>
    </row>
    <row r="17" spans="1:32" x14ac:dyDescent="0.3">
      <c r="A17" s="5" t="s">
        <v>66</v>
      </c>
      <c r="B17" s="1" t="s">
        <v>93</v>
      </c>
      <c r="C17" s="1" t="s">
        <v>96</v>
      </c>
      <c r="D17" s="1" t="s">
        <v>91</v>
      </c>
      <c r="E17" s="1">
        <v>28</v>
      </c>
      <c r="F17" s="3" t="s">
        <v>38</v>
      </c>
      <c r="G17" s="1">
        <v>14</v>
      </c>
      <c r="H17" s="3" t="s">
        <v>80</v>
      </c>
      <c r="I17" s="1">
        <v>39</v>
      </c>
      <c r="J17" s="10">
        <f>(Tabela1[[#This Row],[Tempo de viagem ida (min)]]*60)/Tabela1[[#This Row],[Extensão (km)]]</f>
        <v>83.571428571428569</v>
      </c>
      <c r="K17" s="1">
        <v>77</v>
      </c>
      <c r="L17" s="1">
        <v>56</v>
      </c>
      <c r="M17" s="1">
        <v>22</v>
      </c>
      <c r="N17" s="1">
        <v>30690</v>
      </c>
      <c r="O17" s="1">
        <f>Tabela1[[#This Row],[Demanda (mês)]]*12</f>
        <v>368280</v>
      </c>
      <c r="P17" s="1">
        <v>23.55</v>
      </c>
      <c r="Q17" s="1">
        <v>4</v>
      </c>
      <c r="R17" s="1">
        <v>53790</v>
      </c>
      <c r="S17" s="3">
        <v>8.4499999999999993</v>
      </c>
      <c r="T17" s="3" t="s">
        <v>38</v>
      </c>
      <c r="U17" s="1">
        <v>50889144</v>
      </c>
      <c r="V17" s="1">
        <v>12.56</v>
      </c>
      <c r="W17" s="1">
        <v>70.81</v>
      </c>
      <c r="X17" s="3" t="s">
        <v>38</v>
      </c>
      <c r="Y17" s="3" t="s">
        <v>38</v>
      </c>
      <c r="Z17" s="1" t="s">
        <v>25</v>
      </c>
      <c r="AA17" s="1" t="s">
        <v>67</v>
      </c>
      <c r="AB17" s="2" t="s">
        <v>104</v>
      </c>
      <c r="AC17" s="1">
        <v>20</v>
      </c>
      <c r="AD17" s="1">
        <v>720</v>
      </c>
      <c r="AE17" s="11">
        <f>Tabela1[[#This Row],[Capacidade (PAX/viagem)]]*Tabela1[[#This Row],[Viagens (mês)]]*12*2</f>
        <v>967680</v>
      </c>
      <c r="AF17" s="12">
        <f>Tabela1[[#This Row],[Demanda (ano)]]/Tabela1[[#This Row],[Desenvolvimento da Infraestrutura - Impacto -Capacidade (pax/ano)]]</f>
        <v>0.38058035714285715</v>
      </c>
    </row>
    <row r="18" spans="1:32" x14ac:dyDescent="0.3">
      <c r="A18" s="5" t="s">
        <v>68</v>
      </c>
      <c r="B18" s="1" t="s">
        <v>69</v>
      </c>
      <c r="C18" s="1" t="s">
        <v>95</v>
      </c>
      <c r="D18" s="1" t="s">
        <v>91</v>
      </c>
      <c r="E18" s="1">
        <v>30</v>
      </c>
      <c r="F18" s="3" t="s">
        <v>38</v>
      </c>
      <c r="G18" s="1">
        <v>11</v>
      </c>
      <c r="H18" s="3" t="s">
        <v>80</v>
      </c>
      <c r="I18" s="1">
        <v>42</v>
      </c>
      <c r="J18" s="10">
        <f>(Tabela1[[#This Row],[Tempo de viagem ida (min)]]*60)/Tabela1[[#This Row],[Extensão (km)]]</f>
        <v>84</v>
      </c>
      <c r="K18" s="1">
        <v>84</v>
      </c>
      <c r="L18" s="1">
        <v>91</v>
      </c>
      <c r="M18" s="1">
        <v>22</v>
      </c>
      <c r="N18" s="1">
        <v>36110</v>
      </c>
      <c r="O18" s="1">
        <f>Tabela1[[#This Row],[Demanda (mês)]]*12</f>
        <v>433320</v>
      </c>
      <c r="P18" s="1">
        <v>13.17</v>
      </c>
      <c r="Q18" s="1">
        <v>7</v>
      </c>
      <c r="R18" s="1">
        <v>95040</v>
      </c>
      <c r="S18" s="3">
        <v>8.4499999999999993</v>
      </c>
      <c r="T18" s="3" t="s">
        <v>38</v>
      </c>
      <c r="U18" s="1">
        <v>49590901</v>
      </c>
      <c r="V18" s="1">
        <v>8.36</v>
      </c>
      <c r="W18" s="1">
        <v>39.03</v>
      </c>
      <c r="X18" s="3" t="s">
        <v>38</v>
      </c>
      <c r="Y18" s="3" t="s">
        <v>38</v>
      </c>
      <c r="Z18" s="1" t="s">
        <v>25</v>
      </c>
      <c r="AA18" s="1" t="s">
        <v>70</v>
      </c>
      <c r="AB18" s="2" t="s">
        <v>104</v>
      </c>
      <c r="AC18" s="1">
        <v>32</v>
      </c>
      <c r="AD18" s="1">
        <v>720</v>
      </c>
      <c r="AE18" s="11">
        <f>Tabela1[[#This Row],[Capacidade (PAX/viagem)]]*Tabela1[[#This Row],[Viagens (mês)]]*12*2</f>
        <v>1572480</v>
      </c>
      <c r="AF18" s="12">
        <f>Tabela1[[#This Row],[Demanda (ano)]]/Tabela1[[#This Row],[Desenvolvimento da Infraestrutura - Impacto -Capacidade (pax/ano)]]</f>
        <v>0.27556471306471308</v>
      </c>
    </row>
    <row r="19" spans="1:32" x14ac:dyDescent="0.3">
      <c r="A19" s="5" t="s">
        <v>40</v>
      </c>
      <c r="B19" s="1" t="s">
        <v>41</v>
      </c>
      <c r="C19" s="1" t="s">
        <v>34</v>
      </c>
      <c r="D19" s="1" t="s">
        <v>29</v>
      </c>
      <c r="E19" s="1">
        <v>201</v>
      </c>
      <c r="F19" s="1" t="s">
        <v>23</v>
      </c>
      <c r="G19" s="1">
        <v>9</v>
      </c>
      <c r="H19" s="1" t="s">
        <v>42</v>
      </c>
      <c r="I19" s="1">
        <v>353</v>
      </c>
      <c r="J19" s="10">
        <f>(Tabela1[[#This Row],[Tempo de viagem ida (min)]]*60)/Tabela1[[#This Row],[Extensão (km)]]</f>
        <v>105.3731343283582</v>
      </c>
      <c r="K19" s="1">
        <v>706</v>
      </c>
      <c r="L19" s="1">
        <v>5</v>
      </c>
      <c r="M19" s="1">
        <v>5</v>
      </c>
      <c r="N19" s="1">
        <v>307</v>
      </c>
      <c r="O19" s="1">
        <f>Tabela1[[#This Row],[Demanda (mês)]]*12</f>
        <v>3684</v>
      </c>
      <c r="P19" s="4" t="s">
        <v>38</v>
      </c>
      <c r="Q19" s="4" t="s">
        <v>38</v>
      </c>
      <c r="R19" s="1">
        <v>873</v>
      </c>
      <c r="S19" s="2">
        <v>6.98</v>
      </c>
      <c r="T19" s="2">
        <v>18.72</v>
      </c>
      <c r="U19" s="1">
        <v>78806</v>
      </c>
      <c r="V19" s="1">
        <v>0.35</v>
      </c>
      <c r="W19" s="1">
        <v>7.52</v>
      </c>
      <c r="X19" s="1">
        <v>1</v>
      </c>
      <c r="Y19" s="1">
        <v>140</v>
      </c>
      <c r="Z19" s="1" t="s">
        <v>25</v>
      </c>
      <c r="AA19" s="1" t="s">
        <v>43</v>
      </c>
      <c r="AB19" s="2" t="s">
        <v>104</v>
      </c>
      <c r="AC19" s="1">
        <v>1</v>
      </c>
      <c r="AD19" s="1">
        <v>142</v>
      </c>
      <c r="AE19" s="11">
        <f>Tabela1[[#This Row],[Capacidade (PAX/viagem)]]*Tabela1[[#This Row],[Viagens (mês)]]*12*2</f>
        <v>17040</v>
      </c>
      <c r="AF19" s="12">
        <f>Tabela1[[#This Row],[Demanda (ano)]]/Tabela1[[#This Row],[Desenvolvimento da Infraestrutura - Impacto -Capacidade (pax/ano)]]</f>
        <v>0.21619718309859154</v>
      </c>
    </row>
    <row r="1048561" spans="16:17" x14ac:dyDescent="0.3">
      <c r="P1048561" s="7"/>
    </row>
    <row r="1048570" spans="16:17" x14ac:dyDescent="0.3">
      <c r="Q1048570" s="7"/>
    </row>
  </sheetData>
  <pageMargins left="0.511811024" right="0.511811024" top="0.78740157499999996" bottom="0.78740157499999996" header="0.31496062000000002" footer="0.31496062000000002"/>
  <legacy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Extract_Data_PEF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Heberty de Freitas</dc:creator>
  <cp:lastModifiedBy>John Heberty de Freitas</cp:lastModifiedBy>
  <dcterms:created xsi:type="dcterms:W3CDTF">2025-07-23T12:58:32Z</dcterms:created>
  <dcterms:modified xsi:type="dcterms:W3CDTF">2025-07-23T19:20:54Z</dcterms:modified>
</cp:coreProperties>
</file>