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AGUSTUS 2021" sheetId="18" r:id="rId1"/>
    <sheet name="0312" sheetId="17" r:id="rId2"/>
    <sheet name="JANUARI 21" sheetId="16" r:id="rId3"/>
    <sheet name="DESEMBER" sheetId="15" r:id="rId4"/>
    <sheet name="November" sheetId="14" r:id="rId5"/>
    <sheet name="OKTOBER" sheetId="13" r:id="rId6"/>
    <sheet name="SEPTEMBER" sheetId="11" r:id="rId7"/>
    <sheet name="JULI" sheetId="9" r:id="rId8"/>
    <sheet name="Sheet1" sheetId="1" r:id="rId9"/>
    <sheet name="AGUSTUS" sheetId="10" r:id="rId10"/>
    <sheet name="Sheet2" sheetId="2" r:id="rId11"/>
    <sheet name="Sheet4" sheetId="4" r:id="rId12"/>
    <sheet name="Sheet3" sheetId="5" r:id="rId13"/>
    <sheet name="FEB-MEI" sheetId="7" r:id="rId14"/>
    <sheet name="JUNI" sheetId="8" r:id="rId15"/>
  </sheets>
  <definedNames>
    <definedName name="_xlnm._FilterDatabase" localSheetId="1" hidden="1">'0312'!$A$5:$N$5</definedName>
    <definedName name="_xlnm._FilterDatabase" localSheetId="3" hidden="1">DESEMBER!$A$4:$N$4</definedName>
    <definedName name="_xlnm._FilterDatabase" localSheetId="13" hidden="1">'FEB-MEI'!$A$2:$I$134</definedName>
    <definedName name="_xlnm._FilterDatabase" localSheetId="2" hidden="1">'JANUARI 21'!$A$4:$N$4</definedName>
    <definedName name="_xlnm._FilterDatabase" localSheetId="14" hidden="1">JUNI!$A$8:$M$8</definedName>
    <definedName name="_xlnm._FilterDatabase" localSheetId="6" hidden="1">SEPTEMBER!$A$5:$N$5</definedName>
    <definedName name="_xlnm._FilterDatabase" localSheetId="8" hidden="1">Sheet1!$A$2:$J$2</definedName>
    <definedName name="_xlnm._FilterDatabase" localSheetId="12" hidden="1">Sheet3!$A$2:$N$2</definedName>
    <definedName name="_xlnm.Print_Area" localSheetId="9">AGUSTUS!$A$1:$N$15</definedName>
  </definedNames>
  <calcPr calcId="124519"/>
</workbook>
</file>

<file path=xl/calcChain.xml><?xml version="1.0" encoding="utf-8"?>
<calcChain xmlns="http://schemas.openxmlformats.org/spreadsheetml/2006/main">
  <c r="K21" i="18"/>
  <c r="L21" s="1"/>
  <c r="K23"/>
  <c r="L23" s="1"/>
  <c r="H23"/>
  <c r="H24"/>
  <c r="L24"/>
  <c r="K24"/>
  <c r="L22"/>
  <c r="K22"/>
  <c r="H22"/>
  <c r="J26"/>
  <c r="K25"/>
  <c r="L25" s="1"/>
  <c r="H25"/>
  <c r="K20"/>
  <c r="L20" s="1"/>
  <c r="H20"/>
  <c r="H17"/>
  <c r="H14"/>
  <c r="H11"/>
  <c r="L26" l="1"/>
  <c r="K26"/>
  <c r="F20" i="17" l="1"/>
  <c r="L20"/>
  <c r="K20"/>
  <c r="J20"/>
  <c r="H20"/>
  <c r="H13"/>
  <c r="H10"/>
  <c r="H9"/>
  <c r="K17"/>
  <c r="H17"/>
  <c r="J15"/>
  <c r="K14"/>
  <c r="L14" s="1"/>
  <c r="K13"/>
  <c r="K15" s="1"/>
  <c r="J11"/>
  <c r="K10"/>
  <c r="L10" s="1"/>
  <c r="K9"/>
  <c r="L9" s="1"/>
  <c r="K8"/>
  <c r="H8"/>
  <c r="K11" l="1"/>
  <c r="L8"/>
  <c r="L11" s="1"/>
  <c r="L13"/>
  <c r="L15" s="1"/>
  <c r="L17"/>
  <c r="F16" i="16"/>
  <c r="K14"/>
  <c r="H14"/>
  <c r="J12"/>
  <c r="K11"/>
  <c r="L11" s="1"/>
  <c r="K10"/>
  <c r="K12" s="1"/>
  <c r="J8"/>
  <c r="K7"/>
  <c r="L7" s="1"/>
  <c r="K6"/>
  <c r="L6" s="1"/>
  <c r="K5"/>
  <c r="H5"/>
  <c r="H16" s="1"/>
  <c r="K8" l="1"/>
  <c r="K16" s="1"/>
  <c r="J16"/>
  <c r="L5"/>
  <c r="L8" s="1"/>
  <c r="L10"/>
  <c r="L12" s="1"/>
  <c r="L14"/>
  <c r="J12" i="15"/>
  <c r="J16" s="1"/>
  <c r="J8"/>
  <c r="K14"/>
  <c r="L14" s="1"/>
  <c r="K11"/>
  <c r="L11" s="1"/>
  <c r="K10"/>
  <c r="K7"/>
  <c r="L7" s="1"/>
  <c r="K6"/>
  <c r="L6" s="1"/>
  <c r="K5"/>
  <c r="K8" s="1"/>
  <c r="L10"/>
  <c r="F16"/>
  <c r="H14"/>
  <c r="H11"/>
  <c r="H10"/>
  <c r="H7"/>
  <c r="H6"/>
  <c r="H5"/>
  <c r="L16" i="16" l="1"/>
  <c r="K12" i="15"/>
  <c r="K16" s="1"/>
  <c r="L5"/>
  <c r="L8" s="1"/>
  <c r="L16" s="1"/>
  <c r="L12"/>
  <c r="H16"/>
  <c r="K17" i="14" l="1"/>
  <c r="J17"/>
  <c r="I17"/>
  <c r="K21" l="1"/>
  <c r="J21"/>
  <c r="I21"/>
  <c r="I20"/>
  <c r="J19"/>
  <c r="J20" s="1"/>
  <c r="J16"/>
  <c r="K16" s="1"/>
  <c r="G16"/>
  <c r="B16"/>
  <c r="J15"/>
  <c r="J13"/>
  <c r="I13"/>
  <c r="J12"/>
  <c r="K12" s="1"/>
  <c r="K13" s="1"/>
  <c r="I10"/>
  <c r="J9"/>
  <c r="K9" s="1"/>
  <c r="H9"/>
  <c r="J8"/>
  <c r="K8" s="1"/>
  <c r="J7"/>
  <c r="H7"/>
  <c r="K19" l="1"/>
  <c r="K20" s="1"/>
  <c r="K15"/>
  <c r="J10"/>
  <c r="K7"/>
  <c r="K10" s="1"/>
  <c r="I10" i="13"/>
  <c r="I13"/>
  <c r="J12"/>
  <c r="K12" s="1"/>
  <c r="K13" s="1"/>
  <c r="J9"/>
  <c r="K9" s="1"/>
  <c r="J8"/>
  <c r="K8" s="1"/>
  <c r="J7"/>
  <c r="K7" s="1"/>
  <c r="H12"/>
  <c r="H9"/>
  <c r="H8"/>
  <c r="H7"/>
  <c r="K10" l="1"/>
  <c r="K15" s="1"/>
  <c r="I15"/>
  <c r="J13"/>
  <c r="J10"/>
  <c r="J15" l="1"/>
  <c r="L44" i="11"/>
  <c r="L13"/>
  <c r="L6"/>
  <c r="K44"/>
  <c r="K13"/>
  <c r="K6"/>
  <c r="L51" l="1"/>
  <c r="K51" l="1"/>
  <c r="H49"/>
  <c r="H48"/>
  <c r="H47"/>
  <c r="H46"/>
  <c r="H44"/>
  <c r="H42"/>
  <c r="H40"/>
  <c r="H38"/>
  <c r="H37"/>
  <c r="H34"/>
  <c r="H33"/>
  <c r="H31"/>
  <c r="H30"/>
  <c r="H29"/>
  <c r="H28"/>
  <c r="H27"/>
  <c r="H26"/>
  <c r="H25"/>
  <c r="H24"/>
  <c r="H23"/>
  <c r="H22"/>
  <c r="H21"/>
  <c r="H20"/>
  <c r="H19"/>
  <c r="H17"/>
  <c r="H15"/>
  <c r="H13"/>
  <c r="H11"/>
  <c r="H10"/>
  <c r="H9"/>
  <c r="H8"/>
  <c r="H6"/>
  <c r="K12" i="10" l="1"/>
  <c r="L12"/>
  <c r="K15"/>
  <c r="L34"/>
  <c r="M34" s="1"/>
  <c r="I34"/>
  <c r="L26"/>
  <c r="M26" s="1"/>
  <c r="L27"/>
  <c r="M27" s="1"/>
  <c r="L32"/>
  <c r="M32" s="1"/>
  <c r="L28"/>
  <c r="M28" s="1"/>
  <c r="L29"/>
  <c r="M29" s="1"/>
  <c r="L6"/>
  <c r="M6" s="1"/>
  <c r="L33"/>
  <c r="M33" s="1"/>
  <c r="L10"/>
  <c r="M10" s="1"/>
  <c r="L11"/>
  <c r="M11" s="1"/>
  <c r="M15" s="1"/>
  <c r="L8"/>
  <c r="M8" s="1"/>
  <c r="L36"/>
  <c r="M36" s="1"/>
  <c r="L20"/>
  <c r="M20" s="1"/>
  <c r="L21"/>
  <c r="M21" s="1"/>
  <c r="L22"/>
  <c r="M22" s="1"/>
  <c r="L38"/>
  <c r="M38" s="1"/>
  <c r="L40"/>
  <c r="M40" s="1"/>
  <c r="L23"/>
  <c r="M23" s="1"/>
  <c r="L35"/>
  <c r="M35" s="1"/>
  <c r="L39"/>
  <c r="M39" s="1"/>
  <c r="L41"/>
  <c r="M41" s="1"/>
  <c r="L37"/>
  <c r="M37" s="1"/>
  <c r="L24"/>
  <c r="M24" s="1"/>
  <c r="L14"/>
  <c r="M14" s="1"/>
  <c r="L30"/>
  <c r="M30" s="1"/>
  <c r="L25"/>
  <c r="M25" s="1"/>
  <c r="I26"/>
  <c r="I27"/>
  <c r="I32"/>
  <c r="I28"/>
  <c r="I29"/>
  <c r="I6"/>
  <c r="I33"/>
  <c r="I10"/>
  <c r="I11"/>
  <c r="I8"/>
  <c r="I36"/>
  <c r="I20"/>
  <c r="I21"/>
  <c r="I22"/>
  <c r="I38"/>
  <c r="I40"/>
  <c r="I23"/>
  <c r="I35"/>
  <c r="I39"/>
  <c r="I41"/>
  <c r="I37"/>
  <c r="I24"/>
  <c r="I14"/>
  <c r="I30"/>
  <c r="I25"/>
  <c r="L15" l="1"/>
  <c r="M12"/>
  <c r="J41" i="9" l="1"/>
  <c r="J25"/>
  <c r="J12"/>
  <c r="K40"/>
  <c r="L40" s="1"/>
  <c r="K39"/>
  <c r="L39" s="1"/>
  <c r="K38"/>
  <c r="L38" s="1"/>
  <c r="K24"/>
  <c r="L24" s="1"/>
  <c r="K23"/>
  <c r="L23" s="1"/>
  <c r="K22"/>
  <c r="L22" s="1"/>
  <c r="K7"/>
  <c r="L7" s="1"/>
  <c r="K9"/>
  <c r="L9" s="1"/>
  <c r="K5"/>
  <c r="L5" s="1"/>
  <c r="H44"/>
  <c r="H40"/>
  <c r="H39"/>
  <c r="H38"/>
  <c r="H33"/>
  <c r="H30"/>
  <c r="H26"/>
  <c r="H19"/>
  <c r="H18"/>
  <c r="H17"/>
  <c r="H15"/>
  <c r="H11"/>
  <c r="H10"/>
  <c r="L25" l="1"/>
  <c r="J46"/>
  <c r="L41"/>
  <c r="K41"/>
  <c r="K25"/>
  <c r="L12"/>
  <c r="L46" s="1"/>
  <c r="K12"/>
  <c r="L63" i="8"/>
  <c r="K46" i="9" l="1"/>
  <c r="L21" i="8"/>
  <c r="K61"/>
  <c r="K33"/>
  <c r="J33" s="1"/>
  <c r="K23"/>
  <c r="J23" s="1"/>
  <c r="K20"/>
  <c r="J20" s="1"/>
  <c r="J21" s="1"/>
  <c r="K16"/>
  <c r="J16" s="1"/>
  <c r="K14"/>
  <c r="J14" s="1"/>
  <c r="K9"/>
  <c r="J9" s="1"/>
  <c r="H46"/>
  <c r="H43"/>
  <c r="H19"/>
  <c r="H14"/>
  <c r="H45"/>
  <c r="H42"/>
  <c r="H41"/>
  <c r="H23"/>
  <c r="H40"/>
  <c r="H58"/>
  <c r="H48"/>
  <c r="H52"/>
  <c r="H39"/>
  <c r="H38"/>
  <c r="H12"/>
  <c r="H11"/>
  <c r="H37"/>
  <c r="H17"/>
  <c r="H27"/>
  <c r="H55"/>
  <c r="H54"/>
  <c r="H18"/>
  <c r="H36"/>
  <c r="H50"/>
  <c r="H35"/>
  <c r="H57"/>
  <c r="H20"/>
  <c r="H34"/>
  <c r="H25"/>
  <c r="H16"/>
  <c r="H33"/>
  <c r="H32"/>
  <c r="H31"/>
  <c r="H30"/>
  <c r="H9"/>
  <c r="H29"/>
  <c r="H61"/>
  <c r="A19" i="7"/>
  <c r="A20" s="1"/>
  <c r="A21" s="1"/>
  <c r="A22" s="1"/>
  <c r="A23" s="1"/>
  <c r="A24" s="1"/>
  <c r="A25" s="1"/>
  <c r="A26" s="1"/>
  <c r="A27" s="1"/>
  <c r="A28" s="1"/>
  <c r="A29" s="1"/>
  <c r="A30" s="1"/>
  <c r="A32" s="1"/>
  <c r="A33" s="1"/>
  <c r="A34" s="1"/>
  <c r="A35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1" s="1"/>
  <c r="A72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H18"/>
  <c r="F18"/>
  <c r="H135"/>
  <c r="F135"/>
  <c r="H73"/>
  <c r="F73"/>
  <c r="H70"/>
  <c r="F70"/>
  <c r="H36"/>
  <c r="F36"/>
  <c r="H31"/>
  <c r="F31"/>
  <c r="F33" i="5"/>
  <c r="H23"/>
  <c r="H20"/>
  <c r="H27"/>
  <c r="H22"/>
  <c r="H19"/>
  <c r="H7"/>
  <c r="H31"/>
  <c r="H30"/>
  <c r="H6"/>
  <c r="H26"/>
  <c r="H18"/>
  <c r="H12"/>
  <c r="H17"/>
  <c r="H5"/>
  <c r="H4"/>
  <c r="H25"/>
  <c r="H16"/>
  <c r="H3"/>
  <c r="H11"/>
  <c r="H9"/>
  <c r="H15"/>
  <c r="H14"/>
  <c r="H29"/>
  <c r="H18" i="4"/>
  <c r="F51"/>
  <c r="H49"/>
  <c r="H45"/>
  <c r="H43"/>
  <c r="H42"/>
  <c r="H41"/>
  <c r="H38"/>
  <c r="H35"/>
  <c r="H34"/>
  <c r="H33"/>
  <c r="H29"/>
  <c r="H28"/>
  <c r="H27"/>
  <c r="H26"/>
  <c r="H25"/>
  <c r="H24"/>
  <c r="H23"/>
  <c r="H22"/>
  <c r="H21"/>
  <c r="H19"/>
  <c r="H16"/>
  <c r="H12"/>
  <c r="H8"/>
  <c r="H7"/>
  <c r="H6"/>
  <c r="H4"/>
  <c r="H3"/>
  <c r="H16" i="2"/>
  <c r="H48"/>
  <c r="H46"/>
  <c r="H44"/>
  <c r="H42"/>
  <c r="H41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19"/>
  <c r="H18"/>
  <c r="H14"/>
  <c r="H12"/>
  <c r="H11"/>
  <c r="H9"/>
  <c r="H8"/>
  <c r="H7"/>
  <c r="H5"/>
  <c r="H3"/>
  <c r="H9" i="1"/>
  <c r="H34"/>
  <c r="H32"/>
  <c r="H7"/>
  <c r="H33"/>
  <c r="H31"/>
  <c r="H30"/>
  <c r="H29"/>
  <c r="H13"/>
  <c r="H28"/>
  <c r="H4"/>
  <c r="H5"/>
  <c r="H27"/>
  <c r="H26"/>
  <c r="H25"/>
  <c r="H37"/>
  <c r="H36"/>
  <c r="H24"/>
  <c r="H12"/>
  <c r="H23"/>
  <c r="H8"/>
  <c r="H22"/>
  <c r="H21"/>
  <c r="H20"/>
  <c r="H19"/>
  <c r="H11"/>
  <c r="H3"/>
  <c r="H35"/>
  <c r="H6"/>
  <c r="H18"/>
  <c r="H17"/>
  <c r="H16"/>
  <c r="H15"/>
  <c r="H10"/>
  <c r="H14"/>
  <c r="J61" i="8" l="1"/>
  <c r="J63" s="1"/>
  <c r="K63"/>
  <c r="K21"/>
  <c r="H51" i="4"/>
  <c r="H33" i="5"/>
  <c r="H38" i="1"/>
  <c r="H50" i="2"/>
  <c r="J51" i="11" l="1"/>
</calcChain>
</file>

<file path=xl/sharedStrings.xml><?xml version="1.0" encoding="utf-8"?>
<sst xmlns="http://schemas.openxmlformats.org/spreadsheetml/2006/main" count="2205" uniqueCount="627">
  <si>
    <t>PENCAIRAN KREDIT PLO BULAN FEBRUARI</t>
  </si>
  <si>
    <t>No</t>
  </si>
  <si>
    <t>Nama</t>
  </si>
  <si>
    <t>CIF</t>
  </si>
  <si>
    <t>Jenis Kredit</t>
  </si>
  <si>
    <t>rate</t>
  </si>
  <si>
    <t>Plafond</t>
  </si>
  <si>
    <t>Dinas</t>
  </si>
  <si>
    <t>NET</t>
  </si>
  <si>
    <t>SRI HARTATIK</t>
  </si>
  <si>
    <t>MGL08629</t>
  </si>
  <si>
    <t>PLO</t>
  </si>
  <si>
    <t>TRI HANDOYO</t>
  </si>
  <si>
    <t>PRM00863</t>
  </si>
  <si>
    <t>SUGENG</t>
  </si>
  <si>
    <t>PRM00372</t>
  </si>
  <si>
    <t>SUTRISNO</t>
  </si>
  <si>
    <t>00088173</t>
  </si>
  <si>
    <t>DARJONO</t>
  </si>
  <si>
    <t>SUDRAJAD</t>
  </si>
  <si>
    <t>00094592</t>
  </si>
  <si>
    <t>00107422</t>
  </si>
  <si>
    <t>RAKHMAT DARYONO</t>
  </si>
  <si>
    <t>00137284</t>
  </si>
  <si>
    <t>MARTINUS TRIE KUNTJORO</t>
  </si>
  <si>
    <t>00167288</t>
  </si>
  <si>
    <t>SRI WIDARTI</t>
  </si>
  <si>
    <t>00169933</t>
  </si>
  <si>
    <t>SOEPRIYANTA</t>
  </si>
  <si>
    <t>00214590</t>
  </si>
  <si>
    <t>SUMARNO</t>
  </si>
  <si>
    <t>00425822</t>
  </si>
  <si>
    <t>NI KETUT SARMI</t>
  </si>
  <si>
    <t>00439438</t>
  </si>
  <si>
    <t>SUPRAJITNO</t>
  </si>
  <si>
    <t>00473393</t>
  </si>
  <si>
    <t>ATIK SRI HARNANI</t>
  </si>
  <si>
    <t>00596372</t>
  </si>
  <si>
    <t>HIMATUL MUSTARINGAH</t>
  </si>
  <si>
    <t>00672960</t>
  </si>
  <si>
    <t>KABUL</t>
  </si>
  <si>
    <t>00864774</t>
  </si>
  <si>
    <t>HARY YULIANTO</t>
  </si>
  <si>
    <t>00943489</t>
  </si>
  <si>
    <t>SUPARJO</t>
  </si>
  <si>
    <t>00954052</t>
  </si>
  <si>
    <t>TRI PAMUNGKASIH</t>
  </si>
  <si>
    <t>00981752</t>
  </si>
  <si>
    <t>MUHAMMAD FAROID</t>
  </si>
  <si>
    <t>01014043</t>
  </si>
  <si>
    <t>ANTONIOUS THOMAS H</t>
  </si>
  <si>
    <t>01120195</t>
  </si>
  <si>
    <t>KUSTANINGSIH</t>
  </si>
  <si>
    <t>01180321</t>
  </si>
  <si>
    <t>ENDANG RISTUTI MUDALIFAH</t>
  </si>
  <si>
    <t>01186431</t>
  </si>
  <si>
    <t>INDRIANA ISMAYA DEWI</t>
  </si>
  <si>
    <t>01291810</t>
  </si>
  <si>
    <t>SUJARWA</t>
  </si>
  <si>
    <t>01300250</t>
  </si>
  <si>
    <t>UMIYATI</t>
  </si>
  <si>
    <t>01332150</t>
  </si>
  <si>
    <t>DHIAN AGUSTINA</t>
  </si>
  <si>
    <t>01571676</t>
  </si>
  <si>
    <t>CHALIM WIYANAH</t>
  </si>
  <si>
    <t>01698260</t>
  </si>
  <si>
    <t>SITI RAHAYU</t>
  </si>
  <si>
    <t>01938218</t>
  </si>
  <si>
    <t>SUPRIYANAH</t>
  </si>
  <si>
    <t>02380728</t>
  </si>
  <si>
    <t>SUPRIYONO</t>
  </si>
  <si>
    <t>02731914</t>
  </si>
  <si>
    <t>WAHYUNING</t>
  </si>
  <si>
    <t>02908453</t>
  </si>
  <si>
    <t>SAPTO MAHAYUPUTRO</t>
  </si>
  <si>
    <t>03160380</t>
  </si>
  <si>
    <t>NUNUNG PRAWOTO</t>
  </si>
  <si>
    <t>03160424</t>
  </si>
  <si>
    <t>CIPTO AJI PRILIANDOKO</t>
  </si>
  <si>
    <t>10096580</t>
  </si>
  <si>
    <t>PENSIUNAN</t>
  </si>
  <si>
    <t>DISPERINDAGKOP KOTA</t>
  </si>
  <si>
    <t>DINAS PDK MAGELANG UTA</t>
  </si>
  <si>
    <t>PENSIUNAN BANK JATENG</t>
  </si>
  <si>
    <t>BPMB &amp; KB KOTA MGL</t>
  </si>
  <si>
    <t>KEC.MAGELANG TENGAH</t>
  </si>
  <si>
    <t>DINAS PDK TEGALREJO</t>
  </si>
  <si>
    <t>KECAMATAN MAGELANG SEL</t>
  </si>
  <si>
    <t>RSU TIDAR MAGELANG</t>
  </si>
  <si>
    <t>SMPN 8 MAGELANG</t>
  </si>
  <si>
    <t>DINAS PDK KOTA MAGELAN</t>
  </si>
  <si>
    <t>DIKNAS CANDIMULYO</t>
  </si>
  <si>
    <t>PENSIUNAN ASABRI</t>
  </si>
  <si>
    <t>DINAS PDK MGL SELATAN</t>
  </si>
  <si>
    <t>Jenis</t>
  </si>
  <si>
    <t>Fee</t>
  </si>
  <si>
    <t>Pajak</t>
  </si>
  <si>
    <t>Bersih</t>
  </si>
  <si>
    <t>Rek Marketer</t>
  </si>
  <si>
    <t>KOMPENSIR</t>
  </si>
  <si>
    <t>BARU</t>
  </si>
  <si>
    <t>JUMLAH</t>
  </si>
  <si>
    <t>Magelang ,        Maret 2020</t>
  </si>
  <si>
    <t>PT BANK PEMBANGUNAN DAERAH</t>
  </si>
  <si>
    <t>JAWA TENGAH</t>
  </si>
  <si>
    <t>Cabang Pembantu Rejowinangun</t>
  </si>
  <si>
    <t>TOTOK KUSMINTARJO</t>
  </si>
  <si>
    <t>Pincapem</t>
  </si>
  <si>
    <t>FEE MARKETER PENCAIRAN KREDIT PLO BULAN MARET 2020</t>
  </si>
  <si>
    <t xml:space="preserve"> </t>
  </si>
  <si>
    <t>FEE MARKETER PENCAIRAN KREDIT PLO BULAN APRIL 2020</t>
  </si>
  <si>
    <t>NO</t>
  </si>
  <si>
    <t>SRI INDAH PUJI LESTARI</t>
  </si>
  <si>
    <t>PRM00789</t>
  </si>
  <si>
    <t>SRI INDARTI</t>
  </si>
  <si>
    <t>PRM01444</t>
  </si>
  <si>
    <t>MUHAMMAD ENDRO WIBOWO</t>
  </si>
  <si>
    <t>00020291</t>
  </si>
  <si>
    <t>NUNUK ISMUWARDANI</t>
  </si>
  <si>
    <t>00059627</t>
  </si>
  <si>
    <t>RAJEMI</t>
  </si>
  <si>
    <t>00081223</t>
  </si>
  <si>
    <t>ASRORI</t>
  </si>
  <si>
    <t>00148803</t>
  </si>
  <si>
    <t>SUSANTO</t>
  </si>
  <si>
    <t>00230687</t>
  </si>
  <si>
    <t>DJAMIL</t>
  </si>
  <si>
    <t>00270779</t>
  </si>
  <si>
    <t>TRI HARIJAWAN</t>
  </si>
  <si>
    <t>00365487</t>
  </si>
  <si>
    <t>ZULAIKAH</t>
  </si>
  <si>
    <t>00405413</t>
  </si>
  <si>
    <t>NUR HIDAYATI</t>
  </si>
  <si>
    <t>00427653</t>
  </si>
  <si>
    <t>SUMARSONO</t>
  </si>
  <si>
    <t>00471913</t>
  </si>
  <si>
    <t>LUTFI YUNIATI</t>
  </si>
  <si>
    <t>00573307</t>
  </si>
  <si>
    <t>WIGIYANTO</t>
  </si>
  <si>
    <t>00587047</t>
  </si>
  <si>
    <t>YANI ROSIPAH</t>
  </si>
  <si>
    <t>00702362</t>
  </si>
  <si>
    <t>JASMINAR</t>
  </si>
  <si>
    <t>00768544</t>
  </si>
  <si>
    <t>MUH DJAROBI RUSLI C SPD</t>
  </si>
  <si>
    <t>00936335</t>
  </si>
  <si>
    <t>NURDJANAH</t>
  </si>
  <si>
    <t>00942819</t>
  </si>
  <si>
    <t>NUNIK WAHYUNI</t>
  </si>
  <si>
    <t>00943449</t>
  </si>
  <si>
    <t>JOKO SUTRISNO</t>
  </si>
  <si>
    <t>00956457</t>
  </si>
  <si>
    <t>DWI KUNTARNO</t>
  </si>
  <si>
    <t>00964116</t>
  </si>
  <si>
    <t>MINIYATI</t>
  </si>
  <si>
    <t>01302746</t>
  </si>
  <si>
    <t>AGUS SANTOSA</t>
  </si>
  <si>
    <t>01500506</t>
  </si>
  <si>
    <t>SITI MARYAM</t>
  </si>
  <si>
    <t>01598202</t>
  </si>
  <si>
    <t>MUJIROH</t>
  </si>
  <si>
    <t>01790517</t>
  </si>
  <si>
    <t>SOPDJIATI</t>
  </si>
  <si>
    <t>02139472</t>
  </si>
  <si>
    <t>NASIKAH HIDAYATI</t>
  </si>
  <si>
    <t>02142251</t>
  </si>
  <si>
    <t>RESTU AGUSTINA AMBARWATI</t>
  </si>
  <si>
    <t>02576988</t>
  </si>
  <si>
    <t>MUHADI</t>
  </si>
  <si>
    <t>02678850</t>
  </si>
  <si>
    <t>SRI SUKARSIH</t>
  </si>
  <si>
    <t>02753475</t>
  </si>
  <si>
    <t>DJUMIRAH</t>
  </si>
  <si>
    <t>02859047</t>
  </si>
  <si>
    <t>TINA STIYANI</t>
  </si>
  <si>
    <t>02908452</t>
  </si>
  <si>
    <t>SUYATI</t>
  </si>
  <si>
    <t>03166751</t>
  </si>
  <si>
    <t>ISMA NAIMATUL HANI</t>
  </si>
  <si>
    <t>10096402</t>
  </si>
  <si>
    <t>DPU KOTA MGL</t>
  </si>
  <si>
    <t>Baru</t>
  </si>
  <si>
    <t>DIPENDA PROP CABANG MA</t>
  </si>
  <si>
    <t>Kompensir</t>
  </si>
  <si>
    <t>PENSIUNAN MAGELANG</t>
  </si>
  <si>
    <t xml:space="preserve">DISPERINDAGKOP KOTA </t>
  </si>
  <si>
    <t>TK NEGERI PEMBINA</t>
  </si>
  <si>
    <t>SEKRETARIAT KOTA MGL</t>
  </si>
  <si>
    <t>SMPN 2 CANDIMULYO</t>
  </si>
  <si>
    <t>SITI ROCHANIYAH</t>
  </si>
  <si>
    <t>MGL11491</t>
  </si>
  <si>
    <t>SIGIT WIDAYAT</t>
  </si>
  <si>
    <t>PRM01565</t>
  </si>
  <si>
    <t>NURJAEDI</t>
  </si>
  <si>
    <t>00078141</t>
  </si>
  <si>
    <t>SUGIYANTO</t>
  </si>
  <si>
    <t>00442711</t>
  </si>
  <si>
    <t>YULI RACHMAWATI</t>
  </si>
  <si>
    <t>VIVI HANDAYANI</t>
  </si>
  <si>
    <t>00458717</t>
  </si>
  <si>
    <t>DOEROCHIM</t>
  </si>
  <si>
    <t>00472802</t>
  </si>
  <si>
    <t>PRASTOWO KUSTIADI</t>
  </si>
  <si>
    <t>00473670</t>
  </si>
  <si>
    <t>BAGUS INDRAYANI</t>
  </si>
  <si>
    <t>00473679</t>
  </si>
  <si>
    <t>NUR WIDAYATI</t>
  </si>
  <si>
    <t>00628092</t>
  </si>
  <si>
    <t>WARDOYO</t>
  </si>
  <si>
    <t>00801728</t>
  </si>
  <si>
    <t>KUNTI PRIBANDANI KAESTI</t>
  </si>
  <si>
    <t>00942102</t>
  </si>
  <si>
    <t>SAMUDI</t>
  </si>
  <si>
    <t>00942318</t>
  </si>
  <si>
    <t>JUWARNI</t>
  </si>
  <si>
    <t>00944074</t>
  </si>
  <si>
    <t>SRI MAKMUR</t>
  </si>
  <si>
    <t>01302574</t>
  </si>
  <si>
    <t>ROSIDA KUS FAJARINI ASHIDIQ</t>
  </si>
  <si>
    <t>01302758</t>
  </si>
  <si>
    <t>DEDE PANCA PERMANA</t>
  </si>
  <si>
    <t>01338946</t>
  </si>
  <si>
    <t>SUKARI</t>
  </si>
  <si>
    <t>01901165</t>
  </si>
  <si>
    <t>RUSGIYANTO</t>
  </si>
  <si>
    <t>02068506</t>
  </si>
  <si>
    <t>MURTIJATI</t>
  </si>
  <si>
    <t>02528584</t>
  </si>
  <si>
    <t>SRI INDRAWATI</t>
  </si>
  <si>
    <t>03181489</t>
  </si>
  <si>
    <t>SRI DATI RAHAYU</t>
  </si>
  <si>
    <t>03182052</t>
  </si>
  <si>
    <t>PENSIUNAN 097</t>
  </si>
  <si>
    <t>00394604</t>
  </si>
  <si>
    <t>FEE MARKETER PENCAIRAN KREDIT PLO BULAN MEI 2020</t>
  </si>
  <si>
    <t>PENCAIRAN KREDIT PLO BULAN FEBRUARI-MEI</t>
  </si>
  <si>
    <t>FEE MARKETER PENCAIRAN KREDIT PLO BULAN JUNI 2020</t>
  </si>
  <si>
    <t>PRIYATI</t>
  </si>
  <si>
    <t>CBM01545</t>
  </si>
  <si>
    <t>LUCIA SUMYAH</t>
  </si>
  <si>
    <t>MGL08913</t>
  </si>
  <si>
    <t>NINIK SRIWAHYUNI</t>
  </si>
  <si>
    <t>PRM01144</t>
  </si>
  <si>
    <t>SUPRIYADI</t>
  </si>
  <si>
    <t>00059638</t>
  </si>
  <si>
    <t>NURHAYATI HASYIM</t>
  </si>
  <si>
    <t>00153724</t>
  </si>
  <si>
    <t>JARWOTO</t>
  </si>
  <si>
    <t>00165918</t>
  </si>
  <si>
    <t>SUBEKTI</t>
  </si>
  <si>
    <t>00207470</t>
  </si>
  <si>
    <t xml:space="preserve">KANEKO </t>
  </si>
  <si>
    <t>00215385</t>
  </si>
  <si>
    <t>SUHIRMAN</t>
  </si>
  <si>
    <t>00234493</t>
  </si>
  <si>
    <t>ROSIDA</t>
  </si>
  <si>
    <t>00365496</t>
  </si>
  <si>
    <t>AGUS HARYONO</t>
  </si>
  <si>
    <t>00381680</t>
  </si>
  <si>
    <t>SOLICHAH</t>
  </si>
  <si>
    <t>00429665</t>
  </si>
  <si>
    <t>SULARNI</t>
  </si>
  <si>
    <t>00593462</t>
  </si>
  <si>
    <t>SULISATIYAH</t>
  </si>
  <si>
    <t>00595535</t>
  </si>
  <si>
    <t>ITAH SENSUALITA</t>
  </si>
  <si>
    <t>00638659</t>
  </si>
  <si>
    <t>NUR TJAHJA</t>
  </si>
  <si>
    <t>00652058</t>
  </si>
  <si>
    <t>WHENY ARISANTI</t>
  </si>
  <si>
    <t>00774001</t>
  </si>
  <si>
    <t>SULISTYORINI</t>
  </si>
  <si>
    <t>SUTRISNO BASUKI</t>
  </si>
  <si>
    <t>01009410</t>
  </si>
  <si>
    <t>ANISYAH</t>
  </si>
  <si>
    <t>01094174</t>
  </si>
  <si>
    <t>SUKARTI</t>
  </si>
  <si>
    <t>01173941</t>
  </si>
  <si>
    <t>LILI SUGIATI</t>
  </si>
  <si>
    <t>01181662</t>
  </si>
  <si>
    <t>SUHARTINI</t>
  </si>
  <si>
    <t>01204309</t>
  </si>
  <si>
    <t>SOFIEKARTIKASARI</t>
  </si>
  <si>
    <t>01206677</t>
  </si>
  <si>
    <t>TRI ENDAH KARTIKA NINGSIH</t>
  </si>
  <si>
    <t>SARBINI</t>
  </si>
  <si>
    <t>01276034</t>
  </si>
  <si>
    <t>01292750</t>
  </si>
  <si>
    <t>IFTIRAS</t>
  </si>
  <si>
    <t>01393406</t>
  </si>
  <si>
    <t>KHABIB FAUZI</t>
  </si>
  <si>
    <t>01548405</t>
  </si>
  <si>
    <t>SRI SEDONO DJOKO</t>
  </si>
  <si>
    <t>01843437</t>
  </si>
  <si>
    <t>SUTINAH</t>
  </si>
  <si>
    <t>02163658</t>
  </si>
  <si>
    <t>HERI WALUYO</t>
  </si>
  <si>
    <t>02327286</t>
  </si>
  <si>
    <t>RIZKAWATI MUSTIAN</t>
  </si>
  <si>
    <t>02897203</t>
  </si>
  <si>
    <t>ZENUWARDIYANTO</t>
  </si>
  <si>
    <t>02908506</t>
  </si>
  <si>
    <t>SULARNO</t>
  </si>
  <si>
    <t>03188624</t>
  </si>
  <si>
    <t>AMINUDIN YUNUS</t>
  </si>
  <si>
    <t>03195618</t>
  </si>
  <si>
    <t>SMUN 3 KOTA MAGELANG</t>
  </si>
  <si>
    <t>SMUN 2 MAGELANG</t>
  </si>
  <si>
    <t>KTR. CATATAN SIPIL KAB</t>
  </si>
  <si>
    <t>00936349</t>
  </si>
  <si>
    <t>DIKNAS MAGELANG TENGAH</t>
  </si>
  <si>
    <t>NAMA</t>
  </si>
  <si>
    <t>JENIS KREDIT</t>
  </si>
  <si>
    <t>RATE</t>
  </si>
  <si>
    <t>PLAFOND</t>
  </si>
  <si>
    <t>2097000649 ( ERTI WIGIASTUTIK )</t>
  </si>
  <si>
    <t>JENIS</t>
  </si>
  <si>
    <t>FEE</t>
  </si>
  <si>
    <t>PAJAK</t>
  </si>
  <si>
    <t>BERSIH</t>
  </si>
  <si>
    <t>REK MARKETER</t>
  </si>
  <si>
    <t>3097048486 ( BARDAN )</t>
  </si>
  <si>
    <t>2097040055 (Suharmi)</t>
  </si>
  <si>
    <t>2097039570 ( Rahayu Wahyuningtyas )</t>
  </si>
  <si>
    <t>TOTAL</t>
  </si>
  <si>
    <t xml:space="preserve">Capem Ps Rejowinanagun </t>
  </si>
  <si>
    <t>FEE MARKETER PENCAIRAN KREDIT PLO BULAN JULI 2020</t>
  </si>
  <si>
    <t>MARYADI</t>
  </si>
  <si>
    <t>00077445PLO5</t>
  </si>
  <si>
    <t xml:space="preserve"> PENSIUNAN 097</t>
  </si>
  <si>
    <t>IMBUH PRASTOWO</t>
  </si>
  <si>
    <t>00473752PLO2</t>
  </si>
  <si>
    <t>EKO SITI WAHYUNI</t>
  </si>
  <si>
    <t>00673212PLO5</t>
  </si>
  <si>
    <t>TRI SUSIYATI</t>
  </si>
  <si>
    <t>00719006PLO1</t>
  </si>
  <si>
    <t>00978715PLO1</t>
  </si>
  <si>
    <t>SRI HANDAYANI</t>
  </si>
  <si>
    <t>03203503PLO1</t>
  </si>
  <si>
    <t>YAHMAN</t>
  </si>
  <si>
    <t>03208171PLO1</t>
  </si>
  <si>
    <t>MARTINI</t>
  </si>
  <si>
    <t>MGL11690PLO3</t>
  </si>
  <si>
    <t>MAHMUDIN</t>
  </si>
  <si>
    <t>PRM00357PLO7</t>
  </si>
  <si>
    <t>SADMA WAHJU DJATMIKA</t>
  </si>
  <si>
    <t>MGL11291PLO2</t>
  </si>
  <si>
    <t>KUSDI</t>
  </si>
  <si>
    <t>00473869PLO5</t>
  </si>
  <si>
    <t>ROMLAH UTAMI</t>
  </si>
  <si>
    <t>00768553PLO1</t>
  </si>
  <si>
    <t>RAHARDJO SARDI</t>
  </si>
  <si>
    <t>00805696PLO6</t>
  </si>
  <si>
    <t>ASNAWI RIDWAN</t>
  </si>
  <si>
    <t>PRM01612PLO6</t>
  </si>
  <si>
    <t>HESTI WIDAYADI</t>
  </si>
  <si>
    <t>PRM01660PLO5</t>
  </si>
  <si>
    <t>ATIK SUPRIYANI</t>
  </si>
  <si>
    <t>00573489PLO4</t>
  </si>
  <si>
    <t>LESTARI</t>
  </si>
  <si>
    <t>00655646PLO1</t>
  </si>
  <si>
    <t>SUBANDIYAH</t>
  </si>
  <si>
    <t>01299796PLO3</t>
  </si>
  <si>
    <t>ANDI HARI PURWANTO</t>
  </si>
  <si>
    <t>00659831PLO2</t>
  </si>
  <si>
    <t>DJAKA TAVIP PANTJA WIDAJAKA</t>
  </si>
  <si>
    <t>00936323PLO2</t>
  </si>
  <si>
    <t>NIKEN APRILLA PRATIWI</t>
  </si>
  <si>
    <t>02168940PLO2</t>
  </si>
  <si>
    <t>NOK MALIKAH</t>
  </si>
  <si>
    <t>02908371PLO1</t>
  </si>
  <si>
    <t>DANI ULFIANA</t>
  </si>
  <si>
    <t>02128887PLO3</t>
  </si>
  <si>
    <t>00964116PLO3</t>
  </si>
  <si>
    <t>00964116PLO4</t>
  </si>
  <si>
    <t>WIKE RISMAWATI</t>
  </si>
  <si>
    <t>10097651PLO1</t>
  </si>
  <si>
    <t>BANATUL CHASANAH</t>
  </si>
  <si>
    <t>01302550PLO3</t>
  </si>
  <si>
    <t>SUWARSIH</t>
  </si>
  <si>
    <t>MTL02608PLO5</t>
  </si>
  <si>
    <t>SUMINTEN</t>
  </si>
  <si>
    <t>MTL02697PLO6</t>
  </si>
  <si>
    <t>TATIK NURHAYATI</t>
  </si>
  <si>
    <t>01301222PLO8</t>
  </si>
  <si>
    <t>SMAN 1 CANDIMULYO</t>
  </si>
  <si>
    <t>RATNA PAMBARUNI</t>
  </si>
  <si>
    <t>00152321PLO7</t>
  </si>
  <si>
    <t>SMP 2 TEGALREJO</t>
  </si>
  <si>
    <t>2005246742 ( Supriyadi )</t>
  </si>
  <si>
    <t>Rekening Mareketer</t>
  </si>
  <si>
    <t>00625678PLO1</t>
  </si>
  <si>
    <t>12.00</t>
  </si>
  <si>
    <t>R/B-063-PENSIUNAN VIA BPD JATE</t>
  </si>
  <si>
    <t>00393518PLO2</t>
  </si>
  <si>
    <t>R/B-005-PENSIUNAN MAGELANG</t>
  </si>
  <si>
    <t>00711384PLO10</t>
  </si>
  <si>
    <t>11.00</t>
  </si>
  <si>
    <t>00960590PLO2</t>
  </si>
  <si>
    <t>01938218PLO7</t>
  </si>
  <si>
    <t>PRM00363PLO7</t>
  </si>
  <si>
    <t>01557992PLO3</t>
  </si>
  <si>
    <t>00266942PLO3</t>
  </si>
  <si>
    <t>R/B-008-DINAS PDK KOTA MAGELAN</t>
  </si>
  <si>
    <t>01302734PLO4</t>
  </si>
  <si>
    <t>MGL11668PLO7</t>
  </si>
  <si>
    <t>00104142PLO4</t>
  </si>
  <si>
    <t>00268400PLO8</t>
  </si>
  <si>
    <t>R/B 103 PENSIUNAN 097</t>
  </si>
  <si>
    <t>00362462PLO1</t>
  </si>
  <si>
    <t>00425822PLO3</t>
  </si>
  <si>
    <t>00924937PLO2</t>
  </si>
  <si>
    <t>01188391PLO3</t>
  </si>
  <si>
    <t>01552775PLO1</t>
  </si>
  <si>
    <t>02338556PLO4</t>
  </si>
  <si>
    <t>9.00</t>
  </si>
  <si>
    <t>02757948PLO2</t>
  </si>
  <si>
    <t>02907576PLO1</t>
  </si>
  <si>
    <t>03002439PLO1</t>
  </si>
  <si>
    <t>03212256PLO1</t>
  </si>
  <si>
    <t>PRM00548PLO8</t>
  </si>
  <si>
    <t>PRM00760PLO7</t>
  </si>
  <si>
    <t>11.50</t>
  </si>
  <si>
    <t>03216104PLO1</t>
  </si>
  <si>
    <t>10.00</t>
  </si>
  <si>
    <t>R/B 159 PENSIUNAN ASABRI</t>
  </si>
  <si>
    <t>03226175PLO1</t>
  </si>
  <si>
    <t>SUDARTO</t>
  </si>
  <si>
    <t>MUKTI SARI</t>
  </si>
  <si>
    <t>SRI RAHAYU</t>
  </si>
  <si>
    <t>WINARNI WASPOWATI</t>
  </si>
  <si>
    <t>AGUS BAMBANG SUGENG</t>
  </si>
  <si>
    <t>EKO PURWANTO</t>
  </si>
  <si>
    <t>TUTTY YUNIATI</t>
  </si>
  <si>
    <t>SRI MUJI WAHYUNI</t>
  </si>
  <si>
    <t>RUKIYAH</t>
  </si>
  <si>
    <t>YOYOK ARYANTO</t>
  </si>
  <si>
    <t>DULHADI</t>
  </si>
  <si>
    <t>AKTIP SULISTIYANA</t>
  </si>
  <si>
    <t>TRIMO</t>
  </si>
  <si>
    <t>NING WIDORUKMI C</t>
  </si>
  <si>
    <t>SRI BUDIYANTI</t>
  </si>
  <si>
    <t>MUSTAKIM</t>
  </si>
  <si>
    <t>JUMINI</t>
  </si>
  <si>
    <t>SUNARDI</t>
  </si>
  <si>
    <t>NINING YUNI PAWITRANINGSIH</t>
  </si>
  <si>
    <t>SUPARNO</t>
  </si>
  <si>
    <t>ELISABETH SITI RAHAYU</t>
  </si>
  <si>
    <t>SUDARMI</t>
  </si>
  <si>
    <t>WARIYEM</t>
  </si>
  <si>
    <t>TRI HARYONO</t>
  </si>
  <si>
    <t>KMN</t>
  </si>
  <si>
    <t>BANK JATENG CP REJOWINANGUN</t>
  </si>
  <si>
    <t>3097048486 (BARDAN)</t>
  </si>
  <si>
    <t>2005246742 (Supriyadi)</t>
  </si>
  <si>
    <t>2097000649 (ERTI WIGIASTUTIK)</t>
  </si>
  <si>
    <t>FEE MARKETER PENCAIRAN KREDIT PLO BULAN AGUSTUS 2020</t>
  </si>
  <si>
    <t>FEE MARKETER PENCAIRAN KREDIT PLO BULAN SEPTEMBER 2020</t>
  </si>
  <si>
    <t>MUH THOYIB</t>
  </si>
  <si>
    <t>02556527</t>
  </si>
  <si>
    <t>KHUSNUL KHOTIMAH</t>
  </si>
  <si>
    <t>PRM00261</t>
  </si>
  <si>
    <t>SUGIYARTI</t>
  </si>
  <si>
    <t>PRM00312</t>
  </si>
  <si>
    <t>MEI SUSANTI</t>
  </si>
  <si>
    <t>00606773</t>
  </si>
  <si>
    <t>ANISA USWATUN HASANAH</t>
  </si>
  <si>
    <t>02908477</t>
  </si>
  <si>
    <t>ANA HERMAWATI</t>
  </si>
  <si>
    <t>00719452</t>
  </si>
  <si>
    <t>ASRUL HADI</t>
  </si>
  <si>
    <t>00946056</t>
  </si>
  <si>
    <t>SUMIJAN</t>
  </si>
  <si>
    <t>00151780</t>
  </si>
  <si>
    <t>SRI PARTINI RETNOWATI</t>
  </si>
  <si>
    <t>MGL06235</t>
  </si>
  <si>
    <t>00719006</t>
  </si>
  <si>
    <t>ARIS MUNANDAR</t>
  </si>
  <si>
    <t>00893646</t>
  </si>
  <si>
    <t>SUKAMTO MAKHURIUS</t>
  </si>
  <si>
    <t>00942644</t>
  </si>
  <si>
    <t>SUPARDIAN</t>
  </si>
  <si>
    <t>00942889</t>
  </si>
  <si>
    <t>IMAM SYAFII</t>
  </si>
  <si>
    <t>00943181</t>
  </si>
  <si>
    <t>TIBYANI</t>
  </si>
  <si>
    <t>00943492</t>
  </si>
  <si>
    <t>SRI UPAMI</t>
  </si>
  <si>
    <t>01313761</t>
  </si>
  <si>
    <t>FAUSTINUS DJUWARI</t>
  </si>
  <si>
    <t>01576674</t>
  </si>
  <si>
    <t>TRIHADI</t>
  </si>
  <si>
    <t>02567548</t>
  </si>
  <si>
    <t>SAMSIYEM</t>
  </si>
  <si>
    <t>02983509</t>
  </si>
  <si>
    <t>ISTIKOMAH</t>
  </si>
  <si>
    <t>03253218</t>
  </si>
  <si>
    <t>M. BUNDJARI</t>
  </si>
  <si>
    <t>03255778</t>
  </si>
  <si>
    <t>SURIP WINDARTIK</t>
  </si>
  <si>
    <t>02618381</t>
  </si>
  <si>
    <t>MOCH DAHMAN</t>
  </si>
  <si>
    <t>03247035</t>
  </si>
  <si>
    <t>YULIATI</t>
  </si>
  <si>
    <t>PRM01479</t>
  </si>
  <si>
    <t>ARIEF MUSTOFA</t>
  </si>
  <si>
    <t>00942690</t>
  </si>
  <si>
    <t>MARWADI</t>
  </si>
  <si>
    <t>00955458</t>
  </si>
  <si>
    <t>AZIZ MUSHOFA</t>
  </si>
  <si>
    <t>01226993</t>
  </si>
  <si>
    <t>SMPN I CANDIMULYO</t>
  </si>
  <si>
    <t>DWI SUTARI</t>
  </si>
  <si>
    <t>01302594</t>
  </si>
  <si>
    <t>ARSYIANA WULANDARI</t>
  </si>
  <si>
    <t>02833903</t>
  </si>
  <si>
    <t>UOB MAGELANG</t>
  </si>
  <si>
    <t>SENDY NATALIA MUSAY</t>
  </si>
  <si>
    <t>03237862</t>
  </si>
  <si>
    <t>KARINA</t>
  </si>
  <si>
    <t>03249837</t>
  </si>
  <si>
    <t>MELIA RAHAYU</t>
  </si>
  <si>
    <t>03250884</t>
  </si>
  <si>
    <t>DINAS</t>
  </si>
  <si>
    <t>NET PENCAIRAN</t>
  </si>
  <si>
    <t>FEE BRUTO</t>
  </si>
  <si>
    <t>FEE NETTO</t>
  </si>
  <si>
    <t>SARYADI</t>
  </si>
  <si>
    <t>00943113PLO1</t>
  </si>
  <si>
    <t>R/B-007-DINAS PDK TEGALREJO</t>
  </si>
  <si>
    <t>EKA PRAMUJI</t>
  </si>
  <si>
    <t>01791003PLO3</t>
  </si>
  <si>
    <t>ROHMINI</t>
  </si>
  <si>
    <t>01816966PLO3</t>
  </si>
  <si>
    <t>PARTIROHMAH</t>
  </si>
  <si>
    <t>01302357PLO4</t>
  </si>
  <si>
    <t>R/B-019-TK NEGERI PEMBINA</t>
  </si>
  <si>
    <t>NAIMATUN CHOIRIYAH</t>
  </si>
  <si>
    <t>00942476PLO05</t>
  </si>
  <si>
    <t>TJIPTO SLAMET SARTONO</t>
  </si>
  <si>
    <t>03275686PLO01</t>
  </si>
  <si>
    <t>SRI ROHYATI</t>
  </si>
  <si>
    <t>01302815PLO05</t>
  </si>
  <si>
    <t>SUKARNO</t>
  </si>
  <si>
    <t>00955463PLO01</t>
  </si>
  <si>
    <t>00955463PLO02</t>
  </si>
  <si>
    <t>SUMILAH</t>
  </si>
  <si>
    <t>00104062PLO02</t>
  </si>
  <si>
    <t>2005002284 ( Novi Setyowati )</t>
  </si>
  <si>
    <t>3097021227 ( Sutrisno )</t>
  </si>
  <si>
    <t>FEE MARKETER PENCAIRAN KREDIT PLO BULAN NOVEMBER 2020</t>
  </si>
  <si>
    <t>FEE MARKETER PENCAIRAN KREDIT PLO BULAN DESEMBER 2020</t>
  </si>
  <si>
    <t>SABAR</t>
  </si>
  <si>
    <t>00399219PLO1</t>
  </si>
  <si>
    <t>YASMUDI</t>
  </si>
  <si>
    <t>00939900PLO3</t>
  </si>
  <si>
    <t>ARBIYATUN</t>
  </si>
  <si>
    <t>02608203PLO1</t>
  </si>
  <si>
    <t>YUYUK SUFARONTARI</t>
  </si>
  <si>
    <t>01302826PLO1</t>
  </si>
  <si>
    <t>SAE PAWARTI</t>
  </si>
  <si>
    <t>MGL11374PLO7</t>
  </si>
  <si>
    <t>RAHMATIYAH AYU IRIANI</t>
  </si>
  <si>
    <t>10096630PLO1</t>
  </si>
  <si>
    <t>R/B-074-DIKNAS CANDIMULYO</t>
  </si>
  <si>
    <t>LB11</t>
  </si>
  <si>
    <t>097</t>
  </si>
  <si>
    <t>KR128</t>
  </si>
  <si>
    <t>6607/PK/BPD/RJW/I/2021</t>
  </si>
  <si>
    <t xml:space="preserve">97036607                 </t>
  </si>
  <si>
    <t>8097001597</t>
  </si>
  <si>
    <t>03316412PLO1</t>
  </si>
  <si>
    <t>TJAHYONO</t>
  </si>
  <si>
    <t>KR032</t>
  </si>
  <si>
    <t>6584/PK/BPD/RJW/I/2021</t>
  </si>
  <si>
    <t xml:space="preserve">97036584                 </t>
  </si>
  <si>
    <t>8097000074</t>
  </si>
  <si>
    <t>02558302PLO2</t>
  </si>
  <si>
    <t>MIKAEL SRI HARYANTO</t>
  </si>
  <si>
    <t>FEE MARKETER PENCAIRAN KREDIT PLO BULAN JANUARI 2021</t>
  </si>
  <si>
    <t>PROGRAM CUSTOMER GET CUSTOMER</t>
  </si>
  <si>
    <t>PENCAIRAN KREDIT PLO BULAN MARET 2021</t>
  </si>
  <si>
    <t>MUKTI SURAHMANIKA</t>
  </si>
  <si>
    <t>SUHARI</t>
  </si>
  <si>
    <t>03344463PLO1</t>
  </si>
  <si>
    <t>03338190PLO1</t>
  </si>
  <si>
    <t>03346236PLO1</t>
  </si>
  <si>
    <t>DIANA IKA PUSPITO SARI</t>
  </si>
  <si>
    <t>00422892PLO3</t>
  </si>
  <si>
    <t>01120243PLO1</t>
  </si>
  <si>
    <t>BUDI SUPARTI</t>
  </si>
  <si>
    <t xml:space="preserve"> PENSIUNAN ASABRI</t>
  </si>
  <si>
    <t>DINAS PDK MAGELANG UTARA</t>
  </si>
  <si>
    <t>2097040055  (SUHARMI)</t>
  </si>
  <si>
    <t>25110</t>
  </si>
  <si>
    <t>TERIMA BERSIH</t>
  </si>
  <si>
    <t>REKENING MARKETER</t>
  </si>
  <si>
    <t>Atas Nama</t>
  </si>
  <si>
    <t>00655646PLO2</t>
  </si>
  <si>
    <t>SUPARMI</t>
  </si>
  <si>
    <t>MGL11398PLO10</t>
  </si>
  <si>
    <t>RIYATI</t>
  </si>
  <si>
    <t>01300694PLO1</t>
  </si>
  <si>
    <t>R/B-049-SMPN I CANDIMULYO</t>
  </si>
  <si>
    <t>PENCAIRAN KREDIT PLO BULAN AGUSTUS 2021</t>
  </si>
  <si>
    <t>PLO (BH)</t>
  </si>
  <si>
    <t>UPT KEC. TEGALREJO</t>
  </si>
  <si>
    <t>UPT KEC. CANDIMULYO</t>
  </si>
  <si>
    <t>KEC. MAGELANG TENGAH</t>
  </si>
  <si>
    <t>3005096919 (RIRIN SETYA KUSRINI)</t>
  </si>
  <si>
    <t>2005132072 (SRI RAHAYU)</t>
  </si>
  <si>
    <t>2097046568 (ROCHMAT WIDODO)</t>
  </si>
  <si>
    <t>BAKTI SURONO</t>
  </si>
  <si>
    <t>SRI INDRASWOROWATI</t>
  </si>
  <si>
    <t>MULTAZAM</t>
  </si>
  <si>
    <t>JEFRI SONA</t>
  </si>
  <si>
    <t>00201050</t>
  </si>
  <si>
    <t>02552998</t>
  </si>
  <si>
    <t>00569135</t>
  </si>
  <si>
    <t>02169793</t>
  </si>
  <si>
    <t>BY. PROMOSI</t>
  </si>
  <si>
    <t>ARDIAN MIANTOMO</t>
  </si>
  <si>
    <t>00962117</t>
  </si>
  <si>
    <t>WIKU ENDRASMOYO</t>
  </si>
  <si>
    <t>00823291</t>
  </si>
  <si>
    <t>3005209535 ( I MADE PATRA)</t>
  </si>
  <si>
    <t>SMP N 11 MAGELANG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</si>
</sst>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0.0%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2">
    <xf numFmtId="0" fontId="0" fillId="0" borderId="0" xfId="0"/>
    <xf numFmtId="41" fontId="1" fillId="0" borderId="0" xfId="1" applyFont="1"/>
    <xf numFmtId="0" fontId="0" fillId="0" borderId="2" xfId="0" applyBorder="1"/>
    <xf numFmtId="9" fontId="1" fillId="0" borderId="2" xfId="2" applyNumberFormat="1" applyFont="1" applyBorder="1"/>
    <xf numFmtId="41" fontId="1" fillId="0" borderId="2" xfId="1" applyFont="1" applyFill="1" applyBorder="1"/>
    <xf numFmtId="41" fontId="0" fillId="0" borderId="2" xfId="1" applyFont="1" applyBorder="1"/>
    <xf numFmtId="41" fontId="1" fillId="0" borderId="2" xfId="1" applyFont="1" applyBorder="1"/>
    <xf numFmtId="41" fontId="0" fillId="0" borderId="2" xfId="1" applyFont="1" applyFill="1" applyBorder="1"/>
    <xf numFmtId="41" fontId="0" fillId="0" borderId="0" xfId="1" applyFont="1"/>
    <xf numFmtId="164" fontId="0" fillId="0" borderId="0" xfId="2" applyNumberFormat="1" applyFont="1"/>
    <xf numFmtId="9" fontId="0" fillId="0" borderId="0" xfId="2" applyNumberFormat="1" applyFont="1"/>
    <xf numFmtId="41" fontId="0" fillId="0" borderId="2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0" xfId="1" quotePrefix="1" applyFont="1" applyAlignment="1">
      <alignment horizontal="left"/>
    </xf>
    <xf numFmtId="0" fontId="0" fillId="0" borderId="0" xfId="0" applyAlignment="1">
      <alignment horizontal="left"/>
    </xf>
    <xf numFmtId="41" fontId="0" fillId="0" borderId="0" xfId="0" applyNumberFormat="1"/>
    <xf numFmtId="41" fontId="0" fillId="0" borderId="2" xfId="1" quotePrefix="1" applyFont="1" applyBorder="1" applyAlignment="1">
      <alignment horizontal="left"/>
    </xf>
    <xf numFmtId="9" fontId="0" fillId="0" borderId="2" xfId="2" applyNumberFormat="1" applyFont="1" applyBorder="1"/>
    <xf numFmtId="164" fontId="0" fillId="0" borderId="2" xfId="2" applyNumberFormat="1" applyFont="1" applyBorder="1"/>
    <xf numFmtId="41" fontId="0" fillId="0" borderId="2" xfId="0" applyNumberFormat="1" applyBorder="1"/>
    <xf numFmtId="0" fontId="0" fillId="0" borderId="2" xfId="0" quotePrefix="1" applyBorder="1"/>
    <xf numFmtId="0" fontId="0" fillId="0" borderId="0" xfId="0" applyBorder="1"/>
    <xf numFmtId="41" fontId="0" fillId="0" borderId="12" xfId="1" applyFont="1" applyBorder="1"/>
    <xf numFmtId="41" fontId="2" fillId="0" borderId="0" xfId="1" applyFont="1" applyBorder="1" applyAlignment="1"/>
    <xf numFmtId="9" fontId="0" fillId="0" borderId="2" xfId="0" applyNumberFormat="1" applyBorder="1"/>
    <xf numFmtId="41" fontId="3" fillId="0" borderId="2" xfId="0" applyNumberFormat="1" applyFont="1" applyBorder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1" fontId="2" fillId="0" borderId="1" xfId="1" applyFont="1" applyBorder="1" applyAlignment="1">
      <alignment horizontal="center"/>
    </xf>
    <xf numFmtId="41" fontId="3" fillId="0" borderId="2" xfId="1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horizontal="center"/>
    </xf>
    <xf numFmtId="41" fontId="3" fillId="0" borderId="2" xfId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1" fontId="3" fillId="0" borderId="2" xfId="1" applyFont="1" applyBorder="1"/>
    <xf numFmtId="164" fontId="3" fillId="0" borderId="2" xfId="2" applyNumberFormat="1" applyFont="1" applyBorder="1" applyAlignment="1">
      <alignment horizontal="center"/>
    </xf>
    <xf numFmtId="41" fontId="3" fillId="0" borderId="2" xfId="1" applyFont="1" applyFill="1" applyBorder="1" applyAlignment="1">
      <alignment horizontal="center"/>
    </xf>
    <xf numFmtId="41" fontId="0" fillId="0" borderId="2" xfId="1" applyFont="1" applyBorder="1" applyAlignment="1">
      <alignment horizontal="center"/>
    </xf>
    <xf numFmtId="9" fontId="1" fillId="0" borderId="2" xfId="2" applyFont="1" applyBorder="1"/>
    <xf numFmtId="0" fontId="0" fillId="0" borderId="2" xfId="0" applyBorder="1" applyAlignment="1">
      <alignment horizontal="center"/>
    </xf>
    <xf numFmtId="9" fontId="0" fillId="0" borderId="2" xfId="2" applyFont="1" applyBorder="1"/>
    <xf numFmtId="9" fontId="0" fillId="0" borderId="0" xfId="2" applyFont="1"/>
    <xf numFmtId="0" fontId="0" fillId="0" borderId="0" xfId="1" applyNumberFormat="1" applyFo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3" fillId="0" borderId="2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41" fontId="0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41" fontId="0" fillId="0" borderId="2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41" fontId="2" fillId="0" borderId="1" xfId="1" applyFont="1" applyBorder="1" applyAlignment="1">
      <alignment horizontal="center"/>
    </xf>
    <xf numFmtId="41" fontId="2" fillId="0" borderId="0" xfId="1" applyFont="1" applyBorder="1" applyAlignment="1">
      <alignment horizontal="center"/>
    </xf>
    <xf numFmtId="41" fontId="0" fillId="0" borderId="2" xfId="1" quotePrefix="1" applyFont="1" applyBorder="1"/>
    <xf numFmtId="41" fontId="3" fillId="0" borderId="2" xfId="1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41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41" fontId="3" fillId="0" borderId="2" xfId="1" applyFont="1" applyBorder="1" applyAlignment="1">
      <alignment horizontal="center" vertical="top" wrapText="1"/>
    </xf>
    <xf numFmtId="164" fontId="3" fillId="0" borderId="2" xfId="2" applyNumberFormat="1" applyFont="1" applyBorder="1" applyAlignment="1">
      <alignment horizontal="center" vertical="top" wrapText="1"/>
    </xf>
    <xf numFmtId="41" fontId="3" fillId="0" borderId="2" xfId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41" fontId="3" fillId="0" borderId="2" xfId="1" applyFont="1" applyBorder="1" applyAlignment="1">
      <alignment horizontal="center"/>
    </xf>
    <xf numFmtId="41" fontId="2" fillId="0" borderId="0" xfId="1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/>
    <xf numFmtId="41" fontId="0" fillId="0" borderId="12" xfId="1" applyFont="1" applyBorder="1" applyAlignment="1">
      <alignment horizontal="center"/>
    </xf>
    <xf numFmtId="41" fontId="0" fillId="0" borderId="12" xfId="1" applyFont="1" applyBorder="1" applyAlignment="1">
      <alignment horizontal="left"/>
    </xf>
    <xf numFmtId="9" fontId="1" fillId="0" borderId="12" xfId="2" applyNumberFormat="1" applyFont="1" applyBorder="1"/>
    <xf numFmtId="41" fontId="0" fillId="0" borderId="12" xfId="1" applyFont="1" applyFill="1" applyBorder="1"/>
    <xf numFmtId="41" fontId="1" fillId="0" borderId="12" xfId="1" applyFont="1" applyFill="1" applyBorder="1"/>
    <xf numFmtId="41" fontId="1" fillId="0" borderId="12" xfId="1" applyFont="1" applyBorder="1"/>
    <xf numFmtId="0" fontId="0" fillId="0" borderId="12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41" fontId="0" fillId="0" borderId="0" xfId="1" applyFont="1" applyBorder="1"/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41" fontId="3" fillId="0" borderId="12" xfId="1" applyFont="1" applyBorder="1" applyAlignment="1">
      <alignment horizontal="center"/>
    </xf>
    <xf numFmtId="9" fontId="3" fillId="0" borderId="12" xfId="2" applyNumberFormat="1" applyFont="1" applyBorder="1" applyAlignment="1">
      <alignment horizontal="center"/>
    </xf>
    <xf numFmtId="41" fontId="3" fillId="0" borderId="12" xfId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41" fontId="2" fillId="0" borderId="0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3" fillId="0" borderId="2" xfId="1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1" fontId="3" fillId="0" borderId="2" xfId="1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41" fontId="0" fillId="0" borderId="3" xfId="0" applyNumberFormat="1" applyBorder="1"/>
    <xf numFmtId="0" fontId="0" fillId="0" borderId="3" xfId="0" applyBorder="1"/>
    <xf numFmtId="0" fontId="0" fillId="0" borderId="4" xfId="0" applyBorder="1"/>
    <xf numFmtId="9" fontId="3" fillId="0" borderId="2" xfId="2" applyNumberFormat="1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1" fontId="3" fillId="0" borderId="2" xfId="1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0" xfId="0" applyNumberFormat="1"/>
    <xf numFmtId="41" fontId="3" fillId="0" borderId="2" xfId="1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41" fontId="3" fillId="0" borderId="5" xfId="1" applyFont="1" applyFill="1" applyBorder="1" applyAlignment="1">
      <alignment horizontal="center"/>
    </xf>
    <xf numFmtId="41" fontId="3" fillId="0" borderId="6" xfId="1" applyFont="1" applyFill="1" applyBorder="1" applyAlignment="1">
      <alignment horizontal="center"/>
    </xf>
    <xf numFmtId="41" fontId="3" fillId="0" borderId="2" xfId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9" fontId="3" fillId="0" borderId="12" xfId="2" applyNumberFormat="1" applyFont="1" applyBorder="1" applyAlignment="1">
      <alignment horizontal="center" vertical="center"/>
    </xf>
    <xf numFmtId="41" fontId="3" fillId="0" borderId="12" xfId="1" applyFont="1" applyFill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/>
    </xf>
    <xf numFmtId="41" fontId="3" fillId="0" borderId="2" xfId="1" quotePrefix="1" applyFont="1" applyFill="1" applyBorder="1" applyAlignment="1">
      <alignment horizontal="center"/>
    </xf>
    <xf numFmtId="9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41" fontId="1" fillId="0" borderId="2" xfId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41" fontId="3" fillId="0" borderId="13" xfId="1" applyFont="1" applyFill="1" applyBorder="1" applyAlignment="1">
      <alignment horizontal="center" vertical="center"/>
    </xf>
    <xf numFmtId="41" fontId="3" fillId="0" borderId="12" xfId="1" applyFont="1" applyFill="1" applyBorder="1" applyAlignment="1">
      <alignment horizontal="center" vertical="center"/>
    </xf>
    <xf numFmtId="41" fontId="3" fillId="0" borderId="13" xfId="1" applyFont="1" applyFill="1" applyBorder="1" applyAlignment="1">
      <alignment horizontal="center" vertical="center" wrapText="1"/>
    </xf>
    <xf numFmtId="41" fontId="3" fillId="0" borderId="12" xfId="1" applyFont="1" applyFill="1" applyBorder="1" applyAlignment="1">
      <alignment horizontal="center" vertical="center" wrapText="1"/>
    </xf>
    <xf numFmtId="41" fontId="3" fillId="0" borderId="5" xfId="1" applyFont="1" applyFill="1" applyBorder="1" applyAlignment="1">
      <alignment horizontal="center" vertical="center" wrapText="1"/>
    </xf>
    <xf numFmtId="41" fontId="3" fillId="0" borderId="6" xfId="1" applyFont="1" applyFill="1" applyBorder="1" applyAlignment="1">
      <alignment horizontal="center" vertical="center" wrapText="1"/>
    </xf>
    <xf numFmtId="41" fontId="3" fillId="0" borderId="9" xfId="1" applyFont="1" applyFill="1" applyBorder="1" applyAlignment="1">
      <alignment horizontal="center" vertical="center" wrapText="1"/>
    </xf>
    <xf numFmtId="41" fontId="3" fillId="0" borderId="10" xfId="1" applyFont="1" applyFill="1" applyBorder="1" applyAlignment="1">
      <alignment horizontal="center" vertical="center" wrapText="1"/>
    </xf>
    <xf numFmtId="41" fontId="3" fillId="0" borderId="13" xfId="1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9" fontId="3" fillId="0" borderId="13" xfId="2" applyNumberFormat="1" applyFont="1" applyBorder="1" applyAlignment="1">
      <alignment horizontal="center" vertical="center"/>
    </xf>
    <xf numFmtId="9" fontId="3" fillId="0" borderId="12" xfId="2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center"/>
    </xf>
    <xf numFmtId="41" fontId="3" fillId="0" borderId="11" xfId="1" applyFont="1" applyBorder="1" applyAlignment="1">
      <alignment horizontal="center"/>
    </xf>
    <xf numFmtId="41" fontId="3" fillId="0" borderId="4" xfId="1" applyFont="1" applyBorder="1" applyAlignment="1">
      <alignment horizontal="center"/>
    </xf>
    <xf numFmtId="41" fontId="3" fillId="0" borderId="2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1" fontId="2" fillId="0" borderId="0" xfId="1" applyFont="1" applyBorder="1" applyAlignment="1">
      <alignment horizontal="center"/>
    </xf>
    <xf numFmtId="0" fontId="0" fillId="0" borderId="2" xfId="0" applyBorder="1" applyAlignment="1">
      <alignment horizontal="center"/>
    </xf>
    <xf numFmtId="42" fontId="3" fillId="0" borderId="13" xfId="3" applyFont="1" applyBorder="1" applyAlignment="1">
      <alignment horizontal="center" vertical="center" wrapText="1"/>
    </xf>
    <xf numFmtId="42" fontId="3" fillId="0" borderId="12" xfId="3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41" fontId="2" fillId="0" borderId="1" xfId="1" applyFont="1" applyBorder="1" applyAlignment="1">
      <alignment horizontal="center"/>
    </xf>
    <xf numFmtId="41" fontId="3" fillId="0" borderId="3" xfId="1" applyFont="1" applyFill="1" applyBorder="1" applyAlignment="1">
      <alignment horizontal="center"/>
    </xf>
    <xf numFmtId="41" fontId="3" fillId="0" borderId="4" xfId="1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41" fontId="3" fillId="0" borderId="3" xfId="1" applyFont="1" applyFill="1" applyBorder="1" applyAlignment="1">
      <alignment horizontal="center" vertical="center"/>
    </xf>
    <xf numFmtId="41" fontId="3" fillId="0" borderId="4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1" fontId="3" fillId="0" borderId="3" xfId="1" applyFont="1" applyFill="1" applyBorder="1" applyAlignment="1">
      <alignment horizontal="center" vertical="top" wrapText="1"/>
    </xf>
    <xf numFmtId="41" fontId="3" fillId="0" borderId="4" xfId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3" xfId="1" applyFont="1" applyFill="1" applyBorder="1" applyAlignment="1">
      <alignment horizontal="center"/>
    </xf>
    <xf numFmtId="41" fontId="1" fillId="0" borderId="4" xfId="1" applyFont="1" applyFill="1" applyBorder="1" applyAlignment="1">
      <alignment horizontal="center"/>
    </xf>
    <xf numFmtId="41" fontId="0" fillId="0" borderId="3" xfId="1" applyFont="1" applyBorder="1" applyAlignment="1">
      <alignment horizontal="center"/>
    </xf>
    <xf numFmtId="41" fontId="0" fillId="0" borderId="11" xfId="1" applyFont="1" applyBorder="1" applyAlignment="1">
      <alignment horizontal="center"/>
    </xf>
    <xf numFmtId="41" fontId="0" fillId="0" borderId="4" xfId="1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41" fontId="0" fillId="0" borderId="2" xfId="0" applyNumberForma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">
    <cellStyle name="Comma [0]" xfId="1" builtinId="6"/>
    <cellStyle name="Currency [0]" xfId="3" builtinId="7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M23" sqref="M23:N25"/>
    </sheetView>
  </sheetViews>
  <sheetFormatPr defaultRowHeight="15"/>
  <cols>
    <col min="1" max="1" width="3.7109375" customWidth="1"/>
    <col min="2" max="2" width="22.7109375" customWidth="1"/>
    <col min="3" max="3" width="11.85546875" customWidth="1"/>
    <col min="5" max="5" width="6.140625" customWidth="1"/>
    <col min="6" max="6" width="13" style="8" customWidth="1"/>
    <col min="7" max="7" width="23.5703125" customWidth="1"/>
    <col min="8" max="8" width="12.5703125" bestFit="1" customWidth="1"/>
    <col min="9" max="9" width="0" hidden="1" customWidth="1"/>
    <col min="10" max="10" width="13.28515625" style="8" customWidth="1"/>
    <col min="11" max="11" width="9.140625" style="8"/>
    <col min="12" max="12" width="10.7109375" style="8" customWidth="1"/>
    <col min="13" max="13" width="14.42578125" style="14" bestFit="1" customWidth="1"/>
    <col min="14" max="14" width="16.42578125" customWidth="1"/>
  </cols>
  <sheetData>
    <row r="1" spans="1:14" ht="18.75">
      <c r="A1" s="160" t="s">
        <v>580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4" ht="18.75">
      <c r="A2" s="160" t="s">
        <v>604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14" ht="18.7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4" s="58" customFormat="1">
      <c r="A4" s="149" t="s">
        <v>111</v>
      </c>
      <c r="B4" s="149" t="s">
        <v>311</v>
      </c>
      <c r="C4" s="149" t="s">
        <v>3</v>
      </c>
      <c r="D4" s="162" t="s">
        <v>4</v>
      </c>
      <c r="E4" s="151" t="s">
        <v>313</v>
      </c>
      <c r="F4" s="141" t="s">
        <v>314</v>
      </c>
      <c r="G4" s="141" t="s">
        <v>523</v>
      </c>
      <c r="H4" s="141" t="s">
        <v>8</v>
      </c>
      <c r="I4" s="141" t="s">
        <v>316</v>
      </c>
      <c r="J4" s="128" t="s">
        <v>620</v>
      </c>
      <c r="K4" s="129" t="s">
        <v>318</v>
      </c>
      <c r="L4" s="143" t="s">
        <v>595</v>
      </c>
      <c r="M4" s="145" t="s">
        <v>596</v>
      </c>
      <c r="N4" s="146"/>
    </row>
    <row r="5" spans="1:14">
      <c r="A5" s="150"/>
      <c r="B5" s="150"/>
      <c r="C5" s="150"/>
      <c r="D5" s="163"/>
      <c r="E5" s="152"/>
      <c r="F5" s="142"/>
      <c r="G5" s="142"/>
      <c r="H5" s="142"/>
      <c r="I5" s="142"/>
      <c r="J5" s="133">
        <v>54302</v>
      </c>
      <c r="K5" s="134" t="s">
        <v>594</v>
      </c>
      <c r="L5" s="144"/>
      <c r="M5" s="147"/>
      <c r="N5" s="148"/>
    </row>
    <row r="6" spans="1:14" ht="18.75" hidden="1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</row>
    <row r="7" spans="1:14" ht="18.75" hidden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</row>
    <row r="8" spans="1:14" ht="18.75" hidden="1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</row>
    <row r="9" spans="1:14" hidden="1">
      <c r="A9" s="40" t="s">
        <v>111</v>
      </c>
      <c r="B9" s="5" t="s">
        <v>2</v>
      </c>
      <c r="C9" s="11" t="s">
        <v>3</v>
      </c>
      <c r="D9" s="5" t="s">
        <v>4</v>
      </c>
      <c r="E9" s="3" t="s">
        <v>5</v>
      </c>
      <c r="F9" s="7" t="s">
        <v>6</v>
      </c>
      <c r="G9" s="7" t="s">
        <v>7</v>
      </c>
      <c r="H9" s="4" t="s">
        <v>8</v>
      </c>
      <c r="I9" s="4" t="s">
        <v>94</v>
      </c>
      <c r="J9" s="6" t="s">
        <v>95</v>
      </c>
      <c r="K9" s="4" t="s">
        <v>96</v>
      </c>
      <c r="L9" s="4" t="s">
        <v>97</v>
      </c>
      <c r="M9" s="139" t="s">
        <v>98</v>
      </c>
      <c r="N9" s="2" t="s">
        <v>597</v>
      </c>
    </row>
    <row r="10" spans="1:14" hidden="1">
      <c r="A10" s="153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5"/>
    </row>
    <row r="11" spans="1:14" hidden="1">
      <c r="A11" s="2">
        <v>1</v>
      </c>
      <c r="B11" s="2" t="s">
        <v>359</v>
      </c>
      <c r="C11" s="2" t="s">
        <v>598</v>
      </c>
      <c r="D11" s="2"/>
      <c r="E11" s="2" t="s">
        <v>424</v>
      </c>
      <c r="F11" s="5">
        <v>300000000</v>
      </c>
      <c r="G11" s="2" t="s">
        <v>529</v>
      </c>
      <c r="H11" s="19">
        <f>F11-135695081</f>
        <v>164304919</v>
      </c>
      <c r="I11" s="2"/>
      <c r="J11" s="5"/>
      <c r="K11" s="5"/>
      <c r="L11" s="5"/>
      <c r="M11" s="161"/>
      <c r="N11" s="161"/>
    </row>
    <row r="12" spans="1:14" hidden="1">
      <c r="A12" s="156" t="s">
        <v>101</v>
      </c>
      <c r="B12" s="156"/>
      <c r="C12" s="156"/>
      <c r="D12" s="156"/>
      <c r="E12" s="156"/>
      <c r="F12" s="156"/>
      <c r="G12" s="156"/>
      <c r="H12" s="156"/>
      <c r="I12" s="156"/>
      <c r="J12" s="2"/>
      <c r="K12" s="2"/>
      <c r="L12" s="2"/>
      <c r="M12" s="161"/>
      <c r="N12" s="161"/>
    </row>
    <row r="13" spans="1:14" hidden="1">
      <c r="A13" s="153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5"/>
    </row>
    <row r="14" spans="1:14" hidden="1">
      <c r="A14" s="2">
        <v>2</v>
      </c>
      <c r="B14" s="2" t="s">
        <v>599</v>
      </c>
      <c r="C14" s="2" t="s">
        <v>600</v>
      </c>
      <c r="D14" s="2"/>
      <c r="E14" s="2" t="s">
        <v>397</v>
      </c>
      <c r="F14" s="5">
        <v>185000000</v>
      </c>
      <c r="G14" s="2" t="s">
        <v>536</v>
      </c>
      <c r="H14" s="19">
        <f>F14-138039522</f>
        <v>46960478</v>
      </c>
      <c r="I14" s="2"/>
      <c r="J14" s="5"/>
      <c r="K14" s="5"/>
      <c r="L14" s="5"/>
      <c r="M14" s="161"/>
      <c r="N14" s="161"/>
    </row>
    <row r="15" spans="1:14" hidden="1">
      <c r="A15" s="156" t="s">
        <v>101</v>
      </c>
      <c r="B15" s="156"/>
      <c r="C15" s="156"/>
      <c r="D15" s="156"/>
      <c r="E15" s="156"/>
      <c r="F15" s="156"/>
      <c r="G15" s="156"/>
      <c r="H15" s="156"/>
      <c r="I15" s="156"/>
      <c r="J15" s="2"/>
      <c r="K15" s="2"/>
      <c r="L15" s="2"/>
      <c r="M15" s="161"/>
      <c r="N15" s="161"/>
    </row>
    <row r="16" spans="1:14" hidden="1">
      <c r="A16" s="153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5"/>
    </row>
    <row r="17" spans="1:14" hidden="1">
      <c r="A17" s="2">
        <v>3</v>
      </c>
      <c r="B17" s="2" t="s">
        <v>601</v>
      </c>
      <c r="C17" s="2" t="s">
        <v>602</v>
      </c>
      <c r="D17" s="2"/>
      <c r="E17" s="2" t="s">
        <v>424</v>
      </c>
      <c r="F17" s="5">
        <v>100000000</v>
      </c>
      <c r="G17" s="2" t="s">
        <v>603</v>
      </c>
      <c r="H17" s="19">
        <f>F17</f>
        <v>100000000</v>
      </c>
      <c r="I17" s="2"/>
      <c r="J17" s="5"/>
      <c r="K17" s="5"/>
      <c r="L17" s="5"/>
      <c r="M17" s="161"/>
      <c r="N17" s="161"/>
    </row>
    <row r="18" spans="1:14" hidden="1">
      <c r="A18" s="156" t="s">
        <v>101</v>
      </c>
      <c r="B18" s="156"/>
      <c r="C18" s="156"/>
      <c r="D18" s="156"/>
      <c r="E18" s="156"/>
      <c r="F18" s="156"/>
      <c r="G18" s="156"/>
      <c r="H18" s="156"/>
      <c r="I18" s="156"/>
      <c r="J18" s="2"/>
      <c r="K18" s="2"/>
      <c r="L18" s="2"/>
      <c r="M18" s="161"/>
      <c r="N18" s="161"/>
    </row>
    <row r="19" spans="1:14">
      <c r="A19" s="153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5"/>
    </row>
    <row r="20" spans="1:14" s="58" customFormat="1" ht="18" customHeight="1">
      <c r="A20" s="140">
        <v>1</v>
      </c>
      <c r="B20" s="56" t="s">
        <v>612</v>
      </c>
      <c r="C20" s="223" t="s">
        <v>616</v>
      </c>
      <c r="D20" s="140" t="s">
        <v>605</v>
      </c>
      <c r="E20" s="224">
        <v>0.09</v>
      </c>
      <c r="F20" s="57">
        <v>250000000</v>
      </c>
      <c r="G20" s="56" t="s">
        <v>606</v>
      </c>
      <c r="H20" s="225">
        <f>F20</f>
        <v>250000000</v>
      </c>
      <c r="I20" s="56"/>
      <c r="J20" s="57">
        <v>750000</v>
      </c>
      <c r="K20" s="57">
        <f t="shared" ref="K20:K25" si="0">J20*6%</f>
        <v>45000</v>
      </c>
      <c r="L20" s="57">
        <f>J20-K20</f>
        <v>705000</v>
      </c>
      <c r="M20" s="222" t="s">
        <v>609</v>
      </c>
      <c r="N20" s="222"/>
    </row>
    <row r="21" spans="1:14" s="58" customFormat="1" ht="18" customHeight="1">
      <c r="A21" s="140">
        <v>2</v>
      </c>
      <c r="B21" s="56" t="s">
        <v>623</v>
      </c>
      <c r="C21" s="223" t="s">
        <v>624</v>
      </c>
      <c r="D21" s="140" t="s">
        <v>605</v>
      </c>
      <c r="E21" s="224">
        <v>0.09</v>
      </c>
      <c r="F21" s="57">
        <v>330000000</v>
      </c>
      <c r="G21" s="56" t="s">
        <v>626</v>
      </c>
      <c r="H21" s="225">
        <v>330000000</v>
      </c>
      <c r="I21" s="56"/>
      <c r="J21" s="57">
        <v>750000</v>
      </c>
      <c r="K21" s="57">
        <f t="shared" si="0"/>
        <v>45000</v>
      </c>
      <c r="L21" s="57">
        <f>J21-K21</f>
        <v>705000</v>
      </c>
      <c r="M21" s="230" t="s">
        <v>625</v>
      </c>
      <c r="N21" s="231"/>
    </row>
    <row r="22" spans="1:14" s="58" customFormat="1" ht="18" customHeight="1">
      <c r="A22" s="140">
        <v>3</v>
      </c>
      <c r="B22" s="56" t="s">
        <v>613</v>
      </c>
      <c r="C22" s="223" t="s">
        <v>617</v>
      </c>
      <c r="D22" s="140" t="s">
        <v>605</v>
      </c>
      <c r="E22" s="224">
        <v>0.09</v>
      </c>
      <c r="F22" s="57">
        <v>190000000</v>
      </c>
      <c r="G22" s="56" t="s">
        <v>607</v>
      </c>
      <c r="H22" s="225">
        <f>F22</f>
        <v>190000000</v>
      </c>
      <c r="I22" s="56"/>
      <c r="J22" s="57">
        <v>550000</v>
      </c>
      <c r="K22" s="57">
        <f t="shared" ref="K22:K24" si="1">J22*6%</f>
        <v>33000</v>
      </c>
      <c r="L22" s="57">
        <f>J22-K22</f>
        <v>517000</v>
      </c>
      <c r="M22" s="222" t="s">
        <v>611</v>
      </c>
      <c r="N22" s="222"/>
    </row>
    <row r="23" spans="1:14" s="58" customFormat="1" ht="18" customHeight="1">
      <c r="A23" s="140">
        <v>4</v>
      </c>
      <c r="B23" s="56" t="s">
        <v>621</v>
      </c>
      <c r="C23" s="223" t="s">
        <v>622</v>
      </c>
      <c r="D23" s="140" t="s">
        <v>605</v>
      </c>
      <c r="E23" s="224">
        <v>0.09</v>
      </c>
      <c r="F23" s="57">
        <v>230000000</v>
      </c>
      <c r="G23" s="56" t="s">
        <v>608</v>
      </c>
      <c r="H23" s="225">
        <f>F23</f>
        <v>230000000</v>
      </c>
      <c r="I23" s="56"/>
      <c r="J23" s="57">
        <v>750000</v>
      </c>
      <c r="K23" s="57">
        <f t="shared" si="1"/>
        <v>45000</v>
      </c>
      <c r="L23" s="57">
        <f>J23-K23</f>
        <v>705000</v>
      </c>
      <c r="M23" s="226" t="s">
        <v>610</v>
      </c>
      <c r="N23" s="227"/>
    </row>
    <row r="24" spans="1:14" s="58" customFormat="1" ht="18" customHeight="1">
      <c r="A24" s="140">
        <v>5</v>
      </c>
      <c r="B24" s="56" t="s">
        <v>614</v>
      </c>
      <c r="C24" s="223" t="s">
        <v>618</v>
      </c>
      <c r="D24" s="140" t="s">
        <v>605</v>
      </c>
      <c r="E24" s="224">
        <v>0.09</v>
      </c>
      <c r="F24" s="57">
        <v>100000000</v>
      </c>
      <c r="G24" s="56" t="s">
        <v>608</v>
      </c>
      <c r="H24" s="225">
        <f>F24</f>
        <v>100000000</v>
      </c>
      <c r="I24" s="56"/>
      <c r="J24" s="57">
        <v>550000</v>
      </c>
      <c r="K24" s="57">
        <f t="shared" si="1"/>
        <v>33000</v>
      </c>
      <c r="L24" s="57">
        <f>J24-K24</f>
        <v>517000</v>
      </c>
      <c r="M24" s="220"/>
      <c r="N24" s="221"/>
    </row>
    <row r="25" spans="1:14" s="58" customFormat="1" ht="18" customHeight="1">
      <c r="A25" s="140">
        <v>6</v>
      </c>
      <c r="B25" s="56" t="s">
        <v>615</v>
      </c>
      <c r="C25" s="223" t="s">
        <v>619</v>
      </c>
      <c r="D25" s="140" t="s">
        <v>605</v>
      </c>
      <c r="E25" s="224">
        <v>0.09</v>
      </c>
      <c r="F25" s="57">
        <v>105000000</v>
      </c>
      <c r="G25" s="56" t="s">
        <v>608</v>
      </c>
      <c r="H25" s="225">
        <f>F25</f>
        <v>105000000</v>
      </c>
      <c r="I25" s="56"/>
      <c r="J25" s="57">
        <v>550000</v>
      </c>
      <c r="K25" s="57">
        <f t="shared" si="0"/>
        <v>33000</v>
      </c>
      <c r="L25" s="57">
        <f>J25-K25</f>
        <v>517000</v>
      </c>
      <c r="M25" s="228"/>
      <c r="N25" s="229"/>
    </row>
    <row r="26" spans="1:14">
      <c r="A26" s="156" t="s">
        <v>101</v>
      </c>
      <c r="B26" s="156"/>
      <c r="C26" s="156"/>
      <c r="D26" s="156"/>
      <c r="E26" s="156"/>
      <c r="F26" s="156"/>
      <c r="G26" s="156"/>
      <c r="H26" s="156"/>
      <c r="I26" s="156"/>
      <c r="J26" s="25">
        <f>SUM(J20:J25)</f>
        <v>3900000</v>
      </c>
      <c r="K26" s="25">
        <f t="shared" ref="K26:L26" si="2">SUM(K20:K25)</f>
        <v>234000</v>
      </c>
      <c r="L26" s="25">
        <f t="shared" si="2"/>
        <v>3666000</v>
      </c>
      <c r="M26" s="218"/>
      <c r="N26" s="219"/>
    </row>
    <row r="29" spans="1:14" hidden="1"/>
    <row r="30" spans="1:14" s="58" customFormat="1" hidden="1">
      <c r="A30" s="149" t="s">
        <v>111</v>
      </c>
      <c r="B30" s="149" t="s">
        <v>311</v>
      </c>
      <c r="C30" s="149" t="s">
        <v>3</v>
      </c>
      <c r="D30" s="128" t="s">
        <v>4</v>
      </c>
      <c r="E30" s="151" t="s">
        <v>313</v>
      </c>
      <c r="F30" s="141" t="s">
        <v>314</v>
      </c>
      <c r="G30" s="141" t="s">
        <v>523</v>
      </c>
      <c r="H30" s="141" t="s">
        <v>8</v>
      </c>
      <c r="I30" s="141" t="s">
        <v>316</v>
      </c>
      <c r="J30" s="128" t="s">
        <v>317</v>
      </c>
      <c r="K30" s="129" t="s">
        <v>318</v>
      </c>
      <c r="L30" s="143" t="s">
        <v>595</v>
      </c>
      <c r="M30" s="145" t="s">
        <v>596</v>
      </c>
      <c r="N30" s="146"/>
    </row>
    <row r="31" spans="1:14" hidden="1">
      <c r="A31" s="150"/>
      <c r="B31" s="150"/>
      <c r="C31" s="150"/>
      <c r="D31" s="124"/>
      <c r="E31" s="152"/>
      <c r="F31" s="142"/>
      <c r="G31" s="142"/>
      <c r="H31" s="142"/>
      <c r="I31" s="142"/>
      <c r="J31" s="133">
        <v>54302</v>
      </c>
      <c r="K31" s="134" t="s">
        <v>594</v>
      </c>
      <c r="L31" s="144"/>
      <c r="M31" s="147"/>
      <c r="N31" s="148"/>
    </row>
  </sheetData>
  <mergeCells count="38">
    <mergeCell ref="A10:N10"/>
    <mergeCell ref="M11:N12"/>
    <mergeCell ref="A12:I12"/>
    <mergeCell ref="A13:N13"/>
    <mergeCell ref="M14:N15"/>
    <mergeCell ref="A15:I15"/>
    <mergeCell ref="A16:N16"/>
    <mergeCell ref="M17:N18"/>
    <mergeCell ref="A18:I18"/>
    <mergeCell ref="A19:N19"/>
    <mergeCell ref="A26:I26"/>
    <mergeCell ref="M22:N22"/>
    <mergeCell ref="M20:N20"/>
    <mergeCell ref="M23:N25"/>
    <mergeCell ref="M21:N21"/>
    <mergeCell ref="A1:N1"/>
    <mergeCell ref="H4:H5"/>
    <mergeCell ref="I4:I5"/>
    <mergeCell ref="L4:L5"/>
    <mergeCell ref="M4:N5"/>
    <mergeCell ref="A2:N2"/>
    <mergeCell ref="D4:D5"/>
    <mergeCell ref="H30:H31"/>
    <mergeCell ref="I30:I31"/>
    <mergeCell ref="L30:L31"/>
    <mergeCell ref="M30:N31"/>
    <mergeCell ref="A4:A5"/>
    <mergeCell ref="B4:B5"/>
    <mergeCell ref="C4:C5"/>
    <mergeCell ref="E4:E5"/>
    <mergeCell ref="F4:F5"/>
    <mergeCell ref="G4:G5"/>
    <mergeCell ref="A30:A31"/>
    <mergeCell ref="B30:B31"/>
    <mergeCell ref="C30:C31"/>
    <mergeCell ref="E30:E31"/>
    <mergeCell ref="F30:F31"/>
    <mergeCell ref="G30:G31"/>
  </mergeCells>
  <pageMargins left="0.39370078740157483" right="0.19685039370078741" top="0.74803149606299213" bottom="0.74803149606299213" header="0.31496062992125984" footer="0.31496062992125984"/>
  <pageSetup paperSize="5" scale="93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41"/>
  <sheetViews>
    <sheetView topLeftCell="A4" zoomScale="85" zoomScaleNormal="85" workbookViewId="0">
      <selection activeCell="N8" sqref="N8"/>
    </sheetView>
  </sheetViews>
  <sheetFormatPr defaultColWidth="9.28515625" defaultRowHeight="15"/>
  <cols>
    <col min="1" max="1" width="3.85546875" style="50" bestFit="1" customWidth="1"/>
    <col min="2" max="2" width="18.28515625" customWidth="1"/>
    <col min="3" max="3" width="14.5703125" hidden="1" customWidth="1"/>
    <col min="4" max="4" width="13.28515625" style="8" bestFit="1" customWidth="1"/>
    <col min="5" max="5" width="5.5703125" bestFit="1" customWidth="1"/>
    <col min="6" max="6" width="8.42578125" hidden="1" customWidth="1"/>
    <col min="7" max="7" width="12.5703125" style="8" hidden="1" customWidth="1"/>
    <col min="8" max="8" width="22.28515625" customWidth="1"/>
    <col min="9" max="9" width="14.5703125" style="8" customWidth="1"/>
    <col min="10" max="10" width="8.42578125" hidden="1" customWidth="1"/>
    <col min="11" max="11" width="12.5703125" style="8" customWidth="1"/>
    <col min="12" max="12" width="8.42578125" style="8" bestFit="1" customWidth="1"/>
    <col min="13" max="13" width="11.140625" style="8" bestFit="1" customWidth="1"/>
    <col min="14" max="14" width="19.28515625" bestFit="1" customWidth="1"/>
    <col min="15" max="15" width="2" bestFit="1" customWidth="1"/>
  </cols>
  <sheetData>
    <row r="2" spans="1:15" ht="18.75">
      <c r="A2" s="160" t="s">
        <v>456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15" ht="18.75">
      <c r="A3" s="160" t="s">
        <v>452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5" spans="1:15" s="49" customFormat="1">
      <c r="A5" s="51" t="s">
        <v>111</v>
      </c>
      <c r="B5" s="51" t="s">
        <v>2</v>
      </c>
      <c r="C5" s="51" t="s">
        <v>3</v>
      </c>
      <c r="D5" s="48" t="s">
        <v>4</v>
      </c>
      <c r="E5" s="51" t="s">
        <v>5</v>
      </c>
      <c r="F5" s="51"/>
      <c r="G5" s="48" t="s">
        <v>6</v>
      </c>
      <c r="H5" s="51" t="s">
        <v>7</v>
      </c>
      <c r="I5" s="48" t="s">
        <v>8</v>
      </c>
      <c r="J5" s="51" t="s">
        <v>94</v>
      </c>
      <c r="K5" s="48" t="s">
        <v>95</v>
      </c>
      <c r="L5" s="48" t="s">
        <v>96</v>
      </c>
      <c r="M5" s="48" t="s">
        <v>97</v>
      </c>
      <c r="N5" s="51" t="s">
        <v>390</v>
      </c>
      <c r="O5" s="49">
        <v>3</v>
      </c>
    </row>
    <row r="6" spans="1:15" s="60" customFormat="1" ht="31.5" customHeight="1">
      <c r="A6" s="52">
        <v>1</v>
      </c>
      <c r="B6" s="54" t="s">
        <v>432</v>
      </c>
      <c r="C6" s="54" t="s">
        <v>401</v>
      </c>
      <c r="D6" s="59">
        <v>175000000</v>
      </c>
      <c r="E6" s="54" t="s">
        <v>397</v>
      </c>
      <c r="F6" s="54"/>
      <c r="G6" s="59">
        <v>115908510</v>
      </c>
      <c r="H6" s="54" t="s">
        <v>86</v>
      </c>
      <c r="I6" s="59">
        <f t="shared" ref="I6:I30" si="0">+D6-G6</f>
        <v>59091490</v>
      </c>
      <c r="J6" s="54"/>
      <c r="K6" s="59">
        <v>150000</v>
      </c>
      <c r="L6" s="59">
        <f>+$O$5/100*K6</f>
        <v>4500</v>
      </c>
      <c r="M6" s="59">
        <f>+K6-L6</f>
        <v>145500</v>
      </c>
      <c r="N6" s="52" t="s">
        <v>454</v>
      </c>
    </row>
    <row r="7" spans="1:15">
      <c r="A7" s="42"/>
      <c r="B7" s="2"/>
      <c r="C7" s="2"/>
      <c r="D7" s="5"/>
      <c r="E7" s="2"/>
      <c r="F7" s="2"/>
      <c r="G7" s="5"/>
      <c r="H7" s="2"/>
      <c r="I7" s="5"/>
      <c r="J7" s="2"/>
      <c r="K7" s="5"/>
      <c r="L7" s="5"/>
      <c r="M7" s="5"/>
      <c r="N7" s="42"/>
    </row>
    <row r="8" spans="1:15" s="60" customFormat="1" ht="31.5" customHeight="1">
      <c r="A8" s="52">
        <v>2</v>
      </c>
      <c r="B8" s="54" t="s">
        <v>436</v>
      </c>
      <c r="C8" s="54" t="s">
        <v>406</v>
      </c>
      <c r="D8" s="59">
        <v>50000000</v>
      </c>
      <c r="E8" s="54" t="s">
        <v>397</v>
      </c>
      <c r="F8" s="54"/>
      <c r="G8" s="59"/>
      <c r="H8" s="54" t="s">
        <v>91</v>
      </c>
      <c r="I8" s="59">
        <f>+D8-G8</f>
        <v>50000000</v>
      </c>
      <c r="J8" s="54"/>
      <c r="K8" s="59">
        <v>150000</v>
      </c>
      <c r="L8" s="59">
        <f>+$O$5/100*K8</f>
        <v>4500</v>
      </c>
      <c r="M8" s="59">
        <f t="shared" ref="M8:M30" si="1">+K8-L8</f>
        <v>145500</v>
      </c>
      <c r="N8" s="52" t="s">
        <v>453</v>
      </c>
    </row>
    <row r="9" spans="1:15">
      <c r="A9" s="42"/>
      <c r="B9" s="2"/>
      <c r="C9" s="2"/>
      <c r="D9" s="5"/>
      <c r="E9" s="2"/>
      <c r="F9" s="2"/>
      <c r="G9" s="5"/>
      <c r="H9" s="2"/>
      <c r="I9" s="5"/>
      <c r="J9" s="2"/>
      <c r="K9" s="5"/>
      <c r="L9" s="5"/>
      <c r="M9" s="5"/>
      <c r="N9" s="42"/>
    </row>
    <row r="10" spans="1:15" ht="15" customHeight="1">
      <c r="A10" s="42">
        <v>3</v>
      </c>
      <c r="B10" s="2" t="s">
        <v>434</v>
      </c>
      <c r="C10" s="2" t="s">
        <v>404</v>
      </c>
      <c r="D10" s="5">
        <v>50000000</v>
      </c>
      <c r="E10" s="2" t="s">
        <v>397</v>
      </c>
      <c r="F10" s="2"/>
      <c r="G10" s="5"/>
      <c r="H10" s="2" t="s">
        <v>186</v>
      </c>
      <c r="I10" s="5">
        <f t="shared" si="0"/>
        <v>50000000</v>
      </c>
      <c r="J10" s="2"/>
      <c r="K10" s="5">
        <v>300000</v>
      </c>
      <c r="L10" s="5">
        <f>+$O$5/100*K10</f>
        <v>9000</v>
      </c>
      <c r="M10" s="5">
        <f t="shared" si="1"/>
        <v>291000</v>
      </c>
      <c r="N10" s="210" t="s">
        <v>455</v>
      </c>
    </row>
    <row r="11" spans="1:15">
      <c r="A11" s="42">
        <v>4</v>
      </c>
      <c r="B11" s="2" t="s">
        <v>435</v>
      </c>
      <c r="C11" s="2" t="s">
        <v>405</v>
      </c>
      <c r="D11" s="5">
        <v>70000000</v>
      </c>
      <c r="E11" s="2" t="s">
        <v>397</v>
      </c>
      <c r="F11" s="2"/>
      <c r="G11" s="5">
        <v>55386488</v>
      </c>
      <c r="H11" s="2" t="s">
        <v>186</v>
      </c>
      <c r="I11" s="5">
        <f t="shared" si="0"/>
        <v>14613512</v>
      </c>
      <c r="J11" s="2"/>
      <c r="K11" s="5">
        <v>100000</v>
      </c>
      <c r="L11" s="5">
        <f>+$O$5/100*K11</f>
        <v>3000</v>
      </c>
      <c r="M11" s="5">
        <f t="shared" si="1"/>
        <v>97000</v>
      </c>
      <c r="N11" s="211"/>
    </row>
    <row r="12" spans="1:15">
      <c r="A12" s="42"/>
      <c r="B12" s="2"/>
      <c r="C12" s="2"/>
      <c r="D12" s="5"/>
      <c r="E12" s="2"/>
      <c r="F12" s="2"/>
      <c r="G12" s="5"/>
      <c r="H12" s="2"/>
      <c r="I12" s="5"/>
      <c r="J12" s="2"/>
      <c r="K12" s="37">
        <f>+K10+K11</f>
        <v>400000</v>
      </c>
      <c r="L12" s="37">
        <f>+L10+L11</f>
        <v>12000</v>
      </c>
      <c r="M12" s="37">
        <f>+M10+M11</f>
        <v>388000</v>
      </c>
      <c r="N12" s="52"/>
    </row>
    <row r="13" spans="1:15">
      <c r="A13" s="42"/>
      <c r="B13" s="2"/>
      <c r="C13" s="2"/>
      <c r="D13" s="5"/>
      <c r="E13" s="2"/>
      <c r="F13" s="2"/>
      <c r="G13" s="5"/>
      <c r="H13" s="2"/>
      <c r="I13" s="5"/>
      <c r="J13" s="2"/>
      <c r="K13" s="5"/>
      <c r="L13" s="5"/>
      <c r="M13" s="5"/>
      <c r="N13" s="52"/>
    </row>
    <row r="14" spans="1:15" s="58" customFormat="1" ht="33.75" customHeight="1">
      <c r="A14" s="55">
        <v>5</v>
      </c>
      <c r="B14" s="56" t="s">
        <v>449</v>
      </c>
      <c r="C14" s="56" t="s">
        <v>423</v>
      </c>
      <c r="D14" s="57">
        <v>115000000</v>
      </c>
      <c r="E14" s="56" t="s">
        <v>424</v>
      </c>
      <c r="F14" s="56"/>
      <c r="G14" s="57"/>
      <c r="H14" s="56" t="s">
        <v>92</v>
      </c>
      <c r="I14" s="57">
        <f>+D14-G14</f>
        <v>115000000</v>
      </c>
      <c r="J14" s="56"/>
      <c r="K14" s="57">
        <v>500000</v>
      </c>
      <c r="L14" s="57">
        <f>+$O$5/100*K14</f>
        <v>15000</v>
      </c>
      <c r="M14" s="57">
        <f>+K14-L14</f>
        <v>485000</v>
      </c>
      <c r="N14" s="52" t="s">
        <v>323</v>
      </c>
    </row>
    <row r="15" spans="1:15">
      <c r="A15" s="207" t="s">
        <v>324</v>
      </c>
      <c r="B15" s="208"/>
      <c r="C15" s="208"/>
      <c r="D15" s="208"/>
      <c r="E15" s="208"/>
      <c r="F15" s="208"/>
      <c r="G15" s="208"/>
      <c r="H15" s="208"/>
      <c r="I15" s="209"/>
      <c r="J15" s="2"/>
      <c r="K15" s="37">
        <f>+K14+K11+K10+K8+K6</f>
        <v>1200000</v>
      </c>
      <c r="L15" s="37">
        <f>+L14+L11+L10+L8+L6</f>
        <v>36000</v>
      </c>
      <c r="M15" s="37">
        <f>+M14+M11+M10+M8+M6</f>
        <v>1164000</v>
      </c>
      <c r="N15" s="2"/>
    </row>
    <row r="20" spans="2:13">
      <c r="B20" t="s">
        <v>438</v>
      </c>
      <c r="C20" t="s">
        <v>409</v>
      </c>
      <c r="D20" s="8">
        <v>125000000</v>
      </c>
      <c r="E20" t="s">
        <v>397</v>
      </c>
      <c r="G20" s="8">
        <v>35253233</v>
      </c>
      <c r="H20" t="s">
        <v>408</v>
      </c>
      <c r="I20" s="8">
        <f t="shared" si="0"/>
        <v>89746767</v>
      </c>
      <c r="L20" s="8">
        <f t="shared" ref="L20:L30" si="2">+$O$5/100*K20</f>
        <v>0</v>
      </c>
      <c r="M20" s="8">
        <f t="shared" si="1"/>
        <v>0</v>
      </c>
    </row>
    <row r="21" spans="2:13">
      <c r="B21" t="s">
        <v>30</v>
      </c>
      <c r="C21" t="s">
        <v>410</v>
      </c>
      <c r="D21" s="8">
        <v>30000000</v>
      </c>
      <c r="E21" t="s">
        <v>392</v>
      </c>
      <c r="H21" t="s">
        <v>408</v>
      </c>
      <c r="I21" s="8">
        <f t="shared" si="0"/>
        <v>30000000</v>
      </c>
      <c r="L21" s="8">
        <f t="shared" si="2"/>
        <v>0</v>
      </c>
      <c r="M21" s="8">
        <f t="shared" si="1"/>
        <v>0</v>
      </c>
    </row>
    <row r="22" spans="2:13">
      <c r="B22" t="s">
        <v>439</v>
      </c>
      <c r="C22" t="s">
        <v>411</v>
      </c>
      <c r="D22" s="8">
        <v>100000000</v>
      </c>
      <c r="E22" t="s">
        <v>392</v>
      </c>
      <c r="H22" t="s">
        <v>408</v>
      </c>
      <c r="I22" s="8">
        <f t="shared" si="0"/>
        <v>100000000</v>
      </c>
      <c r="L22" s="8">
        <f t="shared" si="2"/>
        <v>0</v>
      </c>
      <c r="M22" s="8">
        <f t="shared" si="1"/>
        <v>0</v>
      </c>
    </row>
    <row r="23" spans="2:13">
      <c r="B23" t="s">
        <v>442</v>
      </c>
      <c r="C23" t="s">
        <v>414</v>
      </c>
      <c r="D23" s="8">
        <v>243000000</v>
      </c>
      <c r="E23" t="s">
        <v>415</v>
      </c>
      <c r="H23" t="s">
        <v>408</v>
      </c>
      <c r="I23" s="8">
        <f t="shared" si="0"/>
        <v>243000000</v>
      </c>
      <c r="L23" s="8">
        <f t="shared" si="2"/>
        <v>0</v>
      </c>
      <c r="M23" s="8">
        <f t="shared" si="1"/>
        <v>0</v>
      </c>
    </row>
    <row r="24" spans="2:13">
      <c r="B24" t="s">
        <v>448</v>
      </c>
      <c r="C24" t="s">
        <v>421</v>
      </c>
      <c r="D24" s="8">
        <v>75000000</v>
      </c>
      <c r="E24" t="s">
        <v>422</v>
      </c>
      <c r="G24" s="8">
        <v>4921382</v>
      </c>
      <c r="H24" t="s">
        <v>408</v>
      </c>
      <c r="I24" s="8">
        <f t="shared" si="0"/>
        <v>70078618</v>
      </c>
      <c r="L24" s="8">
        <f t="shared" si="2"/>
        <v>0</v>
      </c>
      <c r="M24" s="8">
        <f t="shared" si="1"/>
        <v>0</v>
      </c>
    </row>
    <row r="25" spans="2:13">
      <c r="B25" t="s">
        <v>427</v>
      </c>
      <c r="C25" t="s">
        <v>391</v>
      </c>
      <c r="D25" s="8">
        <v>60000000</v>
      </c>
      <c r="E25" t="s">
        <v>392</v>
      </c>
      <c r="H25" t="s">
        <v>393</v>
      </c>
      <c r="I25" s="8">
        <f>+D25-G25</f>
        <v>60000000</v>
      </c>
      <c r="L25" s="8">
        <f t="shared" si="2"/>
        <v>0</v>
      </c>
      <c r="M25" s="8">
        <f t="shared" si="1"/>
        <v>0</v>
      </c>
    </row>
    <row r="26" spans="2:13">
      <c r="B26" t="s">
        <v>428</v>
      </c>
      <c r="C26" t="s">
        <v>394</v>
      </c>
      <c r="D26" s="8">
        <v>110000000</v>
      </c>
      <c r="E26" t="s">
        <v>392</v>
      </c>
      <c r="H26" t="s">
        <v>395</v>
      </c>
      <c r="I26" s="8">
        <f>+D26-G26</f>
        <v>110000000</v>
      </c>
      <c r="L26" s="8">
        <f t="shared" si="2"/>
        <v>0</v>
      </c>
      <c r="M26" s="8">
        <f t="shared" si="1"/>
        <v>0</v>
      </c>
    </row>
    <row r="27" spans="2:13">
      <c r="B27" t="s">
        <v>429</v>
      </c>
      <c r="C27" t="s">
        <v>396</v>
      </c>
      <c r="D27" s="8">
        <v>70000000</v>
      </c>
      <c r="E27" t="s">
        <v>397</v>
      </c>
      <c r="H27" t="s">
        <v>395</v>
      </c>
      <c r="I27" s="8">
        <f>+D27-G27</f>
        <v>70000000</v>
      </c>
      <c r="L27" s="8">
        <f t="shared" si="2"/>
        <v>0</v>
      </c>
      <c r="M27" s="8">
        <f t="shared" si="1"/>
        <v>0</v>
      </c>
    </row>
    <row r="28" spans="2:13">
      <c r="B28" t="s">
        <v>66</v>
      </c>
      <c r="C28" t="s">
        <v>399</v>
      </c>
      <c r="D28" s="8">
        <v>160000000</v>
      </c>
      <c r="E28" t="s">
        <v>392</v>
      </c>
      <c r="G28" s="8">
        <v>43341212</v>
      </c>
      <c r="H28" t="s">
        <v>395</v>
      </c>
      <c r="I28" s="8">
        <f>+D28-G28</f>
        <v>116658788</v>
      </c>
      <c r="L28" s="8">
        <f t="shared" si="2"/>
        <v>0</v>
      </c>
      <c r="M28" s="8">
        <f t="shared" si="1"/>
        <v>0</v>
      </c>
    </row>
    <row r="29" spans="2:13">
      <c r="B29" t="s">
        <v>431</v>
      </c>
      <c r="C29" t="s">
        <v>400</v>
      </c>
      <c r="D29" s="8">
        <v>250000000</v>
      </c>
      <c r="E29" t="s">
        <v>397</v>
      </c>
      <c r="G29" s="8">
        <v>122796088</v>
      </c>
      <c r="H29" t="s">
        <v>395</v>
      </c>
      <c r="I29" s="8">
        <f>+D29-G29</f>
        <v>127203912</v>
      </c>
      <c r="L29" s="8">
        <f t="shared" si="2"/>
        <v>0</v>
      </c>
      <c r="M29" s="8">
        <f t="shared" si="1"/>
        <v>0</v>
      </c>
    </row>
    <row r="30" spans="2:13">
      <c r="B30" t="s">
        <v>450</v>
      </c>
      <c r="C30" t="s">
        <v>426</v>
      </c>
      <c r="D30" s="8">
        <v>190000000</v>
      </c>
      <c r="E30" t="s">
        <v>415</v>
      </c>
      <c r="H30" t="s">
        <v>425</v>
      </c>
      <c r="I30" s="8">
        <f t="shared" si="0"/>
        <v>190000000</v>
      </c>
      <c r="L30" s="8">
        <f t="shared" si="2"/>
        <v>0</v>
      </c>
      <c r="M30" s="8">
        <f t="shared" si="1"/>
        <v>0</v>
      </c>
    </row>
    <row r="32" spans="2:13">
      <c r="B32" t="s">
        <v>430</v>
      </c>
      <c r="C32" t="s">
        <v>398</v>
      </c>
      <c r="D32" s="8">
        <v>30000000</v>
      </c>
      <c r="E32" t="s">
        <v>392</v>
      </c>
      <c r="G32" s="8">
        <v>23301178</v>
      </c>
      <c r="H32" t="s">
        <v>395</v>
      </c>
      <c r="I32" s="8">
        <f>+D32-G32</f>
        <v>6698822</v>
      </c>
      <c r="L32" s="8">
        <f>+$O$5/100*K32</f>
        <v>0</v>
      </c>
      <c r="M32" s="8">
        <f>+L32-K32</f>
        <v>0</v>
      </c>
    </row>
    <row r="33" spans="2:13">
      <c r="B33" t="s">
        <v>433</v>
      </c>
      <c r="C33" t="s">
        <v>402</v>
      </c>
      <c r="D33" s="8">
        <v>220000000</v>
      </c>
      <c r="E33" t="s">
        <v>397</v>
      </c>
      <c r="G33" s="8">
        <v>65082586</v>
      </c>
      <c r="H33" t="s">
        <v>403</v>
      </c>
      <c r="I33" s="8">
        <f>+D33-G33</f>
        <v>154917414</v>
      </c>
      <c r="L33" s="8">
        <f>+$O$5/100*K33</f>
        <v>0</v>
      </c>
      <c r="M33" s="8">
        <f>+K33-L33</f>
        <v>0</v>
      </c>
    </row>
    <row r="34" spans="2:13">
      <c r="B34" t="s">
        <v>444</v>
      </c>
      <c r="C34" t="s">
        <v>417</v>
      </c>
      <c r="D34" s="8">
        <v>5000000</v>
      </c>
      <c r="E34" t="s">
        <v>392</v>
      </c>
      <c r="H34" t="s">
        <v>408</v>
      </c>
      <c r="I34" s="8">
        <f t="shared" ref="I34" si="3">+D34-G34</f>
        <v>5000000</v>
      </c>
      <c r="L34" s="8">
        <f t="shared" ref="L34" si="4">+$O$5/100*K34</f>
        <v>0</v>
      </c>
      <c r="M34" s="8">
        <f t="shared" ref="M34" si="5">+L34-K34</f>
        <v>0</v>
      </c>
    </row>
    <row r="35" spans="2:13">
      <c r="B35" t="s">
        <v>443</v>
      </c>
      <c r="C35" t="s">
        <v>416</v>
      </c>
      <c r="D35" s="8">
        <v>55000000</v>
      </c>
      <c r="E35" t="s">
        <v>392</v>
      </c>
      <c r="G35" s="8">
        <v>35411518</v>
      </c>
      <c r="H35" t="s">
        <v>408</v>
      </c>
      <c r="I35" s="8">
        <f t="shared" ref="I35:I41" si="6">+D35-G35</f>
        <v>19588482</v>
      </c>
      <c r="L35" s="8">
        <f t="shared" ref="L35:L41" si="7">+$O$5/100*K35</f>
        <v>0</v>
      </c>
      <c r="M35" s="8">
        <f>+L35-K35</f>
        <v>0</v>
      </c>
    </row>
    <row r="36" spans="2:13">
      <c r="B36" t="s">
        <v>437</v>
      </c>
      <c r="C36" t="s">
        <v>407</v>
      </c>
      <c r="D36" s="8">
        <v>25000000</v>
      </c>
      <c r="E36" t="s">
        <v>392</v>
      </c>
      <c r="G36" s="8">
        <v>4674776</v>
      </c>
      <c r="H36" t="s">
        <v>408</v>
      </c>
      <c r="I36" s="8">
        <f t="shared" si="6"/>
        <v>20325224</v>
      </c>
      <c r="L36" s="8">
        <f t="shared" si="7"/>
        <v>0</v>
      </c>
      <c r="M36" s="8">
        <f>+L36-K36</f>
        <v>0</v>
      </c>
    </row>
    <row r="37" spans="2:13">
      <c r="B37" t="s">
        <v>447</v>
      </c>
      <c r="C37" t="s">
        <v>420</v>
      </c>
      <c r="D37" s="8">
        <v>12000000</v>
      </c>
      <c r="E37" t="s">
        <v>392</v>
      </c>
      <c r="H37" t="s">
        <v>408</v>
      </c>
      <c r="I37" s="8">
        <f t="shared" si="6"/>
        <v>12000000</v>
      </c>
      <c r="L37" s="8">
        <f t="shared" si="7"/>
        <v>0</v>
      </c>
      <c r="M37" s="8">
        <f>+L37-K37</f>
        <v>0</v>
      </c>
    </row>
    <row r="38" spans="2:13">
      <c r="B38" t="s">
        <v>440</v>
      </c>
      <c r="C38" t="s">
        <v>412</v>
      </c>
      <c r="D38" s="8">
        <v>40000000</v>
      </c>
      <c r="E38" t="s">
        <v>392</v>
      </c>
      <c r="H38" t="s">
        <v>408</v>
      </c>
      <c r="I38" s="8">
        <f t="shared" si="6"/>
        <v>40000000</v>
      </c>
      <c r="L38" s="8">
        <f t="shared" si="7"/>
        <v>0</v>
      </c>
      <c r="M38" s="8">
        <f>+K38-L38</f>
        <v>0</v>
      </c>
    </row>
    <row r="39" spans="2:13">
      <c r="B39" t="s">
        <v>445</v>
      </c>
      <c r="C39" t="s">
        <v>418</v>
      </c>
      <c r="D39" s="8">
        <v>30000000</v>
      </c>
      <c r="E39" t="s">
        <v>392</v>
      </c>
      <c r="H39" t="s">
        <v>408</v>
      </c>
      <c r="I39" s="8">
        <f t="shared" si="6"/>
        <v>30000000</v>
      </c>
      <c r="L39" s="8">
        <f t="shared" si="7"/>
        <v>0</v>
      </c>
      <c r="M39" s="8">
        <f>+K39-L39</f>
        <v>0</v>
      </c>
    </row>
    <row r="40" spans="2:13">
      <c r="B40" t="s">
        <v>441</v>
      </c>
      <c r="C40" t="s">
        <v>413</v>
      </c>
      <c r="D40" s="8">
        <v>250000000</v>
      </c>
      <c r="E40" t="s">
        <v>392</v>
      </c>
      <c r="F40" t="s">
        <v>451</v>
      </c>
      <c r="H40" t="s">
        <v>408</v>
      </c>
      <c r="I40" s="8">
        <f t="shared" si="6"/>
        <v>250000000</v>
      </c>
      <c r="L40" s="8">
        <f t="shared" si="7"/>
        <v>0</v>
      </c>
      <c r="M40" s="8">
        <f>+K40-L40</f>
        <v>0</v>
      </c>
    </row>
    <row r="41" spans="2:13">
      <c r="B41" t="s">
        <v>446</v>
      </c>
      <c r="C41" t="s">
        <v>419</v>
      </c>
      <c r="D41" s="8">
        <v>155000000</v>
      </c>
      <c r="E41" t="s">
        <v>392</v>
      </c>
      <c r="F41" t="s">
        <v>451</v>
      </c>
      <c r="H41" t="s">
        <v>408</v>
      </c>
      <c r="I41" s="8">
        <f t="shared" si="6"/>
        <v>155000000</v>
      </c>
      <c r="L41" s="8">
        <f t="shared" si="7"/>
        <v>0</v>
      </c>
      <c r="M41" s="8">
        <f>+K41-L41</f>
        <v>0</v>
      </c>
    </row>
  </sheetData>
  <mergeCells count="4">
    <mergeCell ref="A2:N2"/>
    <mergeCell ref="A3:N3"/>
    <mergeCell ref="A15:I15"/>
    <mergeCell ref="N10:N11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A3" sqref="A3:XFD48"/>
    </sheetView>
  </sheetViews>
  <sheetFormatPr defaultRowHeight="15"/>
  <cols>
    <col min="1" max="1" width="5.42578125" customWidth="1"/>
    <col min="2" max="2" width="28.7109375" bestFit="1" customWidth="1"/>
    <col min="3" max="3" width="11.42578125" style="14" bestFit="1" customWidth="1"/>
    <col min="4" max="4" width="12" customWidth="1"/>
    <col min="5" max="5" width="12" style="10" customWidth="1"/>
    <col min="6" max="6" width="12.5703125" bestFit="1" customWidth="1"/>
    <col min="7" max="7" width="28.140625" bestFit="1" customWidth="1"/>
    <col min="8" max="8" width="14.7109375" customWidth="1"/>
    <col min="9" max="9" width="13.140625" bestFit="1" customWidth="1"/>
    <col min="10" max="10" width="15.28515625" customWidth="1"/>
    <col min="11" max="11" width="13.28515625" customWidth="1"/>
    <col min="12" max="12" width="13.42578125" customWidth="1"/>
  </cols>
  <sheetData>
    <row r="1" spans="1:14" ht="18.75">
      <c r="A1" s="182" t="s">
        <v>108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>
      <c r="A2" s="5" t="s">
        <v>109</v>
      </c>
      <c r="B2" s="5" t="s">
        <v>2</v>
      </c>
      <c r="C2" s="11" t="s">
        <v>3</v>
      </c>
      <c r="D2" s="5" t="s">
        <v>4</v>
      </c>
      <c r="E2" s="3" t="s">
        <v>5</v>
      </c>
      <c r="F2" s="7" t="s">
        <v>6</v>
      </c>
      <c r="G2" s="7" t="s">
        <v>7</v>
      </c>
      <c r="H2" s="4" t="s">
        <v>8</v>
      </c>
      <c r="I2" s="4" t="s">
        <v>94</v>
      </c>
      <c r="J2" s="6" t="s">
        <v>95</v>
      </c>
      <c r="K2" s="4" t="s">
        <v>96</v>
      </c>
      <c r="L2" s="4" t="s">
        <v>97</v>
      </c>
      <c r="M2" s="4" t="s">
        <v>98</v>
      </c>
      <c r="N2" s="2"/>
    </row>
    <row r="3" spans="1:14">
      <c r="A3" s="5">
        <v>1</v>
      </c>
      <c r="B3" s="5" t="s">
        <v>26</v>
      </c>
      <c r="C3" s="16" t="s">
        <v>27</v>
      </c>
      <c r="D3" s="5" t="s">
        <v>11</v>
      </c>
      <c r="E3" s="17">
        <v>0.11</v>
      </c>
      <c r="F3" s="5">
        <v>90000000</v>
      </c>
      <c r="G3" s="5" t="s">
        <v>84</v>
      </c>
      <c r="H3" s="5">
        <f>F3-5284942</f>
        <v>84715058</v>
      </c>
      <c r="I3" s="5" t="s">
        <v>99</v>
      </c>
      <c r="J3" s="2"/>
      <c r="K3" s="2"/>
      <c r="L3" s="2"/>
      <c r="M3" s="193"/>
      <c r="N3" s="194"/>
    </row>
    <row r="4" spans="1:14">
      <c r="A4" s="153" t="s">
        <v>101</v>
      </c>
      <c r="B4" s="154"/>
      <c r="C4" s="154"/>
      <c r="D4" s="154"/>
      <c r="E4" s="154"/>
      <c r="F4" s="154"/>
      <c r="G4" s="154"/>
      <c r="H4" s="154"/>
      <c r="I4" s="155"/>
      <c r="J4" s="2"/>
      <c r="K4" s="2"/>
      <c r="L4" s="2"/>
      <c r="M4" s="170"/>
      <c r="N4" s="171"/>
    </row>
    <row r="5" spans="1:14">
      <c r="A5" s="5">
        <v>2</v>
      </c>
      <c r="B5" s="5" t="s">
        <v>58</v>
      </c>
      <c r="C5" s="16" t="s">
        <v>59</v>
      </c>
      <c r="D5" s="5" t="s">
        <v>11</v>
      </c>
      <c r="E5" s="17">
        <v>0.11</v>
      </c>
      <c r="F5" s="5">
        <v>110000000</v>
      </c>
      <c r="G5" s="5" t="s">
        <v>91</v>
      </c>
      <c r="H5" s="5">
        <f>F5-94920505</f>
        <v>15079495</v>
      </c>
      <c r="I5" s="5" t="s">
        <v>99</v>
      </c>
      <c r="J5" s="2"/>
      <c r="K5" s="2"/>
      <c r="L5" s="2"/>
      <c r="M5" s="193"/>
      <c r="N5" s="194"/>
    </row>
    <row r="6" spans="1:14">
      <c r="A6" s="153" t="s">
        <v>101</v>
      </c>
      <c r="B6" s="154"/>
      <c r="C6" s="154"/>
      <c r="D6" s="154"/>
      <c r="E6" s="154"/>
      <c r="F6" s="154"/>
      <c r="G6" s="154"/>
      <c r="H6" s="154"/>
      <c r="I6" s="155"/>
      <c r="J6" s="2"/>
      <c r="K6" s="2"/>
      <c r="L6" s="2"/>
      <c r="M6" s="170"/>
      <c r="N6" s="171"/>
    </row>
    <row r="7" spans="1:14">
      <c r="A7" s="5">
        <v>3</v>
      </c>
      <c r="B7" s="5" t="s">
        <v>56</v>
      </c>
      <c r="C7" s="16" t="s">
        <v>57</v>
      </c>
      <c r="D7" s="5" t="s">
        <v>11</v>
      </c>
      <c r="E7" s="17">
        <v>0.11</v>
      </c>
      <c r="F7" s="5">
        <v>150000000</v>
      </c>
      <c r="G7" s="5" t="s">
        <v>90</v>
      </c>
      <c r="H7" s="5">
        <f>F7-101442116</f>
        <v>48557884</v>
      </c>
      <c r="I7" s="5" t="s">
        <v>99</v>
      </c>
      <c r="J7" s="2"/>
      <c r="K7" s="2"/>
      <c r="L7" s="2"/>
      <c r="M7" s="193"/>
      <c r="N7" s="194"/>
    </row>
    <row r="8" spans="1:14">
      <c r="A8" s="5">
        <v>4</v>
      </c>
      <c r="B8" s="5" t="s">
        <v>22</v>
      </c>
      <c r="C8" s="16" t="s">
        <v>23</v>
      </c>
      <c r="D8" s="5" t="s">
        <v>11</v>
      </c>
      <c r="E8" s="17">
        <v>0.11</v>
      </c>
      <c r="F8" s="5">
        <v>205000000</v>
      </c>
      <c r="G8" s="5" t="s">
        <v>82</v>
      </c>
      <c r="H8" s="5">
        <f>F8-157768877</f>
        <v>47231123</v>
      </c>
      <c r="I8" s="5" t="s">
        <v>99</v>
      </c>
      <c r="J8" s="2"/>
      <c r="K8" s="2"/>
      <c r="L8" s="2"/>
      <c r="M8" s="195"/>
      <c r="N8" s="196"/>
    </row>
    <row r="9" spans="1:14">
      <c r="A9" s="5">
        <v>5</v>
      </c>
      <c r="B9" s="5" t="s">
        <v>72</v>
      </c>
      <c r="C9" s="16" t="s">
        <v>73</v>
      </c>
      <c r="D9" s="5" t="s">
        <v>11</v>
      </c>
      <c r="E9" s="17">
        <v>0.11</v>
      </c>
      <c r="F9" s="5">
        <v>35000000</v>
      </c>
      <c r="G9" s="5" t="s">
        <v>93</v>
      </c>
      <c r="H9" s="5">
        <f>F9</f>
        <v>35000000</v>
      </c>
      <c r="I9" s="5" t="s">
        <v>100</v>
      </c>
      <c r="J9" s="2"/>
      <c r="K9" s="2"/>
      <c r="L9" s="2"/>
      <c r="M9" s="195"/>
      <c r="N9" s="196"/>
    </row>
    <row r="10" spans="1:14">
      <c r="A10" s="153" t="s">
        <v>101</v>
      </c>
      <c r="B10" s="154"/>
      <c r="C10" s="154"/>
      <c r="D10" s="154"/>
      <c r="E10" s="154"/>
      <c r="F10" s="154"/>
      <c r="G10" s="154"/>
      <c r="H10" s="154"/>
      <c r="I10" s="155"/>
      <c r="J10" s="2"/>
      <c r="K10" s="2"/>
      <c r="L10" s="2"/>
      <c r="M10" s="170"/>
      <c r="N10" s="171"/>
    </row>
    <row r="11" spans="1:14">
      <c r="A11" s="5">
        <v>6</v>
      </c>
      <c r="B11" s="5" t="s">
        <v>38</v>
      </c>
      <c r="C11" s="16" t="s">
        <v>39</v>
      </c>
      <c r="D11" s="5" t="s">
        <v>11</v>
      </c>
      <c r="E11" s="17">
        <v>0.1</v>
      </c>
      <c r="F11" s="5">
        <v>65000000</v>
      </c>
      <c r="G11" s="5" t="s">
        <v>86</v>
      </c>
      <c r="H11" s="5">
        <f>F11</f>
        <v>65000000</v>
      </c>
      <c r="I11" s="5" t="s">
        <v>100</v>
      </c>
      <c r="J11" s="2"/>
      <c r="K11" s="2"/>
      <c r="L11" s="2"/>
      <c r="M11" s="193"/>
      <c r="N11" s="194"/>
    </row>
    <row r="12" spans="1:14">
      <c r="A12" s="5">
        <v>7</v>
      </c>
      <c r="B12" s="5" t="s">
        <v>78</v>
      </c>
      <c r="C12" s="16" t="s">
        <v>79</v>
      </c>
      <c r="D12" s="5" t="s">
        <v>11</v>
      </c>
      <c r="E12" s="18">
        <v>0.105</v>
      </c>
      <c r="F12" s="5">
        <v>30000000</v>
      </c>
      <c r="G12" s="5" t="s">
        <v>86</v>
      </c>
      <c r="H12" s="5">
        <f>F12</f>
        <v>30000000</v>
      </c>
      <c r="I12" s="5" t="s">
        <v>100</v>
      </c>
      <c r="J12" s="2"/>
      <c r="K12" s="2"/>
      <c r="L12" s="2"/>
      <c r="M12" s="195"/>
      <c r="N12" s="196"/>
    </row>
    <row r="13" spans="1:14">
      <c r="A13" s="153" t="s">
        <v>101</v>
      </c>
      <c r="B13" s="154"/>
      <c r="C13" s="154"/>
      <c r="D13" s="154"/>
      <c r="E13" s="154"/>
      <c r="F13" s="154"/>
      <c r="G13" s="154"/>
      <c r="H13" s="154"/>
      <c r="I13" s="155"/>
      <c r="J13" s="2"/>
      <c r="K13" s="2"/>
      <c r="L13" s="2"/>
      <c r="M13" s="170"/>
      <c r="N13" s="171"/>
    </row>
    <row r="14" spans="1:14">
      <c r="A14" s="5">
        <v>8</v>
      </c>
      <c r="B14" s="5" t="s">
        <v>12</v>
      </c>
      <c r="C14" s="11" t="s">
        <v>15</v>
      </c>
      <c r="D14" s="5" t="s">
        <v>11</v>
      </c>
      <c r="E14" s="17">
        <v>0.1</v>
      </c>
      <c r="F14" s="5">
        <v>100000000</v>
      </c>
      <c r="G14" s="5" t="s">
        <v>81</v>
      </c>
      <c r="H14" s="5">
        <f>F14-10778342</f>
        <v>89221658</v>
      </c>
      <c r="I14" s="5" t="s">
        <v>99</v>
      </c>
      <c r="J14" s="2"/>
      <c r="K14" s="2"/>
      <c r="L14" s="2"/>
      <c r="M14" s="193"/>
      <c r="N14" s="194"/>
    </row>
    <row r="15" spans="1:14">
      <c r="A15" s="153" t="s">
        <v>101</v>
      </c>
      <c r="B15" s="154"/>
      <c r="C15" s="154"/>
      <c r="D15" s="154"/>
      <c r="E15" s="154"/>
      <c r="F15" s="154"/>
      <c r="G15" s="154"/>
      <c r="H15" s="154"/>
      <c r="I15" s="155"/>
      <c r="J15" s="2"/>
      <c r="K15" s="2"/>
      <c r="L15" s="2"/>
      <c r="M15" s="170"/>
      <c r="N15" s="171"/>
    </row>
    <row r="16" spans="1:14">
      <c r="A16" s="5">
        <v>9</v>
      </c>
      <c r="B16" s="5" t="s">
        <v>28</v>
      </c>
      <c r="C16" s="16" t="s">
        <v>29</v>
      </c>
      <c r="D16" s="5" t="s">
        <v>11</v>
      </c>
      <c r="E16" s="18">
        <v>0.105</v>
      </c>
      <c r="F16" s="5">
        <v>30000000</v>
      </c>
      <c r="G16" s="5" t="s">
        <v>85</v>
      </c>
      <c r="H16" s="5">
        <f>F16</f>
        <v>30000000</v>
      </c>
      <c r="I16" s="5" t="s">
        <v>100</v>
      </c>
      <c r="J16" s="2"/>
      <c r="K16" s="2"/>
      <c r="L16" s="2"/>
      <c r="M16" s="193"/>
      <c r="N16" s="194"/>
    </row>
    <row r="17" spans="1:14">
      <c r="A17" s="153" t="s">
        <v>101</v>
      </c>
      <c r="B17" s="154"/>
      <c r="C17" s="154"/>
      <c r="D17" s="154"/>
      <c r="E17" s="154"/>
      <c r="F17" s="154"/>
      <c r="G17" s="154"/>
      <c r="H17" s="154"/>
      <c r="I17" s="155"/>
      <c r="J17" s="2"/>
      <c r="K17" s="2"/>
      <c r="L17" s="2"/>
      <c r="M17" s="170"/>
      <c r="N17" s="171"/>
    </row>
    <row r="18" spans="1:14">
      <c r="A18" s="5">
        <v>10</v>
      </c>
      <c r="B18" s="5" t="s">
        <v>42</v>
      </c>
      <c r="C18" s="16" t="s">
        <v>43</v>
      </c>
      <c r="D18" s="5" t="s">
        <v>11</v>
      </c>
      <c r="E18" s="17">
        <v>0.11</v>
      </c>
      <c r="F18" s="5">
        <v>130000000</v>
      </c>
      <c r="G18" s="5" t="s">
        <v>87</v>
      </c>
      <c r="H18" s="5">
        <f>F18-54499946</f>
        <v>75500054</v>
      </c>
      <c r="I18" s="5" t="s">
        <v>99</v>
      </c>
      <c r="J18" s="2"/>
      <c r="K18" s="2"/>
      <c r="L18" s="2"/>
      <c r="M18" s="193"/>
      <c r="N18" s="194"/>
    </row>
    <row r="19" spans="1:14">
      <c r="A19" s="5">
        <v>11</v>
      </c>
      <c r="B19" s="5" t="s">
        <v>62</v>
      </c>
      <c r="C19" s="16" t="s">
        <v>63</v>
      </c>
      <c r="D19" s="5" t="s">
        <v>11</v>
      </c>
      <c r="E19" s="17">
        <v>0.09</v>
      </c>
      <c r="F19" s="5">
        <v>280000000</v>
      </c>
      <c r="G19" s="5" t="s">
        <v>87</v>
      </c>
      <c r="H19" s="5">
        <f>F19</f>
        <v>280000000</v>
      </c>
      <c r="I19" s="5" t="s">
        <v>100</v>
      </c>
      <c r="J19" s="2"/>
      <c r="K19" s="2"/>
      <c r="L19" s="2"/>
      <c r="M19" s="195"/>
      <c r="N19" s="196"/>
    </row>
    <row r="20" spans="1:14">
      <c r="A20" s="153" t="s">
        <v>101</v>
      </c>
      <c r="B20" s="154"/>
      <c r="C20" s="154"/>
      <c r="D20" s="154"/>
      <c r="E20" s="154"/>
      <c r="F20" s="154"/>
      <c r="G20" s="154"/>
      <c r="H20" s="154"/>
      <c r="I20" s="155"/>
      <c r="J20" s="2"/>
      <c r="K20" s="2"/>
      <c r="L20" s="2"/>
      <c r="M20" s="170"/>
      <c r="N20" s="171"/>
    </row>
    <row r="21" spans="1:14">
      <c r="A21" s="5">
        <v>12</v>
      </c>
      <c r="B21" s="5" t="s">
        <v>9</v>
      </c>
      <c r="C21" s="11" t="s">
        <v>10</v>
      </c>
      <c r="D21" s="5" t="s">
        <v>11</v>
      </c>
      <c r="E21" s="17">
        <v>0.12</v>
      </c>
      <c r="F21" s="5">
        <v>15000000</v>
      </c>
      <c r="G21" s="5" t="s">
        <v>80</v>
      </c>
      <c r="H21" s="5">
        <f>F21</f>
        <v>15000000</v>
      </c>
      <c r="I21" s="5" t="s">
        <v>100</v>
      </c>
      <c r="J21" s="2"/>
      <c r="K21" s="2"/>
      <c r="L21" s="2"/>
      <c r="M21" s="193"/>
      <c r="N21" s="194"/>
    </row>
    <row r="22" spans="1:14">
      <c r="A22" s="5">
        <v>13</v>
      </c>
      <c r="B22" s="5" t="s">
        <v>14</v>
      </c>
      <c r="C22" s="11" t="s">
        <v>13</v>
      </c>
      <c r="D22" s="5" t="s">
        <v>11</v>
      </c>
      <c r="E22" s="17">
        <v>0.12</v>
      </c>
      <c r="F22" s="5">
        <v>140000000</v>
      </c>
      <c r="G22" s="5" t="s">
        <v>80</v>
      </c>
      <c r="H22" s="5">
        <f>F22-130416849</f>
        <v>9583151</v>
      </c>
      <c r="I22" s="5" t="s">
        <v>99</v>
      </c>
      <c r="J22" s="2"/>
      <c r="K22" s="2"/>
      <c r="L22" s="2"/>
      <c r="M22" s="195"/>
      <c r="N22" s="196"/>
    </row>
    <row r="23" spans="1:14">
      <c r="A23" s="5">
        <v>14</v>
      </c>
      <c r="B23" s="5" t="s">
        <v>16</v>
      </c>
      <c r="C23" s="16" t="s">
        <v>17</v>
      </c>
      <c r="D23" s="5" t="s">
        <v>11</v>
      </c>
      <c r="E23" s="17">
        <v>0.12</v>
      </c>
      <c r="F23" s="5">
        <v>72000000</v>
      </c>
      <c r="G23" s="5" t="s">
        <v>80</v>
      </c>
      <c r="H23" s="5">
        <f>F23-18055568</f>
        <v>53944432</v>
      </c>
      <c r="I23" s="5" t="s">
        <v>99</v>
      </c>
      <c r="J23" s="2"/>
      <c r="K23" s="2"/>
      <c r="L23" s="2"/>
      <c r="M23" s="195"/>
      <c r="N23" s="196"/>
    </row>
    <row r="24" spans="1:14">
      <c r="A24" s="5">
        <v>15</v>
      </c>
      <c r="B24" s="5" t="s">
        <v>18</v>
      </c>
      <c r="C24" s="16" t="s">
        <v>20</v>
      </c>
      <c r="D24" s="5" t="s">
        <v>11</v>
      </c>
      <c r="E24" s="17">
        <v>0.12</v>
      </c>
      <c r="F24" s="5">
        <v>65000000</v>
      </c>
      <c r="G24" s="5" t="s">
        <v>80</v>
      </c>
      <c r="H24" s="5">
        <f>F24-32052581</f>
        <v>32947419</v>
      </c>
      <c r="I24" s="5" t="s">
        <v>99</v>
      </c>
      <c r="J24" s="2"/>
      <c r="K24" s="2"/>
      <c r="L24" s="2"/>
      <c r="M24" s="195"/>
      <c r="N24" s="196"/>
    </row>
    <row r="25" spans="1:14">
      <c r="A25" s="5">
        <v>16</v>
      </c>
      <c r="B25" s="5" t="s">
        <v>19</v>
      </c>
      <c r="C25" s="16" t="s">
        <v>21</v>
      </c>
      <c r="D25" s="5" t="s">
        <v>11</v>
      </c>
      <c r="E25" s="17">
        <v>0.11</v>
      </c>
      <c r="F25" s="5">
        <v>230000000</v>
      </c>
      <c r="G25" s="5" t="s">
        <v>80</v>
      </c>
      <c r="H25" s="5">
        <f>F25</f>
        <v>230000000</v>
      </c>
      <c r="I25" s="5" t="s">
        <v>100</v>
      </c>
      <c r="J25" s="2"/>
      <c r="K25" s="2"/>
      <c r="L25" s="2"/>
      <c r="M25" s="195"/>
      <c r="N25" s="196"/>
    </row>
    <row r="26" spans="1:14">
      <c r="A26" s="5">
        <v>17</v>
      </c>
      <c r="B26" s="5" t="s">
        <v>30</v>
      </c>
      <c r="C26" s="16" t="s">
        <v>31</v>
      </c>
      <c r="D26" s="5" t="s">
        <v>11</v>
      </c>
      <c r="E26" s="17">
        <v>0.12</v>
      </c>
      <c r="F26" s="5">
        <v>85000000</v>
      </c>
      <c r="G26" s="5" t="s">
        <v>80</v>
      </c>
      <c r="H26" s="5">
        <f>F26-52859152</f>
        <v>32140848</v>
      </c>
      <c r="I26" s="5" t="s">
        <v>99</v>
      </c>
      <c r="J26" s="2"/>
      <c r="K26" s="2"/>
      <c r="L26" s="2"/>
      <c r="M26" s="195"/>
      <c r="N26" s="196"/>
    </row>
    <row r="27" spans="1:14">
      <c r="A27" s="5">
        <v>18</v>
      </c>
      <c r="B27" s="5" t="s">
        <v>32</v>
      </c>
      <c r="C27" s="16" t="s">
        <v>33</v>
      </c>
      <c r="D27" s="5" t="s">
        <v>11</v>
      </c>
      <c r="E27" s="17">
        <v>0.12</v>
      </c>
      <c r="F27" s="5">
        <v>50000000</v>
      </c>
      <c r="G27" s="5" t="s">
        <v>80</v>
      </c>
      <c r="H27" s="5">
        <f>F27-9691596</f>
        <v>40308404</v>
      </c>
      <c r="I27" s="5" t="s">
        <v>99</v>
      </c>
      <c r="J27" s="2"/>
      <c r="K27" s="2"/>
      <c r="L27" s="2"/>
      <c r="M27" s="195"/>
      <c r="N27" s="196"/>
    </row>
    <row r="28" spans="1:14">
      <c r="A28" s="5">
        <v>19</v>
      </c>
      <c r="B28" s="5" t="s">
        <v>34</v>
      </c>
      <c r="C28" s="16" t="s">
        <v>35</v>
      </c>
      <c r="D28" s="5" t="s">
        <v>11</v>
      </c>
      <c r="E28" s="17">
        <v>0.12</v>
      </c>
      <c r="F28" s="5">
        <v>143000000</v>
      </c>
      <c r="G28" s="5" t="s">
        <v>80</v>
      </c>
      <c r="H28" s="5">
        <f>F28-124338359</f>
        <v>18661641</v>
      </c>
      <c r="I28" s="5" t="s">
        <v>99</v>
      </c>
      <c r="J28" s="2"/>
      <c r="K28" s="2"/>
      <c r="L28" s="2"/>
      <c r="M28" s="195"/>
      <c r="N28" s="196"/>
    </row>
    <row r="29" spans="1:14">
      <c r="A29" s="5">
        <v>20</v>
      </c>
      <c r="B29" s="5" t="s">
        <v>36</v>
      </c>
      <c r="C29" s="16" t="s">
        <v>37</v>
      </c>
      <c r="D29" s="5" t="s">
        <v>11</v>
      </c>
      <c r="E29" s="17">
        <v>0.12</v>
      </c>
      <c r="F29" s="5">
        <v>165000000</v>
      </c>
      <c r="G29" s="5" t="s">
        <v>80</v>
      </c>
      <c r="H29" s="5">
        <f>F29-127918327</f>
        <v>37081673</v>
      </c>
      <c r="I29" s="5" t="s">
        <v>99</v>
      </c>
      <c r="J29" s="2"/>
      <c r="K29" s="2"/>
      <c r="L29" s="2"/>
      <c r="M29" s="195"/>
      <c r="N29" s="196"/>
    </row>
    <row r="30" spans="1:14">
      <c r="A30" s="5">
        <v>21</v>
      </c>
      <c r="B30" s="5" t="s">
        <v>40</v>
      </c>
      <c r="C30" s="16" t="s">
        <v>41</v>
      </c>
      <c r="D30" s="5" t="s">
        <v>11</v>
      </c>
      <c r="E30" s="17">
        <v>0.12</v>
      </c>
      <c r="F30" s="5">
        <v>45000000</v>
      </c>
      <c r="G30" s="5" t="s">
        <v>80</v>
      </c>
      <c r="H30" s="5">
        <f>F30</f>
        <v>45000000</v>
      </c>
      <c r="I30" s="5" t="s">
        <v>100</v>
      </c>
      <c r="J30" s="2"/>
      <c r="K30" s="2"/>
      <c r="L30" s="2"/>
      <c r="M30" s="195"/>
      <c r="N30" s="196"/>
    </row>
    <row r="31" spans="1:14">
      <c r="A31" s="5">
        <v>22</v>
      </c>
      <c r="B31" s="5" t="s">
        <v>44</v>
      </c>
      <c r="C31" s="16" t="s">
        <v>45</v>
      </c>
      <c r="D31" s="5" t="s">
        <v>11</v>
      </c>
      <c r="E31" s="17">
        <v>0.12</v>
      </c>
      <c r="F31" s="5">
        <v>90000000</v>
      </c>
      <c r="G31" s="5" t="s">
        <v>80</v>
      </c>
      <c r="H31" s="5">
        <f>F31-45505695</f>
        <v>44494305</v>
      </c>
      <c r="I31" s="5" t="s">
        <v>99</v>
      </c>
      <c r="J31" s="2"/>
      <c r="K31" s="2"/>
      <c r="L31" s="2"/>
      <c r="M31" s="195"/>
      <c r="N31" s="196"/>
    </row>
    <row r="32" spans="1:14">
      <c r="A32" s="5">
        <v>23</v>
      </c>
      <c r="B32" s="5" t="s">
        <v>50</v>
      </c>
      <c r="C32" s="16" t="s">
        <v>51</v>
      </c>
      <c r="D32" s="5" t="s">
        <v>11</v>
      </c>
      <c r="E32" s="17">
        <v>0.12</v>
      </c>
      <c r="F32" s="5">
        <v>15000000</v>
      </c>
      <c r="G32" s="5" t="s">
        <v>80</v>
      </c>
      <c r="H32" s="5">
        <f>F32</f>
        <v>15000000</v>
      </c>
      <c r="I32" s="5" t="s">
        <v>100</v>
      </c>
      <c r="J32" s="2"/>
      <c r="K32" s="2"/>
      <c r="L32" s="2"/>
      <c r="M32" s="195"/>
      <c r="N32" s="196"/>
    </row>
    <row r="33" spans="1:14">
      <c r="A33" s="5">
        <v>24</v>
      </c>
      <c r="B33" s="5" t="s">
        <v>52</v>
      </c>
      <c r="C33" s="16" t="s">
        <v>53</v>
      </c>
      <c r="D33" s="5" t="s">
        <v>11</v>
      </c>
      <c r="E33" s="17">
        <v>0.12</v>
      </c>
      <c r="F33" s="5">
        <v>260000000</v>
      </c>
      <c r="G33" s="5" t="s">
        <v>80</v>
      </c>
      <c r="H33" s="5">
        <f>F33-96755040</f>
        <v>163244960</v>
      </c>
      <c r="I33" s="5" t="s">
        <v>99</v>
      </c>
      <c r="J33" s="2"/>
      <c r="K33" s="2"/>
      <c r="L33" s="2"/>
      <c r="M33" s="195"/>
      <c r="N33" s="196"/>
    </row>
    <row r="34" spans="1:14">
      <c r="A34" s="5">
        <v>25</v>
      </c>
      <c r="B34" s="5" t="s">
        <v>54</v>
      </c>
      <c r="C34" s="16" t="s">
        <v>55</v>
      </c>
      <c r="D34" s="5" t="s">
        <v>11</v>
      </c>
      <c r="E34" s="17">
        <v>0.12</v>
      </c>
      <c r="F34" s="5">
        <v>8000000</v>
      </c>
      <c r="G34" s="5" t="s">
        <v>80</v>
      </c>
      <c r="H34" s="5">
        <f>F34</f>
        <v>8000000</v>
      </c>
      <c r="I34" s="5" t="s">
        <v>100</v>
      </c>
      <c r="J34" s="2"/>
      <c r="K34" s="2"/>
      <c r="L34" s="2"/>
      <c r="M34" s="195"/>
      <c r="N34" s="196"/>
    </row>
    <row r="35" spans="1:14">
      <c r="A35" s="5">
        <v>26</v>
      </c>
      <c r="B35" s="5" t="s">
        <v>60</v>
      </c>
      <c r="C35" s="16" t="s">
        <v>61</v>
      </c>
      <c r="D35" s="5" t="s">
        <v>11</v>
      </c>
      <c r="E35" s="17">
        <v>0.12</v>
      </c>
      <c r="F35" s="5">
        <v>200000000</v>
      </c>
      <c r="G35" s="5" t="s">
        <v>80</v>
      </c>
      <c r="H35" s="5">
        <f>F35</f>
        <v>200000000</v>
      </c>
      <c r="I35" s="5" t="s">
        <v>100</v>
      </c>
      <c r="J35" s="2"/>
      <c r="K35" s="2"/>
      <c r="L35" s="2"/>
      <c r="M35" s="195"/>
      <c r="N35" s="196"/>
    </row>
    <row r="36" spans="1:14">
      <c r="A36" s="5">
        <v>27</v>
      </c>
      <c r="B36" s="5" t="s">
        <v>64</v>
      </c>
      <c r="C36" s="16" t="s">
        <v>65</v>
      </c>
      <c r="D36" s="5" t="s">
        <v>11</v>
      </c>
      <c r="E36" s="17">
        <v>0.12</v>
      </c>
      <c r="F36" s="5">
        <v>10000000</v>
      </c>
      <c r="G36" s="5" t="s">
        <v>80</v>
      </c>
      <c r="H36" s="5">
        <f>F36</f>
        <v>10000000</v>
      </c>
      <c r="I36" s="5" t="s">
        <v>100</v>
      </c>
      <c r="J36" s="2"/>
      <c r="K36" s="2"/>
      <c r="L36" s="2"/>
      <c r="M36" s="195"/>
      <c r="N36" s="196"/>
    </row>
    <row r="37" spans="1:14">
      <c r="A37" s="5">
        <v>28</v>
      </c>
      <c r="B37" s="5" t="s">
        <v>66</v>
      </c>
      <c r="C37" s="16" t="s">
        <v>67</v>
      </c>
      <c r="D37" s="5" t="s">
        <v>11</v>
      </c>
      <c r="E37" s="17">
        <v>0.12</v>
      </c>
      <c r="F37" s="5">
        <v>120000000</v>
      </c>
      <c r="G37" s="5" t="s">
        <v>80</v>
      </c>
      <c r="H37" s="5">
        <f>F37-102777198</f>
        <v>17222802</v>
      </c>
      <c r="I37" s="5" t="s">
        <v>99</v>
      </c>
      <c r="J37" s="2"/>
      <c r="K37" s="2"/>
      <c r="L37" s="2"/>
      <c r="M37" s="195"/>
      <c r="N37" s="196"/>
    </row>
    <row r="38" spans="1:14">
      <c r="A38" s="5">
        <v>29</v>
      </c>
      <c r="B38" s="5" t="s">
        <v>68</v>
      </c>
      <c r="C38" s="16" t="s">
        <v>69</v>
      </c>
      <c r="D38" s="5" t="s">
        <v>11</v>
      </c>
      <c r="E38" s="17">
        <v>0.11</v>
      </c>
      <c r="F38" s="5">
        <v>150000000</v>
      </c>
      <c r="G38" s="5" t="s">
        <v>80</v>
      </c>
      <c r="H38" s="5">
        <f>F38-127342306</f>
        <v>22657694</v>
      </c>
      <c r="I38" s="5" t="s">
        <v>99</v>
      </c>
      <c r="J38" s="2"/>
      <c r="K38" s="2"/>
      <c r="L38" s="2"/>
      <c r="M38" s="195"/>
      <c r="N38" s="196"/>
    </row>
    <row r="39" spans="1:14">
      <c r="A39" s="5">
        <v>30</v>
      </c>
      <c r="B39" s="5" t="s">
        <v>74</v>
      </c>
      <c r="C39" s="16" t="s">
        <v>75</v>
      </c>
      <c r="D39" s="5" t="s">
        <v>11</v>
      </c>
      <c r="E39" s="17">
        <v>0.12</v>
      </c>
      <c r="F39" s="5">
        <v>95000000</v>
      </c>
      <c r="G39" s="5" t="s">
        <v>80</v>
      </c>
      <c r="H39" s="5">
        <f>F39</f>
        <v>95000000</v>
      </c>
      <c r="I39" s="5" t="s">
        <v>100</v>
      </c>
      <c r="J39" s="2"/>
      <c r="K39" s="2"/>
      <c r="L39" s="2"/>
      <c r="M39" s="195"/>
      <c r="N39" s="196"/>
    </row>
    <row r="40" spans="1:14">
      <c r="A40" s="153" t="s">
        <v>101</v>
      </c>
      <c r="B40" s="154"/>
      <c r="C40" s="154"/>
      <c r="D40" s="154"/>
      <c r="E40" s="154"/>
      <c r="F40" s="154"/>
      <c r="G40" s="154"/>
      <c r="H40" s="154"/>
      <c r="I40" s="155"/>
      <c r="J40" s="2"/>
      <c r="K40" s="2"/>
      <c r="L40" s="2"/>
      <c r="M40" s="170"/>
      <c r="N40" s="171"/>
    </row>
    <row r="41" spans="1:14">
      <c r="A41" s="5">
        <v>31</v>
      </c>
      <c r="B41" s="5" t="s">
        <v>70</v>
      </c>
      <c r="C41" s="16" t="s">
        <v>71</v>
      </c>
      <c r="D41" s="5" t="s">
        <v>11</v>
      </c>
      <c r="E41" s="17">
        <v>0.12</v>
      </c>
      <c r="F41" s="5">
        <v>45000000</v>
      </c>
      <c r="G41" s="5" t="s">
        <v>92</v>
      </c>
      <c r="H41" s="5">
        <f>F41</f>
        <v>45000000</v>
      </c>
      <c r="I41" s="5" t="s">
        <v>100</v>
      </c>
      <c r="J41" s="2"/>
      <c r="K41" s="2"/>
      <c r="L41" s="2"/>
      <c r="M41" s="193"/>
      <c r="N41" s="194"/>
    </row>
    <row r="42" spans="1:14">
      <c r="A42" s="5">
        <v>32</v>
      </c>
      <c r="B42" s="5" t="s">
        <v>76</v>
      </c>
      <c r="C42" s="16" t="s">
        <v>77</v>
      </c>
      <c r="D42" s="5" t="s">
        <v>11</v>
      </c>
      <c r="E42" s="17">
        <v>0.12</v>
      </c>
      <c r="F42" s="5">
        <v>200000000</v>
      </c>
      <c r="G42" s="5" t="s">
        <v>92</v>
      </c>
      <c r="H42" s="5">
        <f>F42</f>
        <v>200000000</v>
      </c>
      <c r="I42" s="5" t="s">
        <v>100</v>
      </c>
      <c r="J42" s="2"/>
      <c r="K42" s="2"/>
      <c r="L42" s="2"/>
      <c r="M42" s="195"/>
      <c r="N42" s="196"/>
    </row>
    <row r="43" spans="1:14">
      <c r="A43" s="153" t="s">
        <v>101</v>
      </c>
      <c r="B43" s="154"/>
      <c r="C43" s="154"/>
      <c r="D43" s="154"/>
      <c r="E43" s="154"/>
      <c r="F43" s="154"/>
      <c r="G43" s="154"/>
      <c r="H43" s="154"/>
      <c r="I43" s="155"/>
      <c r="J43" s="2"/>
      <c r="K43" s="2"/>
      <c r="L43" s="2"/>
      <c r="M43" s="170"/>
      <c r="N43" s="171"/>
    </row>
    <row r="44" spans="1:14">
      <c r="A44" s="5">
        <v>33</v>
      </c>
      <c r="B44" s="5" t="s">
        <v>24</v>
      </c>
      <c r="C44" s="16" t="s">
        <v>25</v>
      </c>
      <c r="D44" s="5" t="s">
        <v>11</v>
      </c>
      <c r="E44" s="17">
        <v>0.09</v>
      </c>
      <c r="F44" s="5">
        <v>45000000</v>
      </c>
      <c r="G44" s="5" t="s">
        <v>83</v>
      </c>
      <c r="H44" s="5">
        <f>F44-38609315</f>
        <v>6390685</v>
      </c>
      <c r="I44" s="5" t="s">
        <v>99</v>
      </c>
      <c r="J44" s="2"/>
      <c r="K44" s="2"/>
      <c r="L44" s="2"/>
      <c r="M44" s="193"/>
      <c r="N44" s="194"/>
    </row>
    <row r="45" spans="1:14">
      <c r="A45" s="153" t="s">
        <v>101</v>
      </c>
      <c r="B45" s="154"/>
      <c r="C45" s="154"/>
      <c r="D45" s="154"/>
      <c r="E45" s="154"/>
      <c r="F45" s="154"/>
      <c r="G45" s="154"/>
      <c r="H45" s="154"/>
      <c r="I45" s="155"/>
      <c r="J45" s="2"/>
      <c r="K45" s="2"/>
      <c r="L45" s="2"/>
      <c r="M45" s="170"/>
      <c r="N45" s="171"/>
    </row>
    <row r="46" spans="1:14">
      <c r="A46" s="5">
        <v>34</v>
      </c>
      <c r="B46" s="5" t="s">
        <v>46</v>
      </c>
      <c r="C46" s="16" t="s">
        <v>47</v>
      </c>
      <c r="D46" s="5" t="s">
        <v>11</v>
      </c>
      <c r="E46" s="17">
        <v>0.11</v>
      </c>
      <c r="F46" s="5">
        <v>70000000</v>
      </c>
      <c r="G46" s="5" t="s">
        <v>88</v>
      </c>
      <c r="H46" s="5">
        <f>F46</f>
        <v>70000000</v>
      </c>
      <c r="I46" s="5" t="s">
        <v>100</v>
      </c>
      <c r="J46" s="2"/>
      <c r="K46" s="2"/>
      <c r="L46" s="2"/>
      <c r="M46" s="193"/>
      <c r="N46" s="194"/>
    </row>
    <row r="47" spans="1:14">
      <c r="A47" s="153" t="s">
        <v>101</v>
      </c>
      <c r="B47" s="154"/>
      <c r="C47" s="154"/>
      <c r="D47" s="154"/>
      <c r="E47" s="154"/>
      <c r="F47" s="154"/>
      <c r="G47" s="154"/>
      <c r="H47" s="154"/>
      <c r="I47" s="155"/>
      <c r="J47" s="2"/>
      <c r="K47" s="2"/>
      <c r="L47" s="2"/>
      <c r="M47" s="170"/>
      <c r="N47" s="171"/>
    </row>
    <row r="48" spans="1:14">
      <c r="A48" s="5">
        <v>35</v>
      </c>
      <c r="B48" s="5" t="s">
        <v>48</v>
      </c>
      <c r="C48" s="16" t="s">
        <v>49</v>
      </c>
      <c r="D48" s="5" t="s">
        <v>11</v>
      </c>
      <c r="E48" s="17">
        <v>0.11</v>
      </c>
      <c r="F48" s="5">
        <v>60000000</v>
      </c>
      <c r="G48" s="5" t="s">
        <v>89</v>
      </c>
      <c r="H48" s="5">
        <f>F48</f>
        <v>60000000</v>
      </c>
      <c r="I48" s="5" t="s">
        <v>100</v>
      </c>
      <c r="J48" s="2"/>
      <c r="K48" s="2"/>
      <c r="L48" s="2"/>
      <c r="M48" s="193"/>
      <c r="N48" s="194"/>
    </row>
    <row r="49" spans="1:14">
      <c r="A49" s="153" t="s">
        <v>101</v>
      </c>
      <c r="B49" s="154"/>
      <c r="C49" s="154"/>
      <c r="D49" s="154"/>
      <c r="E49" s="154"/>
      <c r="F49" s="154"/>
      <c r="G49" s="154"/>
      <c r="H49" s="154"/>
      <c r="I49" s="155"/>
      <c r="J49" s="2"/>
      <c r="K49" s="2"/>
      <c r="L49" s="2"/>
      <c r="M49" s="170"/>
      <c r="N49" s="171"/>
    </row>
    <row r="50" spans="1:14">
      <c r="H50" s="19">
        <f>SUM(H3:H48)</f>
        <v>2271983286</v>
      </c>
    </row>
    <row r="52" spans="1:14">
      <c r="J52" t="s">
        <v>102</v>
      </c>
    </row>
    <row r="54" spans="1:14">
      <c r="J54" s="212" t="s">
        <v>103</v>
      </c>
      <c r="K54" s="212"/>
      <c r="L54" s="212"/>
      <c r="M54" s="212"/>
    </row>
    <row r="55" spans="1:14">
      <c r="J55" s="212" t="s">
        <v>104</v>
      </c>
      <c r="K55" s="212"/>
      <c r="L55" s="212"/>
      <c r="M55" s="212"/>
    </row>
    <row r="56" spans="1:14">
      <c r="J56" s="213" t="s">
        <v>105</v>
      </c>
      <c r="K56" s="213"/>
      <c r="L56" s="213"/>
      <c r="M56" s="213"/>
    </row>
    <row r="61" spans="1:14">
      <c r="J61" s="214" t="s">
        <v>106</v>
      </c>
      <c r="K61" s="214"/>
      <c r="L61" s="214"/>
      <c r="M61" s="214"/>
    </row>
    <row r="62" spans="1:14">
      <c r="J62" s="215" t="s">
        <v>107</v>
      </c>
      <c r="K62" s="215"/>
      <c r="L62" s="215"/>
      <c r="M62" s="215"/>
    </row>
  </sheetData>
  <mergeCells count="30">
    <mergeCell ref="J55:M55"/>
    <mergeCell ref="J56:M56"/>
    <mergeCell ref="J61:M61"/>
    <mergeCell ref="J62:M62"/>
    <mergeCell ref="A1:N1"/>
    <mergeCell ref="M21:N40"/>
    <mergeCell ref="M41:N43"/>
    <mergeCell ref="M44:N45"/>
    <mergeCell ref="M46:N47"/>
    <mergeCell ref="M48:N49"/>
    <mergeCell ref="J54:M54"/>
    <mergeCell ref="A45:I45"/>
    <mergeCell ref="A47:I47"/>
    <mergeCell ref="A49:I49"/>
    <mergeCell ref="M11:N13"/>
    <mergeCell ref="M7:N10"/>
    <mergeCell ref="M3:N4"/>
    <mergeCell ref="M5:N6"/>
    <mergeCell ref="M14:N15"/>
    <mergeCell ref="M16:N17"/>
    <mergeCell ref="M18:N20"/>
    <mergeCell ref="A43:I43"/>
    <mergeCell ref="A4:I4"/>
    <mergeCell ref="A6:I6"/>
    <mergeCell ref="A10:I10"/>
    <mergeCell ref="A13:I13"/>
    <mergeCell ref="A15:I15"/>
    <mergeCell ref="A17:I17"/>
    <mergeCell ref="A20:I20"/>
    <mergeCell ref="A40:I40"/>
  </mergeCells>
  <printOptions horizontalCentered="1" verticalCentered="1"/>
  <pageMargins left="0.31496062992125984" right="0.31496062992125984" top="0.15748031496062992" bottom="0.15748031496062992" header="0.31496062992125984" footer="0.31496062992125984"/>
  <pageSetup paperSize="5" scale="6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A3" sqref="A3:XFD49"/>
    </sheetView>
  </sheetViews>
  <sheetFormatPr defaultRowHeight="15"/>
  <cols>
    <col min="1" max="1" width="4.42578125" customWidth="1"/>
    <col min="2" max="2" width="28.5703125" bestFit="1" customWidth="1"/>
    <col min="3" max="3" width="10" bestFit="1" customWidth="1"/>
    <col min="6" max="6" width="14.28515625" bestFit="1" customWidth="1"/>
    <col min="7" max="7" width="26.7109375" bestFit="1" customWidth="1"/>
    <col min="8" max="8" width="14.28515625" bestFit="1" customWidth="1"/>
    <col min="9" max="9" width="10.5703125" bestFit="1" customWidth="1"/>
  </cols>
  <sheetData>
    <row r="1" spans="1:14" ht="18.75">
      <c r="A1" s="182" t="s">
        <v>110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>
      <c r="A2" s="5" t="s">
        <v>111</v>
      </c>
      <c r="B2" s="5" t="s">
        <v>2</v>
      </c>
      <c r="C2" s="11" t="s">
        <v>3</v>
      </c>
      <c r="D2" s="5" t="s">
        <v>4</v>
      </c>
      <c r="E2" s="3" t="s">
        <v>5</v>
      </c>
      <c r="F2" s="7" t="s">
        <v>6</v>
      </c>
      <c r="G2" s="7" t="s">
        <v>7</v>
      </c>
      <c r="H2" s="4" t="s">
        <v>8</v>
      </c>
      <c r="I2" s="4" t="s">
        <v>94</v>
      </c>
      <c r="J2" s="6" t="s">
        <v>95</v>
      </c>
      <c r="K2" s="4" t="s">
        <v>96</v>
      </c>
      <c r="L2" s="4" t="s">
        <v>97</v>
      </c>
      <c r="M2" s="4" t="s">
        <v>98</v>
      </c>
      <c r="N2" s="2"/>
    </row>
    <row r="3" spans="1:14">
      <c r="A3" s="2">
        <v>1</v>
      </c>
      <c r="B3" s="2" t="s">
        <v>114</v>
      </c>
      <c r="C3" s="2" t="s">
        <v>115</v>
      </c>
      <c r="D3" s="2" t="s">
        <v>11</v>
      </c>
      <c r="E3" s="2">
        <v>11</v>
      </c>
      <c r="F3" s="5">
        <v>130000000</v>
      </c>
      <c r="G3" s="2" t="s">
        <v>91</v>
      </c>
      <c r="H3" s="5">
        <f>F3-55877508</f>
        <v>74122492</v>
      </c>
      <c r="I3" s="2" t="s">
        <v>183</v>
      </c>
      <c r="J3" s="2"/>
      <c r="K3" s="2"/>
      <c r="L3" s="2"/>
      <c r="M3" s="193"/>
      <c r="N3" s="194"/>
    </row>
    <row r="4" spans="1:14">
      <c r="A4" s="2">
        <v>2</v>
      </c>
      <c r="B4" s="2" t="s">
        <v>132</v>
      </c>
      <c r="C4" s="20" t="s">
        <v>133</v>
      </c>
      <c r="D4" s="2" t="s">
        <v>11</v>
      </c>
      <c r="E4" s="2">
        <v>9</v>
      </c>
      <c r="F4" s="5">
        <v>200000000</v>
      </c>
      <c r="G4" s="2" t="s">
        <v>91</v>
      </c>
      <c r="H4" s="5">
        <f>F4</f>
        <v>200000000</v>
      </c>
      <c r="I4" s="2" t="s">
        <v>181</v>
      </c>
      <c r="J4" s="2"/>
      <c r="K4" s="2"/>
      <c r="L4" s="2"/>
      <c r="M4" s="195"/>
      <c r="N4" s="196"/>
    </row>
    <row r="5" spans="1:14">
      <c r="A5" s="156" t="s">
        <v>101</v>
      </c>
      <c r="B5" s="156"/>
      <c r="C5" s="156"/>
      <c r="D5" s="156"/>
      <c r="E5" s="156"/>
      <c r="F5" s="156"/>
      <c r="G5" s="156"/>
      <c r="H5" s="156"/>
      <c r="I5" s="156"/>
      <c r="J5" s="2"/>
      <c r="K5" s="2"/>
      <c r="L5" s="2"/>
      <c r="M5" s="170"/>
      <c r="N5" s="171"/>
    </row>
    <row r="6" spans="1:14">
      <c r="A6" s="2">
        <v>3</v>
      </c>
      <c r="B6" s="2" t="s">
        <v>140</v>
      </c>
      <c r="C6" s="20" t="s">
        <v>141</v>
      </c>
      <c r="D6" s="2" t="s">
        <v>11</v>
      </c>
      <c r="E6" s="2">
        <v>9</v>
      </c>
      <c r="F6" s="5">
        <v>300000000</v>
      </c>
      <c r="G6" s="2" t="s">
        <v>90</v>
      </c>
      <c r="H6" s="5">
        <f>F6-235654974</f>
        <v>64345026</v>
      </c>
      <c r="I6" s="2" t="s">
        <v>183</v>
      </c>
      <c r="J6" s="2"/>
      <c r="K6" s="2"/>
      <c r="L6" s="2"/>
      <c r="M6" s="193"/>
      <c r="N6" s="194"/>
    </row>
    <row r="7" spans="1:14">
      <c r="A7" s="2">
        <v>4</v>
      </c>
      <c r="B7" s="2" t="s">
        <v>150</v>
      </c>
      <c r="C7" s="20" t="s">
        <v>151</v>
      </c>
      <c r="D7" s="2" t="s">
        <v>11</v>
      </c>
      <c r="E7" s="2">
        <v>10</v>
      </c>
      <c r="F7" s="5">
        <v>165000000</v>
      </c>
      <c r="G7" s="2" t="s">
        <v>90</v>
      </c>
      <c r="H7" s="5">
        <f>F7-131034315</f>
        <v>33965685</v>
      </c>
      <c r="I7" s="2" t="s">
        <v>181</v>
      </c>
      <c r="J7" s="2"/>
      <c r="K7" s="2"/>
      <c r="L7" s="2"/>
      <c r="M7" s="195"/>
      <c r="N7" s="196"/>
    </row>
    <row r="8" spans="1:14">
      <c r="A8" s="2">
        <v>5</v>
      </c>
      <c r="B8" s="2" t="s">
        <v>174</v>
      </c>
      <c r="C8" s="20" t="s">
        <v>175</v>
      </c>
      <c r="D8" s="2" t="s">
        <v>11</v>
      </c>
      <c r="E8" s="2">
        <v>9</v>
      </c>
      <c r="F8" s="5">
        <v>100000000</v>
      </c>
      <c r="G8" s="2" t="s">
        <v>90</v>
      </c>
      <c r="H8" s="5">
        <f>F8</f>
        <v>100000000</v>
      </c>
      <c r="I8" s="2" t="s">
        <v>181</v>
      </c>
      <c r="J8" s="2"/>
      <c r="K8" s="2"/>
      <c r="L8" s="2"/>
      <c r="M8" s="195"/>
      <c r="N8" s="196"/>
    </row>
    <row r="9" spans="1:14">
      <c r="A9" s="156" t="s">
        <v>101</v>
      </c>
      <c r="B9" s="156"/>
      <c r="C9" s="156"/>
      <c r="D9" s="156"/>
      <c r="E9" s="156"/>
      <c r="F9" s="156"/>
      <c r="G9" s="156"/>
      <c r="H9" s="156"/>
      <c r="I9" s="156"/>
      <c r="J9" s="2"/>
      <c r="K9" s="2"/>
      <c r="L9" s="2"/>
      <c r="M9" s="170"/>
      <c r="N9" s="171"/>
    </row>
    <row r="10" spans="1:14">
      <c r="A10" s="2">
        <v>6</v>
      </c>
      <c r="B10" s="2" t="s">
        <v>164</v>
      </c>
      <c r="C10" s="20" t="s">
        <v>165</v>
      </c>
      <c r="D10" s="2" t="s">
        <v>11</v>
      </c>
      <c r="E10" s="2">
        <v>11</v>
      </c>
      <c r="F10" s="5">
        <v>150000000</v>
      </c>
      <c r="G10" s="2" t="s">
        <v>86</v>
      </c>
      <c r="H10" s="5">
        <v>150000000</v>
      </c>
      <c r="I10" s="2" t="s">
        <v>181</v>
      </c>
      <c r="J10" s="2"/>
      <c r="K10" s="2"/>
      <c r="L10" s="2"/>
      <c r="M10" s="193"/>
      <c r="N10" s="194"/>
    </row>
    <row r="11" spans="1:14">
      <c r="A11" s="156" t="s">
        <v>101</v>
      </c>
      <c r="B11" s="156"/>
      <c r="C11" s="156"/>
      <c r="D11" s="156"/>
      <c r="E11" s="156"/>
      <c r="F11" s="156"/>
      <c r="G11" s="156"/>
      <c r="H11" s="156"/>
      <c r="I11" s="156"/>
      <c r="J11" s="2"/>
      <c r="K11" s="2"/>
      <c r="L11" s="2"/>
      <c r="M11" s="170"/>
      <c r="N11" s="171"/>
    </row>
    <row r="12" spans="1:14">
      <c r="A12" s="2">
        <v>7</v>
      </c>
      <c r="B12" s="2" t="s">
        <v>116</v>
      </c>
      <c r="C12" s="20" t="s">
        <v>117</v>
      </c>
      <c r="D12" s="2" t="s">
        <v>11</v>
      </c>
      <c r="E12" s="2">
        <v>12</v>
      </c>
      <c r="F12" s="5">
        <v>50000000</v>
      </c>
      <c r="G12" s="2" t="s">
        <v>182</v>
      </c>
      <c r="H12" s="5">
        <f>F12-27669674</f>
        <v>22330326</v>
      </c>
      <c r="I12" s="2" t="s">
        <v>183</v>
      </c>
      <c r="J12" s="2"/>
      <c r="K12" s="2"/>
      <c r="L12" s="2"/>
      <c r="M12" s="193"/>
      <c r="N12" s="194"/>
    </row>
    <row r="13" spans="1:14">
      <c r="A13" s="156" t="s">
        <v>101</v>
      </c>
      <c r="B13" s="156"/>
      <c r="C13" s="156"/>
      <c r="D13" s="156"/>
      <c r="E13" s="156"/>
      <c r="F13" s="156"/>
      <c r="G13" s="156"/>
      <c r="H13" s="156"/>
      <c r="I13" s="156"/>
      <c r="J13" s="2"/>
      <c r="K13" s="2"/>
      <c r="L13" s="2"/>
      <c r="M13" s="170"/>
      <c r="N13" s="171"/>
    </row>
    <row r="14" spans="1:14">
      <c r="A14" s="2">
        <v>8</v>
      </c>
      <c r="B14" s="2" t="s">
        <v>152</v>
      </c>
      <c r="C14" s="20" t="s">
        <v>153</v>
      </c>
      <c r="D14" s="2" t="s">
        <v>11</v>
      </c>
      <c r="E14" s="2">
        <v>9</v>
      </c>
      <c r="F14" s="5">
        <v>125000000</v>
      </c>
      <c r="G14" s="2" t="s">
        <v>185</v>
      </c>
      <c r="H14" s="5">
        <v>125000000</v>
      </c>
      <c r="I14" s="2" t="s">
        <v>181</v>
      </c>
      <c r="J14" s="2"/>
      <c r="K14" s="2"/>
      <c r="L14" s="2"/>
      <c r="M14" s="193"/>
      <c r="N14" s="194"/>
    </row>
    <row r="15" spans="1:14">
      <c r="A15" s="156" t="s">
        <v>101</v>
      </c>
      <c r="B15" s="156"/>
      <c r="C15" s="156"/>
      <c r="D15" s="156"/>
      <c r="E15" s="156"/>
      <c r="F15" s="156"/>
      <c r="G15" s="156"/>
      <c r="H15" s="156"/>
      <c r="I15" s="156"/>
      <c r="J15" s="2"/>
      <c r="K15" s="2"/>
      <c r="L15" s="2"/>
      <c r="M15" s="170"/>
      <c r="N15" s="171"/>
    </row>
    <row r="16" spans="1:14">
      <c r="A16" s="2">
        <v>9</v>
      </c>
      <c r="B16" s="2" t="s">
        <v>112</v>
      </c>
      <c r="C16" s="2" t="s">
        <v>113</v>
      </c>
      <c r="D16" s="2" t="s">
        <v>11</v>
      </c>
      <c r="E16" s="2">
        <v>10</v>
      </c>
      <c r="F16" s="5">
        <v>295000000</v>
      </c>
      <c r="G16" s="2" t="s">
        <v>180</v>
      </c>
      <c r="H16" s="5">
        <f>F16</f>
        <v>295000000</v>
      </c>
      <c r="I16" s="2" t="s">
        <v>181</v>
      </c>
      <c r="J16" s="2"/>
      <c r="K16" s="2"/>
      <c r="L16" s="2"/>
      <c r="M16" s="193"/>
      <c r="N16" s="194"/>
    </row>
    <row r="17" spans="1:14">
      <c r="A17" s="156" t="s">
        <v>101</v>
      </c>
      <c r="B17" s="156"/>
      <c r="C17" s="156"/>
      <c r="D17" s="156"/>
      <c r="E17" s="156"/>
      <c r="F17" s="156"/>
      <c r="G17" s="156"/>
      <c r="H17" s="156"/>
      <c r="I17" s="156"/>
      <c r="J17" s="2"/>
      <c r="K17" s="2"/>
      <c r="L17" s="2"/>
      <c r="M17" s="170"/>
      <c r="N17" s="171"/>
    </row>
    <row r="18" spans="1:14">
      <c r="A18" s="2">
        <v>10</v>
      </c>
      <c r="B18" s="2" t="s">
        <v>142</v>
      </c>
      <c r="C18" s="20" t="s">
        <v>143</v>
      </c>
      <c r="D18" s="2" t="s">
        <v>11</v>
      </c>
      <c r="E18" s="2">
        <v>11</v>
      </c>
      <c r="F18" s="5">
        <v>60000000</v>
      </c>
      <c r="G18" s="2" t="s">
        <v>87</v>
      </c>
      <c r="H18" s="5">
        <f>F18-21508254</f>
        <v>38491746</v>
      </c>
      <c r="I18" s="2" t="s">
        <v>183</v>
      </c>
      <c r="J18" s="2"/>
      <c r="K18" s="2"/>
      <c r="L18" s="2"/>
      <c r="M18" s="193"/>
      <c r="N18" s="194"/>
    </row>
    <row r="19" spans="1:14">
      <c r="A19" s="2">
        <v>11</v>
      </c>
      <c r="B19" s="2" t="s">
        <v>148</v>
      </c>
      <c r="C19" s="20" t="s">
        <v>149</v>
      </c>
      <c r="D19" s="2" t="s">
        <v>11</v>
      </c>
      <c r="E19" s="2">
        <v>11</v>
      </c>
      <c r="F19" s="5">
        <v>270000000</v>
      </c>
      <c r="G19" s="2" t="s">
        <v>87</v>
      </c>
      <c r="H19" s="5">
        <f>F19-112126392</f>
        <v>157873608</v>
      </c>
      <c r="I19" s="2" t="s">
        <v>183</v>
      </c>
      <c r="J19" s="2"/>
      <c r="K19" s="2"/>
      <c r="L19" s="2"/>
      <c r="M19" s="195"/>
      <c r="N19" s="196"/>
    </row>
    <row r="20" spans="1:14">
      <c r="A20" s="156" t="s">
        <v>101</v>
      </c>
      <c r="B20" s="156"/>
      <c r="C20" s="156"/>
      <c r="D20" s="156"/>
      <c r="E20" s="156"/>
      <c r="F20" s="156"/>
      <c r="G20" s="156"/>
      <c r="H20" s="156"/>
      <c r="I20" s="156"/>
      <c r="J20" s="2"/>
      <c r="K20" s="2"/>
      <c r="L20" s="2"/>
      <c r="M20" s="170"/>
      <c r="N20" s="171"/>
    </row>
    <row r="21" spans="1:14">
      <c r="A21" s="2">
        <v>12</v>
      </c>
      <c r="B21" s="2" t="s">
        <v>118</v>
      </c>
      <c r="C21" s="20" t="s">
        <v>119</v>
      </c>
      <c r="D21" s="2" t="s">
        <v>11</v>
      </c>
      <c r="E21" s="2">
        <v>12</v>
      </c>
      <c r="F21" s="5">
        <v>50000000</v>
      </c>
      <c r="G21" s="2" t="s">
        <v>80</v>
      </c>
      <c r="H21" s="5">
        <f>F21-31646962</f>
        <v>18353038</v>
      </c>
      <c r="I21" s="2" t="s">
        <v>183</v>
      </c>
      <c r="J21" s="2"/>
      <c r="K21" s="2"/>
      <c r="L21" s="2"/>
      <c r="M21" s="193"/>
      <c r="N21" s="194"/>
    </row>
    <row r="22" spans="1:14">
      <c r="A22" s="2">
        <v>13</v>
      </c>
      <c r="B22" s="2" t="s">
        <v>120</v>
      </c>
      <c r="C22" s="20" t="s">
        <v>121</v>
      </c>
      <c r="D22" s="2" t="s">
        <v>11</v>
      </c>
      <c r="E22" s="2">
        <v>11</v>
      </c>
      <c r="F22" s="5">
        <v>64000000</v>
      </c>
      <c r="G22" s="2" t="s">
        <v>80</v>
      </c>
      <c r="H22" s="5">
        <f>F22-55106990</f>
        <v>8893010</v>
      </c>
      <c r="I22" s="2" t="s">
        <v>183</v>
      </c>
      <c r="J22" s="2"/>
      <c r="K22" s="2"/>
      <c r="L22" s="2"/>
      <c r="M22" s="195"/>
      <c r="N22" s="196"/>
    </row>
    <row r="23" spans="1:14">
      <c r="A23" s="2">
        <v>14</v>
      </c>
      <c r="B23" s="2" t="s">
        <v>124</v>
      </c>
      <c r="C23" s="20" t="s">
        <v>125</v>
      </c>
      <c r="D23" s="2" t="s">
        <v>11</v>
      </c>
      <c r="E23" s="2">
        <v>12</v>
      </c>
      <c r="F23" s="5">
        <v>6000000</v>
      </c>
      <c r="G23" s="2" t="s">
        <v>80</v>
      </c>
      <c r="H23" s="5">
        <f>F23</f>
        <v>6000000</v>
      </c>
      <c r="I23" s="2" t="s">
        <v>181</v>
      </c>
      <c r="J23" s="2"/>
      <c r="K23" s="2"/>
      <c r="L23" s="2"/>
      <c r="M23" s="195"/>
      <c r="N23" s="196"/>
    </row>
    <row r="24" spans="1:14">
      <c r="A24" s="2">
        <v>15</v>
      </c>
      <c r="B24" s="2" t="s">
        <v>126</v>
      </c>
      <c r="C24" s="20" t="s">
        <v>127</v>
      </c>
      <c r="D24" s="2" t="s">
        <v>11</v>
      </c>
      <c r="E24" s="2">
        <v>12</v>
      </c>
      <c r="F24" s="5">
        <v>30000000</v>
      </c>
      <c r="G24" s="2" t="s">
        <v>80</v>
      </c>
      <c r="H24" s="5">
        <f>F24</f>
        <v>30000000</v>
      </c>
      <c r="I24" s="2" t="s">
        <v>181</v>
      </c>
      <c r="J24" s="2"/>
      <c r="K24" s="2"/>
      <c r="L24" s="2"/>
      <c r="M24" s="195"/>
      <c r="N24" s="196"/>
    </row>
    <row r="25" spans="1:14">
      <c r="A25" s="2">
        <v>16</v>
      </c>
      <c r="B25" s="2" t="s">
        <v>130</v>
      </c>
      <c r="C25" s="20" t="s">
        <v>131</v>
      </c>
      <c r="D25" s="2" t="s">
        <v>11</v>
      </c>
      <c r="E25" s="2">
        <v>12</v>
      </c>
      <c r="F25" s="5">
        <v>50000000</v>
      </c>
      <c r="G25" s="2" t="s">
        <v>80</v>
      </c>
      <c r="H25" s="5">
        <f>F25-25588359</f>
        <v>24411641</v>
      </c>
      <c r="I25" s="2" t="s">
        <v>183</v>
      </c>
      <c r="J25" s="2"/>
      <c r="K25" s="2"/>
      <c r="L25" s="2"/>
      <c r="M25" s="195"/>
      <c r="N25" s="196"/>
    </row>
    <row r="26" spans="1:14">
      <c r="A26" s="2">
        <v>17</v>
      </c>
      <c r="B26" s="2" t="s">
        <v>134</v>
      </c>
      <c r="C26" s="20" t="s">
        <v>135</v>
      </c>
      <c r="D26" s="2" t="s">
        <v>11</v>
      </c>
      <c r="E26" s="2">
        <v>12</v>
      </c>
      <c r="F26" s="5">
        <v>250000000</v>
      </c>
      <c r="G26" s="2" t="s">
        <v>80</v>
      </c>
      <c r="H26" s="5">
        <f>F26</f>
        <v>250000000</v>
      </c>
      <c r="I26" s="2" t="s">
        <v>181</v>
      </c>
      <c r="J26" s="2"/>
      <c r="K26" s="2"/>
      <c r="L26" s="2"/>
      <c r="M26" s="195"/>
      <c r="N26" s="196"/>
    </row>
    <row r="27" spans="1:14">
      <c r="A27" s="2">
        <v>18</v>
      </c>
      <c r="B27" s="2" t="s">
        <v>144</v>
      </c>
      <c r="C27" s="20" t="s">
        <v>145</v>
      </c>
      <c r="D27" s="2" t="s">
        <v>11</v>
      </c>
      <c r="E27" s="2">
        <v>12</v>
      </c>
      <c r="F27" s="5">
        <v>50000000</v>
      </c>
      <c r="G27" s="2" t="s">
        <v>80</v>
      </c>
      <c r="H27" s="5">
        <f>F27</f>
        <v>50000000</v>
      </c>
      <c r="I27" s="2" t="s">
        <v>181</v>
      </c>
      <c r="J27" s="2"/>
      <c r="K27" s="2"/>
      <c r="L27" s="2"/>
      <c r="M27" s="195"/>
      <c r="N27" s="196"/>
    </row>
    <row r="28" spans="1:14">
      <c r="A28" s="2">
        <v>19</v>
      </c>
      <c r="B28" s="2" t="s">
        <v>146</v>
      </c>
      <c r="C28" s="20" t="s">
        <v>147</v>
      </c>
      <c r="D28" s="2" t="s">
        <v>11</v>
      </c>
      <c r="E28" s="2">
        <v>11</v>
      </c>
      <c r="F28" s="5">
        <v>200000000</v>
      </c>
      <c r="G28" s="2" t="s">
        <v>80</v>
      </c>
      <c r="H28" s="5">
        <f>F28-135675250</f>
        <v>64324750</v>
      </c>
      <c r="I28" s="2" t="s">
        <v>183</v>
      </c>
      <c r="J28" s="2"/>
      <c r="K28" s="2"/>
      <c r="L28" s="2"/>
      <c r="M28" s="195"/>
      <c r="N28" s="196"/>
    </row>
    <row r="29" spans="1:14">
      <c r="A29" s="2">
        <v>20</v>
      </c>
      <c r="B29" s="2" t="s">
        <v>158</v>
      </c>
      <c r="C29" s="20" t="s">
        <v>159</v>
      </c>
      <c r="D29" s="2" t="s">
        <v>11</v>
      </c>
      <c r="E29" s="2">
        <v>11</v>
      </c>
      <c r="F29" s="5">
        <v>70000000</v>
      </c>
      <c r="G29" s="2" t="s">
        <v>80</v>
      </c>
      <c r="H29" s="5">
        <f>F29-64883101</f>
        <v>5116899</v>
      </c>
      <c r="I29" s="2" t="s">
        <v>183</v>
      </c>
      <c r="J29" s="2"/>
      <c r="K29" s="2"/>
      <c r="L29" s="2"/>
      <c r="M29" s="195"/>
      <c r="N29" s="196"/>
    </row>
    <row r="30" spans="1:14">
      <c r="A30" s="2">
        <v>21</v>
      </c>
      <c r="B30" s="2" t="s">
        <v>162</v>
      </c>
      <c r="C30" s="20" t="s">
        <v>163</v>
      </c>
      <c r="D30" s="2" t="s">
        <v>11</v>
      </c>
      <c r="E30" s="2">
        <v>12</v>
      </c>
      <c r="F30" s="5">
        <v>5000000</v>
      </c>
      <c r="G30" s="2" t="s">
        <v>80</v>
      </c>
      <c r="H30" s="5">
        <v>5000000</v>
      </c>
      <c r="I30" s="2" t="s">
        <v>181</v>
      </c>
      <c r="J30" s="2"/>
      <c r="K30" s="2"/>
      <c r="L30" s="2"/>
      <c r="M30" s="195"/>
      <c r="N30" s="196"/>
    </row>
    <row r="31" spans="1:14">
      <c r="A31" s="2">
        <v>22</v>
      </c>
      <c r="B31" s="2" t="s">
        <v>176</v>
      </c>
      <c r="C31" s="20" t="s">
        <v>177</v>
      </c>
      <c r="D31" s="2" t="s">
        <v>11</v>
      </c>
      <c r="E31" s="2">
        <v>12</v>
      </c>
      <c r="F31" s="5">
        <v>65000000</v>
      </c>
      <c r="G31" s="2" t="s">
        <v>80</v>
      </c>
      <c r="H31" s="5">
        <v>65000000</v>
      </c>
      <c r="I31" s="2" t="s">
        <v>181</v>
      </c>
      <c r="J31" s="2"/>
      <c r="K31" s="2"/>
      <c r="L31" s="2"/>
      <c r="M31" s="195"/>
      <c r="N31" s="196"/>
    </row>
    <row r="32" spans="1:14">
      <c r="A32" s="156" t="s">
        <v>101</v>
      </c>
      <c r="B32" s="156"/>
      <c r="C32" s="156"/>
      <c r="D32" s="156"/>
      <c r="E32" s="156"/>
      <c r="F32" s="156"/>
      <c r="G32" s="156"/>
      <c r="H32" s="156"/>
      <c r="I32" s="156"/>
      <c r="J32" s="2"/>
      <c r="K32" s="2"/>
      <c r="L32" s="2"/>
      <c r="M32" s="170"/>
      <c r="N32" s="171"/>
    </row>
    <row r="33" spans="1:14">
      <c r="A33" s="2">
        <v>23</v>
      </c>
      <c r="B33" s="2" t="s">
        <v>166</v>
      </c>
      <c r="C33" s="20" t="s">
        <v>167</v>
      </c>
      <c r="D33" s="2" t="s">
        <v>11</v>
      </c>
      <c r="E33" s="2">
        <v>11.5</v>
      </c>
      <c r="F33" s="5">
        <v>100000000</v>
      </c>
      <c r="G33" s="2" t="s">
        <v>92</v>
      </c>
      <c r="H33" s="5">
        <f>F33-81281748</f>
        <v>18718252</v>
      </c>
      <c r="I33" s="2" t="s">
        <v>183</v>
      </c>
      <c r="J33" s="2"/>
      <c r="K33" s="2"/>
      <c r="L33" s="2"/>
      <c r="M33" s="193"/>
      <c r="N33" s="194"/>
    </row>
    <row r="34" spans="1:14">
      <c r="A34" s="2">
        <v>24</v>
      </c>
      <c r="B34" s="2" t="s">
        <v>168</v>
      </c>
      <c r="C34" s="20" t="s">
        <v>169</v>
      </c>
      <c r="D34" s="2" t="s">
        <v>11</v>
      </c>
      <c r="E34" s="2">
        <v>12</v>
      </c>
      <c r="F34" s="5">
        <v>6500000</v>
      </c>
      <c r="G34" s="2" t="s">
        <v>92</v>
      </c>
      <c r="H34" s="5">
        <f>F34</f>
        <v>6500000</v>
      </c>
      <c r="I34" s="2" t="s">
        <v>181</v>
      </c>
      <c r="J34" s="2"/>
      <c r="K34" s="2"/>
      <c r="L34" s="2"/>
      <c r="M34" s="195"/>
      <c r="N34" s="196"/>
    </row>
    <row r="35" spans="1:14">
      <c r="A35" s="2">
        <v>25</v>
      </c>
      <c r="B35" s="2" t="s">
        <v>170</v>
      </c>
      <c r="C35" s="20" t="s">
        <v>171</v>
      </c>
      <c r="D35" s="2" t="s">
        <v>11</v>
      </c>
      <c r="E35" s="2">
        <v>12</v>
      </c>
      <c r="F35" s="5">
        <v>8000000</v>
      </c>
      <c r="G35" s="2" t="s">
        <v>92</v>
      </c>
      <c r="H35" s="5">
        <f>F35</f>
        <v>8000000</v>
      </c>
      <c r="I35" s="2" t="s">
        <v>181</v>
      </c>
      <c r="J35" s="2"/>
      <c r="K35" s="2"/>
      <c r="L35" s="2"/>
      <c r="M35" s="195"/>
      <c r="N35" s="196"/>
    </row>
    <row r="36" spans="1:14">
      <c r="A36" s="2">
        <v>26</v>
      </c>
      <c r="B36" s="2" t="s">
        <v>172</v>
      </c>
      <c r="C36" s="20" t="s">
        <v>173</v>
      </c>
      <c r="D36" s="2" t="s">
        <v>11</v>
      </c>
      <c r="E36" s="2">
        <v>12</v>
      </c>
      <c r="F36" s="5">
        <v>15000000</v>
      </c>
      <c r="G36" s="2" t="s">
        <v>92</v>
      </c>
      <c r="H36" s="5">
        <v>15000000</v>
      </c>
      <c r="I36" s="2" t="s">
        <v>181</v>
      </c>
      <c r="J36" s="2"/>
      <c r="K36" s="2"/>
      <c r="L36" s="2"/>
      <c r="M36" s="195"/>
      <c r="N36" s="196"/>
    </row>
    <row r="37" spans="1:14">
      <c r="A37" s="156" t="s">
        <v>101</v>
      </c>
      <c r="B37" s="156"/>
      <c r="C37" s="156"/>
      <c r="D37" s="156"/>
      <c r="E37" s="156"/>
      <c r="F37" s="156"/>
      <c r="G37" s="156"/>
      <c r="H37" s="156"/>
      <c r="I37" s="156"/>
      <c r="J37" s="2"/>
      <c r="K37" s="2"/>
      <c r="L37" s="2"/>
      <c r="M37" s="170"/>
      <c r="N37" s="171"/>
    </row>
    <row r="38" spans="1:14">
      <c r="A38" s="2">
        <v>27</v>
      </c>
      <c r="B38" s="2" t="s">
        <v>122</v>
      </c>
      <c r="C38" s="20" t="s">
        <v>123</v>
      </c>
      <c r="D38" s="2" t="s">
        <v>11</v>
      </c>
      <c r="E38" s="2">
        <v>9</v>
      </c>
      <c r="F38" s="5">
        <v>30000000</v>
      </c>
      <c r="G38" s="2" t="s">
        <v>83</v>
      </c>
      <c r="H38" s="5">
        <f>F38</f>
        <v>30000000</v>
      </c>
      <c r="I38" s="2" t="s">
        <v>181</v>
      </c>
      <c r="J38" s="2"/>
      <c r="K38" s="2"/>
      <c r="L38" s="2"/>
      <c r="M38" s="193"/>
      <c r="N38" s="194"/>
    </row>
    <row r="39" spans="1:14">
      <c r="A39" s="156"/>
      <c r="B39" s="156"/>
      <c r="C39" s="156"/>
      <c r="D39" s="156"/>
      <c r="E39" s="156"/>
      <c r="F39" s="156"/>
      <c r="G39" s="156"/>
      <c r="H39" s="156"/>
      <c r="I39" s="156"/>
      <c r="J39" s="2"/>
      <c r="K39" s="2"/>
      <c r="L39" s="2"/>
      <c r="M39" s="170"/>
      <c r="N39" s="171"/>
    </row>
    <row r="40" spans="1:14">
      <c r="A40" s="2">
        <v>28</v>
      </c>
      <c r="B40" s="2" t="s">
        <v>128</v>
      </c>
      <c r="C40" s="20" t="s">
        <v>129</v>
      </c>
      <c r="D40" s="2" t="s">
        <v>11</v>
      </c>
      <c r="E40" s="2">
        <v>12</v>
      </c>
      <c r="F40" s="5">
        <v>50000000</v>
      </c>
      <c r="G40" s="2" t="s">
        <v>184</v>
      </c>
      <c r="H40" s="5">
        <v>50000000</v>
      </c>
      <c r="I40" s="2" t="s">
        <v>181</v>
      </c>
      <c r="J40" s="2"/>
      <c r="K40" s="2"/>
      <c r="L40" s="2"/>
      <c r="M40" s="193"/>
      <c r="N40" s="194"/>
    </row>
    <row r="41" spans="1:14">
      <c r="A41" s="2">
        <v>29</v>
      </c>
      <c r="B41" s="2" t="s">
        <v>136</v>
      </c>
      <c r="C41" s="20" t="s">
        <v>137</v>
      </c>
      <c r="D41" s="2" t="s">
        <v>11</v>
      </c>
      <c r="E41" s="2">
        <v>9</v>
      </c>
      <c r="F41" s="5">
        <v>140000000</v>
      </c>
      <c r="G41" s="2" t="s">
        <v>184</v>
      </c>
      <c r="H41" s="5">
        <f>F41-118624016</f>
        <v>21375984</v>
      </c>
      <c r="I41" s="2" t="s">
        <v>183</v>
      </c>
      <c r="J41" s="2"/>
      <c r="K41" s="2"/>
      <c r="L41" s="2"/>
      <c r="M41" s="195"/>
      <c r="N41" s="196"/>
    </row>
    <row r="42" spans="1:14">
      <c r="A42" s="2">
        <v>30</v>
      </c>
      <c r="B42" s="2" t="s">
        <v>138</v>
      </c>
      <c r="C42" s="20" t="s">
        <v>139</v>
      </c>
      <c r="D42" s="2" t="s">
        <v>11</v>
      </c>
      <c r="E42" s="2">
        <v>12</v>
      </c>
      <c r="F42" s="5">
        <v>25000000</v>
      </c>
      <c r="G42" s="2" t="s">
        <v>184</v>
      </c>
      <c r="H42" s="5">
        <f>F42-16260782</f>
        <v>8739218</v>
      </c>
      <c r="I42" s="2" t="s">
        <v>183</v>
      </c>
      <c r="J42" s="2"/>
      <c r="K42" s="2"/>
      <c r="L42" s="2"/>
      <c r="M42" s="195"/>
      <c r="N42" s="196"/>
    </row>
    <row r="43" spans="1:14">
      <c r="A43" s="2">
        <v>31</v>
      </c>
      <c r="B43" s="2" t="s">
        <v>160</v>
      </c>
      <c r="C43" s="20" t="s">
        <v>161</v>
      </c>
      <c r="D43" s="2" t="s">
        <v>11</v>
      </c>
      <c r="E43" s="2">
        <v>12</v>
      </c>
      <c r="F43" s="5">
        <v>70000000</v>
      </c>
      <c r="G43" s="2" t="s">
        <v>184</v>
      </c>
      <c r="H43" s="5">
        <f>F43-43612169</f>
        <v>26387831</v>
      </c>
      <c r="I43" s="2" t="s">
        <v>183</v>
      </c>
      <c r="J43" s="2"/>
      <c r="K43" s="2"/>
      <c r="L43" s="2"/>
      <c r="M43" s="195"/>
      <c r="N43" s="196"/>
    </row>
    <row r="44" spans="1:14">
      <c r="A44" s="156" t="s">
        <v>101</v>
      </c>
      <c r="B44" s="156"/>
      <c r="C44" s="156"/>
      <c r="D44" s="156"/>
      <c r="E44" s="156"/>
      <c r="F44" s="156"/>
      <c r="G44" s="156"/>
      <c r="H44" s="156"/>
      <c r="I44" s="156"/>
      <c r="J44" s="2"/>
      <c r="K44" s="2"/>
      <c r="L44" s="2"/>
      <c r="M44" s="170"/>
      <c r="N44" s="171"/>
    </row>
    <row r="45" spans="1:14">
      <c r="A45" s="2">
        <v>32</v>
      </c>
      <c r="B45" s="2" t="s">
        <v>156</v>
      </c>
      <c r="C45" s="20" t="s">
        <v>157</v>
      </c>
      <c r="D45" s="2" t="s">
        <v>11</v>
      </c>
      <c r="E45" s="2">
        <v>10</v>
      </c>
      <c r="F45" s="5">
        <v>130000000</v>
      </c>
      <c r="G45" s="2" t="s">
        <v>187</v>
      </c>
      <c r="H45" s="5">
        <f>F45</f>
        <v>130000000</v>
      </c>
      <c r="I45" s="2" t="s">
        <v>181</v>
      </c>
      <c r="J45" s="2"/>
      <c r="K45" s="2"/>
      <c r="L45" s="2"/>
      <c r="M45" s="193"/>
      <c r="N45" s="194"/>
    </row>
    <row r="46" spans="1:14">
      <c r="A46" s="156" t="s">
        <v>101</v>
      </c>
      <c r="B46" s="156"/>
      <c r="C46" s="156"/>
      <c r="D46" s="156"/>
      <c r="E46" s="156"/>
      <c r="F46" s="156"/>
      <c r="G46" s="156"/>
      <c r="H46" s="156"/>
      <c r="I46" s="156"/>
      <c r="J46" s="2"/>
      <c r="K46" s="2"/>
      <c r="L46" s="2"/>
      <c r="M46" s="170"/>
      <c r="N46" s="171"/>
    </row>
    <row r="47" spans="1:14">
      <c r="A47" s="2">
        <v>33</v>
      </c>
      <c r="B47" s="2" t="s">
        <v>178</v>
      </c>
      <c r="C47" s="20" t="s">
        <v>179</v>
      </c>
      <c r="D47" s="2" t="s">
        <v>11</v>
      </c>
      <c r="E47" s="2">
        <v>9</v>
      </c>
      <c r="F47" s="5">
        <v>270000000</v>
      </c>
      <c r="G47" s="2" t="s">
        <v>188</v>
      </c>
      <c r="H47" s="5">
        <v>270000000</v>
      </c>
      <c r="I47" s="2" t="s">
        <v>181</v>
      </c>
      <c r="J47" s="2"/>
      <c r="K47" s="2"/>
      <c r="L47" s="2"/>
      <c r="M47" s="193"/>
      <c r="N47" s="194"/>
    </row>
    <row r="48" spans="1:14">
      <c r="A48" s="156" t="s">
        <v>101</v>
      </c>
      <c r="B48" s="156"/>
      <c r="C48" s="156"/>
      <c r="D48" s="156"/>
      <c r="E48" s="156"/>
      <c r="F48" s="156"/>
      <c r="G48" s="156"/>
      <c r="H48" s="156"/>
      <c r="I48" s="156"/>
      <c r="J48" s="2"/>
      <c r="K48" s="2"/>
      <c r="L48" s="2"/>
      <c r="M48" s="170"/>
      <c r="N48" s="171"/>
    </row>
    <row r="49" spans="1:14">
      <c r="A49" s="2">
        <v>34</v>
      </c>
      <c r="B49" s="2" t="s">
        <v>154</v>
      </c>
      <c r="C49" s="20" t="s">
        <v>155</v>
      </c>
      <c r="D49" s="2" t="s">
        <v>11</v>
      </c>
      <c r="E49" s="2">
        <v>10</v>
      </c>
      <c r="F49" s="5">
        <v>120000000</v>
      </c>
      <c r="G49" s="2" t="s">
        <v>186</v>
      </c>
      <c r="H49" s="5">
        <f>F49-87377480</f>
        <v>32622520</v>
      </c>
      <c r="I49" s="2" t="s">
        <v>183</v>
      </c>
      <c r="J49" s="2"/>
      <c r="K49" s="2"/>
      <c r="L49" s="2"/>
      <c r="M49" s="193"/>
      <c r="N49" s="194"/>
    </row>
    <row r="50" spans="1:14">
      <c r="A50" s="156" t="s">
        <v>101</v>
      </c>
      <c r="B50" s="156"/>
      <c r="C50" s="156"/>
      <c r="D50" s="156"/>
      <c r="E50" s="156"/>
      <c r="F50" s="156"/>
      <c r="G50" s="156"/>
      <c r="H50" s="156"/>
      <c r="I50" s="156"/>
      <c r="J50" s="2"/>
      <c r="K50" s="2"/>
      <c r="L50" s="2"/>
      <c r="M50" s="170"/>
      <c r="N50" s="171"/>
    </row>
    <row r="51" spans="1:14">
      <c r="F51" s="5">
        <f>SUM(F3:F49)</f>
        <v>3649500000</v>
      </c>
      <c r="H51" s="5">
        <f>SUM(H3:H49)</f>
        <v>2405572026</v>
      </c>
    </row>
  </sheetData>
  <mergeCells count="29">
    <mergeCell ref="M49:N50"/>
    <mergeCell ref="M21:N32"/>
    <mergeCell ref="M33:N37"/>
    <mergeCell ref="M38:N39"/>
    <mergeCell ref="M40:N44"/>
    <mergeCell ref="M45:N46"/>
    <mergeCell ref="M47:N48"/>
    <mergeCell ref="A46:I46"/>
    <mergeCell ref="A48:I48"/>
    <mergeCell ref="A50:I50"/>
    <mergeCell ref="M3:N5"/>
    <mergeCell ref="M6:N9"/>
    <mergeCell ref="M10:N11"/>
    <mergeCell ref="M12:N13"/>
    <mergeCell ref="M14:N15"/>
    <mergeCell ref="M16:N17"/>
    <mergeCell ref="M18:N20"/>
    <mergeCell ref="A17:I17"/>
    <mergeCell ref="A20:I20"/>
    <mergeCell ref="A32:I32"/>
    <mergeCell ref="A37:I37"/>
    <mergeCell ref="A39:I39"/>
    <mergeCell ref="A44:I44"/>
    <mergeCell ref="A15:I15"/>
    <mergeCell ref="A1:N1"/>
    <mergeCell ref="A5:I5"/>
    <mergeCell ref="A9:I9"/>
    <mergeCell ref="A11:I11"/>
    <mergeCell ref="A13:I13"/>
  </mergeCells>
  <printOptions horizontalCentered="1"/>
  <pageMargins left="0.51181102362204722" right="0.51181102362204722" top="0.35433070866141736" bottom="0.35433070866141736" header="0.31496062992125984" footer="0.31496062992125984"/>
  <pageSetup paperSize="5" scale="7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3"/>
  <sheetViews>
    <sheetView topLeftCell="A4" workbookViewId="0">
      <selection activeCell="A8" sqref="A8:XFD8"/>
    </sheetView>
  </sheetViews>
  <sheetFormatPr defaultRowHeight="15"/>
  <cols>
    <col min="1" max="1" width="4.5703125" customWidth="1"/>
    <col min="2" max="2" width="16.5703125" bestFit="1" customWidth="1"/>
    <col min="4" max="4" width="12.7109375" bestFit="1" customWidth="1"/>
    <col min="6" max="6" width="14.28515625" style="8" bestFit="1" customWidth="1"/>
    <col min="7" max="7" width="25.7109375" bestFit="1" customWidth="1"/>
    <col min="8" max="8" width="14.28515625" style="8" bestFit="1" customWidth="1"/>
    <col min="9" max="9" width="11.5703125" bestFit="1" customWidth="1"/>
  </cols>
  <sheetData>
    <row r="1" spans="1:14" ht="18.75">
      <c r="A1" s="182" t="s">
        <v>234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>
      <c r="A2" s="5" t="s">
        <v>111</v>
      </c>
      <c r="B2" s="5" t="s">
        <v>2</v>
      </c>
      <c r="C2" s="11" t="s">
        <v>3</v>
      </c>
      <c r="D2" s="5" t="s">
        <v>4</v>
      </c>
      <c r="E2" s="3" t="s">
        <v>5</v>
      </c>
      <c r="F2" s="7" t="s">
        <v>6</v>
      </c>
      <c r="G2" s="7" t="s">
        <v>7</v>
      </c>
      <c r="H2" s="4" t="s">
        <v>8</v>
      </c>
      <c r="I2" s="4" t="s">
        <v>94</v>
      </c>
      <c r="J2" s="6" t="s">
        <v>95</v>
      </c>
      <c r="K2" s="4" t="s">
        <v>96</v>
      </c>
      <c r="L2" s="4" t="s">
        <v>97</v>
      </c>
      <c r="M2" s="4" t="s">
        <v>98</v>
      </c>
      <c r="N2" s="2"/>
    </row>
    <row r="3" spans="1:14">
      <c r="A3" s="2"/>
      <c r="B3" s="2" t="s">
        <v>198</v>
      </c>
      <c r="C3" s="20" t="s">
        <v>199</v>
      </c>
      <c r="D3" s="2" t="s">
        <v>11</v>
      </c>
      <c r="E3" s="2">
        <v>11</v>
      </c>
      <c r="F3" s="5">
        <v>20000000</v>
      </c>
      <c r="G3" s="2" t="s">
        <v>90</v>
      </c>
      <c r="H3" s="5">
        <f>F3</f>
        <v>20000000</v>
      </c>
      <c r="I3" s="2" t="s">
        <v>100</v>
      </c>
      <c r="J3" s="2"/>
      <c r="K3" s="2"/>
      <c r="L3" s="2"/>
      <c r="M3" s="193"/>
      <c r="N3" s="194"/>
    </row>
    <row r="4" spans="1:14">
      <c r="A4" s="2"/>
      <c r="B4" s="2" t="s">
        <v>204</v>
      </c>
      <c r="C4" s="20" t="s">
        <v>205</v>
      </c>
      <c r="D4" s="2" t="s">
        <v>11</v>
      </c>
      <c r="E4" s="2">
        <v>9</v>
      </c>
      <c r="F4" s="5">
        <v>435000000</v>
      </c>
      <c r="G4" s="2" t="s">
        <v>90</v>
      </c>
      <c r="H4" s="5">
        <f>F4</f>
        <v>435000000</v>
      </c>
      <c r="I4" s="2" t="s">
        <v>100</v>
      </c>
      <c r="J4" s="2"/>
      <c r="K4" s="2"/>
      <c r="L4" s="2"/>
      <c r="M4" s="195"/>
      <c r="N4" s="196"/>
    </row>
    <row r="5" spans="1:14">
      <c r="A5" s="2"/>
      <c r="B5" s="2" t="s">
        <v>204</v>
      </c>
      <c r="C5" s="20" t="s">
        <v>205</v>
      </c>
      <c r="D5" s="2" t="s">
        <v>11</v>
      </c>
      <c r="E5" s="2">
        <v>10</v>
      </c>
      <c r="F5" s="5">
        <v>30000000</v>
      </c>
      <c r="G5" s="2" t="s">
        <v>90</v>
      </c>
      <c r="H5" s="5">
        <f>F5</f>
        <v>30000000</v>
      </c>
      <c r="I5" s="2" t="s">
        <v>100</v>
      </c>
      <c r="J5" s="2"/>
      <c r="K5" s="2"/>
      <c r="L5" s="2"/>
      <c r="M5" s="195"/>
      <c r="N5" s="196"/>
    </row>
    <row r="6" spans="1:14">
      <c r="A6" s="2"/>
      <c r="B6" s="2" t="s">
        <v>214</v>
      </c>
      <c r="C6" s="20" t="s">
        <v>215</v>
      </c>
      <c r="D6" s="2" t="s">
        <v>11</v>
      </c>
      <c r="E6" s="2">
        <v>11</v>
      </c>
      <c r="F6" s="5">
        <v>250000000</v>
      </c>
      <c r="G6" s="2" t="s">
        <v>90</v>
      </c>
      <c r="H6" s="5">
        <f>F6</f>
        <v>250000000</v>
      </c>
      <c r="I6" s="2" t="s">
        <v>100</v>
      </c>
      <c r="J6" s="2"/>
      <c r="K6" s="2"/>
      <c r="L6" s="2"/>
      <c r="M6" s="195"/>
      <c r="N6" s="196"/>
    </row>
    <row r="7" spans="1:14">
      <c r="A7" s="2"/>
      <c r="B7" s="2" t="s">
        <v>220</v>
      </c>
      <c r="C7" s="20" t="s">
        <v>221</v>
      </c>
      <c r="D7" s="2" t="s">
        <v>11</v>
      </c>
      <c r="E7" s="2">
        <v>9</v>
      </c>
      <c r="F7" s="5">
        <v>160000000</v>
      </c>
      <c r="G7" s="2" t="s">
        <v>90</v>
      </c>
      <c r="H7" s="5">
        <f>F7-134943418</f>
        <v>25056582</v>
      </c>
      <c r="I7" s="2" t="s">
        <v>99</v>
      </c>
      <c r="J7" s="2"/>
      <c r="K7" s="2"/>
      <c r="L7" s="2"/>
      <c r="M7" s="195"/>
      <c r="N7" s="196"/>
    </row>
    <row r="8" spans="1:14">
      <c r="A8" s="156" t="s">
        <v>101</v>
      </c>
      <c r="B8" s="156"/>
      <c r="C8" s="156"/>
      <c r="D8" s="156"/>
      <c r="E8" s="156"/>
      <c r="F8" s="156"/>
      <c r="G8" s="156"/>
      <c r="H8" s="156"/>
      <c r="I8" s="156"/>
      <c r="J8" s="2"/>
      <c r="K8" s="2"/>
      <c r="L8" s="2"/>
      <c r="M8" s="170"/>
      <c r="N8" s="171"/>
    </row>
    <row r="9" spans="1:14">
      <c r="A9" s="2"/>
      <c r="B9" s="2" t="s">
        <v>197</v>
      </c>
      <c r="C9" s="20" t="s">
        <v>196</v>
      </c>
      <c r="D9" s="2" t="s">
        <v>11</v>
      </c>
      <c r="E9" s="2">
        <v>9</v>
      </c>
      <c r="F9" s="5">
        <v>210000000</v>
      </c>
      <c r="G9" s="2" t="s">
        <v>86</v>
      </c>
      <c r="H9" s="5">
        <f>F9</f>
        <v>210000000</v>
      </c>
      <c r="I9" s="2" t="s">
        <v>100</v>
      </c>
      <c r="J9" s="2"/>
      <c r="K9" s="2"/>
      <c r="L9" s="2"/>
      <c r="M9" s="193"/>
      <c r="N9" s="194"/>
    </row>
    <row r="10" spans="1:14">
      <c r="A10" s="156" t="s">
        <v>101</v>
      </c>
      <c r="B10" s="156"/>
      <c r="C10" s="156"/>
      <c r="D10" s="156"/>
      <c r="E10" s="156"/>
      <c r="F10" s="156"/>
      <c r="G10" s="156"/>
      <c r="H10" s="156"/>
      <c r="I10" s="156"/>
      <c r="J10" s="2"/>
      <c r="K10" s="2"/>
      <c r="L10" s="2"/>
      <c r="M10" s="170"/>
      <c r="N10" s="171"/>
    </row>
    <row r="11" spans="1:14">
      <c r="A11" s="2"/>
      <c r="B11" s="2" t="s">
        <v>195</v>
      </c>
      <c r="C11" s="20" t="s">
        <v>233</v>
      </c>
      <c r="D11" s="2" t="s">
        <v>11</v>
      </c>
      <c r="E11" s="2">
        <v>11</v>
      </c>
      <c r="F11" s="5">
        <v>159000000</v>
      </c>
      <c r="G11" s="2" t="s">
        <v>81</v>
      </c>
      <c r="H11" s="5">
        <f>F11-138853044</f>
        <v>20146956</v>
      </c>
      <c r="I11" s="2" t="s">
        <v>99</v>
      </c>
      <c r="J11" s="2"/>
      <c r="K11" s="2"/>
      <c r="L11" s="2"/>
      <c r="M11" s="193"/>
      <c r="N11" s="194"/>
    </row>
    <row r="12" spans="1:14">
      <c r="A12" s="2"/>
      <c r="B12" s="2" t="s">
        <v>208</v>
      </c>
      <c r="C12" s="20" t="s">
        <v>209</v>
      </c>
      <c r="D12" s="2" t="s">
        <v>11</v>
      </c>
      <c r="E12" s="2">
        <v>9</v>
      </c>
      <c r="F12" s="5">
        <v>170000000</v>
      </c>
      <c r="G12" s="2" t="s">
        <v>81</v>
      </c>
      <c r="H12" s="5">
        <f>F12</f>
        <v>170000000</v>
      </c>
      <c r="I12" s="2" t="s">
        <v>100</v>
      </c>
      <c r="J12" s="2"/>
      <c r="K12" s="2"/>
      <c r="L12" s="2"/>
      <c r="M12" s="195"/>
      <c r="N12" s="196"/>
    </row>
    <row r="13" spans="1:14">
      <c r="A13" s="156" t="s">
        <v>101</v>
      </c>
      <c r="B13" s="156"/>
      <c r="C13" s="156"/>
      <c r="D13" s="156"/>
      <c r="E13" s="156"/>
      <c r="F13" s="156"/>
      <c r="G13" s="156"/>
      <c r="H13" s="156"/>
      <c r="I13" s="156"/>
      <c r="J13" s="2"/>
      <c r="K13" s="2"/>
      <c r="L13" s="2"/>
      <c r="M13" s="170"/>
      <c r="N13" s="171"/>
    </row>
    <row r="14" spans="1:14">
      <c r="A14" s="2"/>
      <c r="B14" s="2" t="s">
        <v>191</v>
      </c>
      <c r="C14" s="2" t="s">
        <v>192</v>
      </c>
      <c r="D14" s="2" t="s">
        <v>11</v>
      </c>
      <c r="E14" s="2">
        <v>12</v>
      </c>
      <c r="F14" s="5">
        <v>100000000</v>
      </c>
      <c r="G14" s="2" t="s">
        <v>232</v>
      </c>
      <c r="H14" s="5">
        <f>F14-62145070</f>
        <v>37854930</v>
      </c>
      <c r="I14" s="2" t="s">
        <v>99</v>
      </c>
      <c r="J14" s="2"/>
      <c r="K14" s="2"/>
      <c r="L14" s="2"/>
      <c r="M14" s="193"/>
      <c r="N14" s="194"/>
    </row>
    <row r="15" spans="1:14">
      <c r="A15" s="2"/>
      <c r="B15" s="2" t="s">
        <v>193</v>
      </c>
      <c r="C15" s="20" t="s">
        <v>194</v>
      </c>
      <c r="D15" s="2" t="s">
        <v>11</v>
      </c>
      <c r="E15" s="2">
        <v>12</v>
      </c>
      <c r="F15" s="5">
        <v>78000000</v>
      </c>
      <c r="G15" s="2" t="s">
        <v>232</v>
      </c>
      <c r="H15" s="5">
        <f>F15-65417730</f>
        <v>12582270</v>
      </c>
      <c r="I15" s="2" t="s">
        <v>99</v>
      </c>
      <c r="J15" s="2"/>
      <c r="K15" s="2"/>
      <c r="L15" s="2"/>
      <c r="M15" s="195"/>
      <c r="N15" s="196"/>
    </row>
    <row r="16" spans="1:14">
      <c r="A16" s="2"/>
      <c r="B16" s="2" t="s">
        <v>200</v>
      </c>
      <c r="C16" s="20" t="s">
        <v>201</v>
      </c>
      <c r="D16" s="2" t="s">
        <v>11</v>
      </c>
      <c r="E16" s="2">
        <v>12</v>
      </c>
      <c r="F16" s="5">
        <v>15000000</v>
      </c>
      <c r="G16" s="2" t="s">
        <v>232</v>
      </c>
      <c r="H16" s="5">
        <f>F16</f>
        <v>15000000</v>
      </c>
      <c r="I16" s="2" t="s">
        <v>100</v>
      </c>
      <c r="J16" s="2"/>
      <c r="K16" s="2"/>
      <c r="L16" s="2"/>
      <c r="M16" s="195"/>
      <c r="N16" s="196"/>
    </row>
    <row r="17" spans="1:14">
      <c r="A17" s="2"/>
      <c r="B17" s="2" t="s">
        <v>206</v>
      </c>
      <c r="C17" s="20" t="s">
        <v>207</v>
      </c>
      <c r="D17" s="2" t="s">
        <v>11</v>
      </c>
      <c r="E17" s="2">
        <v>11.5</v>
      </c>
      <c r="F17" s="5">
        <v>110000000</v>
      </c>
      <c r="G17" s="2" t="s">
        <v>232</v>
      </c>
      <c r="H17" s="5">
        <f>F17-76126218</f>
        <v>33873782</v>
      </c>
      <c r="I17" s="2" t="s">
        <v>99</v>
      </c>
      <c r="J17" s="2"/>
      <c r="K17" s="2"/>
      <c r="L17" s="2"/>
      <c r="M17" s="195"/>
      <c r="N17" s="196"/>
    </row>
    <row r="18" spans="1:14">
      <c r="A18" s="2"/>
      <c r="B18" s="2" t="s">
        <v>210</v>
      </c>
      <c r="C18" s="20" t="s">
        <v>211</v>
      </c>
      <c r="D18" s="2" t="s">
        <v>11</v>
      </c>
      <c r="E18" s="2">
        <v>12</v>
      </c>
      <c r="F18" s="5">
        <v>85000000</v>
      </c>
      <c r="G18" s="2" t="s">
        <v>232</v>
      </c>
      <c r="H18" s="5">
        <f>F18-62668452</f>
        <v>22331548</v>
      </c>
      <c r="I18" s="2" t="s">
        <v>99</v>
      </c>
      <c r="J18" s="2"/>
      <c r="K18" s="2"/>
      <c r="L18" s="2"/>
      <c r="M18" s="195"/>
      <c r="N18" s="196"/>
    </row>
    <row r="19" spans="1:14">
      <c r="A19" s="2"/>
      <c r="B19" s="2" t="s">
        <v>222</v>
      </c>
      <c r="C19" s="20" t="s">
        <v>223</v>
      </c>
      <c r="D19" s="2" t="s">
        <v>11</v>
      </c>
      <c r="E19" s="2">
        <v>12</v>
      </c>
      <c r="F19" s="5">
        <v>90000000</v>
      </c>
      <c r="G19" s="2" t="s">
        <v>232</v>
      </c>
      <c r="H19" s="5">
        <f>F19-21786560</f>
        <v>68213440</v>
      </c>
      <c r="I19" s="2" t="s">
        <v>99</v>
      </c>
      <c r="J19" s="2"/>
      <c r="K19" s="2"/>
      <c r="L19" s="2"/>
      <c r="M19" s="195"/>
      <c r="N19" s="196"/>
    </row>
    <row r="20" spans="1:14">
      <c r="A20" s="2"/>
      <c r="B20" s="2" t="s">
        <v>228</v>
      </c>
      <c r="C20" s="20" t="s">
        <v>229</v>
      </c>
      <c r="D20" s="2" t="s">
        <v>11</v>
      </c>
      <c r="E20" s="2">
        <v>12</v>
      </c>
      <c r="F20" s="5">
        <v>39000000</v>
      </c>
      <c r="G20" s="2" t="s">
        <v>232</v>
      </c>
      <c r="H20" s="5">
        <f>F20</f>
        <v>39000000</v>
      </c>
      <c r="I20" s="2" t="s">
        <v>99</v>
      </c>
      <c r="J20" s="2"/>
      <c r="K20" s="2"/>
      <c r="L20" s="2"/>
      <c r="M20" s="195"/>
      <c r="N20" s="196"/>
    </row>
    <row r="21" spans="1:14">
      <c r="A21" s="156" t="s">
        <v>101</v>
      </c>
      <c r="B21" s="156"/>
      <c r="C21" s="156"/>
      <c r="D21" s="156"/>
      <c r="E21" s="156"/>
      <c r="F21" s="156"/>
      <c r="G21" s="156"/>
      <c r="H21" s="156"/>
      <c r="I21" s="156"/>
      <c r="J21" s="2"/>
      <c r="K21" s="2"/>
      <c r="L21" s="2"/>
      <c r="M21" s="170"/>
      <c r="N21" s="171"/>
    </row>
    <row r="22" spans="1:14">
      <c r="A22" s="2"/>
      <c r="B22" s="2" t="s">
        <v>224</v>
      </c>
      <c r="C22" s="20" t="s">
        <v>225</v>
      </c>
      <c r="D22" s="2" t="s">
        <v>11</v>
      </c>
      <c r="E22" s="2">
        <v>12</v>
      </c>
      <c r="F22" s="5">
        <v>75000000</v>
      </c>
      <c r="G22" s="2" t="s">
        <v>92</v>
      </c>
      <c r="H22" s="5">
        <f>F22-56738358</f>
        <v>18261642</v>
      </c>
      <c r="I22" s="2" t="s">
        <v>99</v>
      </c>
      <c r="J22" s="2"/>
      <c r="K22" s="2"/>
      <c r="L22" s="2"/>
      <c r="M22" s="193"/>
      <c r="N22" s="194"/>
    </row>
    <row r="23" spans="1:14">
      <c r="A23" s="2"/>
      <c r="B23" s="2" t="s">
        <v>230</v>
      </c>
      <c r="C23" s="20" t="s">
        <v>231</v>
      </c>
      <c r="D23" s="2" t="s">
        <v>11</v>
      </c>
      <c r="E23" s="2">
        <v>10</v>
      </c>
      <c r="F23" s="5">
        <v>72000000</v>
      </c>
      <c r="G23" s="2" t="s">
        <v>92</v>
      </c>
      <c r="H23" s="5">
        <f>F23</f>
        <v>72000000</v>
      </c>
      <c r="I23" s="2" t="s">
        <v>100</v>
      </c>
      <c r="J23" s="2"/>
      <c r="K23" s="2"/>
      <c r="L23" s="2"/>
      <c r="M23" s="195"/>
      <c r="N23" s="196"/>
    </row>
    <row r="24" spans="1:14">
      <c r="A24" s="156" t="s">
        <v>101</v>
      </c>
      <c r="B24" s="156"/>
      <c r="C24" s="156"/>
      <c r="D24" s="156"/>
      <c r="E24" s="156"/>
      <c r="F24" s="156"/>
      <c r="G24" s="156"/>
      <c r="H24" s="156"/>
      <c r="I24" s="156"/>
      <c r="J24" s="2"/>
      <c r="K24" s="2"/>
      <c r="L24" s="2"/>
      <c r="M24" s="170"/>
      <c r="N24" s="171"/>
    </row>
    <row r="25" spans="1:14">
      <c r="A25" s="2"/>
      <c r="B25" s="2" t="s">
        <v>202</v>
      </c>
      <c r="C25" s="20" t="s">
        <v>203</v>
      </c>
      <c r="D25" s="2" t="s">
        <v>11</v>
      </c>
      <c r="E25" s="2">
        <v>10</v>
      </c>
      <c r="F25" s="5">
        <v>160000000</v>
      </c>
      <c r="G25" s="2" t="s">
        <v>184</v>
      </c>
      <c r="H25" s="5">
        <f>F25-79579082</f>
        <v>80420918</v>
      </c>
      <c r="I25" s="2" t="s">
        <v>99</v>
      </c>
      <c r="J25" s="2"/>
      <c r="K25" s="2"/>
      <c r="L25" s="2"/>
      <c r="M25" s="193"/>
      <c r="N25" s="194"/>
    </row>
    <row r="26" spans="1:14">
      <c r="A26" s="2"/>
      <c r="B26" s="2" t="s">
        <v>212</v>
      </c>
      <c r="C26" s="20" t="s">
        <v>213</v>
      </c>
      <c r="D26" s="2" t="s">
        <v>11</v>
      </c>
      <c r="E26" s="2">
        <v>11</v>
      </c>
      <c r="F26" s="5">
        <v>220000000</v>
      </c>
      <c r="G26" s="2" t="s">
        <v>184</v>
      </c>
      <c r="H26" s="5">
        <f>F26-201369960</f>
        <v>18630040</v>
      </c>
      <c r="I26" s="2" t="s">
        <v>99</v>
      </c>
      <c r="J26" s="2"/>
      <c r="K26" s="2"/>
      <c r="L26" s="2"/>
      <c r="M26" s="195"/>
      <c r="N26" s="196"/>
    </row>
    <row r="27" spans="1:14">
      <c r="A27" s="2"/>
      <c r="B27" s="2" t="s">
        <v>226</v>
      </c>
      <c r="C27" s="20" t="s">
        <v>227</v>
      </c>
      <c r="D27" s="2" t="s">
        <v>11</v>
      </c>
      <c r="E27" s="2">
        <v>12</v>
      </c>
      <c r="F27" s="5">
        <v>5000000</v>
      </c>
      <c r="G27" s="2" t="s">
        <v>184</v>
      </c>
      <c r="H27" s="5">
        <f>F27</f>
        <v>5000000</v>
      </c>
      <c r="I27" s="2" t="s">
        <v>100</v>
      </c>
      <c r="J27" s="2"/>
      <c r="K27" s="2"/>
      <c r="L27" s="2"/>
      <c r="M27" s="195"/>
      <c r="N27" s="196"/>
    </row>
    <row r="28" spans="1:14">
      <c r="A28" s="156" t="s">
        <v>101</v>
      </c>
      <c r="B28" s="156"/>
      <c r="C28" s="156"/>
      <c r="D28" s="156"/>
      <c r="E28" s="156"/>
      <c r="F28" s="156"/>
      <c r="G28" s="156"/>
      <c r="H28" s="156"/>
      <c r="I28" s="156"/>
      <c r="J28" s="2"/>
      <c r="K28" s="2"/>
      <c r="L28" s="2"/>
      <c r="M28" s="170"/>
      <c r="N28" s="171"/>
    </row>
    <row r="29" spans="1:14">
      <c r="A29" s="2"/>
      <c r="B29" s="2" t="s">
        <v>189</v>
      </c>
      <c r="C29" s="2" t="s">
        <v>190</v>
      </c>
      <c r="D29" s="2" t="s">
        <v>11</v>
      </c>
      <c r="E29" s="2">
        <v>11</v>
      </c>
      <c r="F29" s="5">
        <v>82000000</v>
      </c>
      <c r="G29" s="2" t="s">
        <v>186</v>
      </c>
      <c r="H29" s="5">
        <f>F29</f>
        <v>82000000</v>
      </c>
      <c r="I29" s="2" t="s">
        <v>100</v>
      </c>
      <c r="J29" s="2"/>
      <c r="K29" s="2"/>
      <c r="L29" s="2"/>
      <c r="M29" s="193"/>
      <c r="N29" s="194"/>
    </row>
    <row r="30" spans="1:14">
      <c r="A30" s="2"/>
      <c r="B30" s="2" t="s">
        <v>216</v>
      </c>
      <c r="C30" s="20" t="s">
        <v>217</v>
      </c>
      <c r="D30" s="2" t="s">
        <v>11</v>
      </c>
      <c r="E30" s="2">
        <v>10</v>
      </c>
      <c r="F30" s="5">
        <v>60000000</v>
      </c>
      <c r="G30" s="2" t="s">
        <v>186</v>
      </c>
      <c r="H30" s="5">
        <f>F30</f>
        <v>60000000</v>
      </c>
      <c r="I30" s="2" t="s">
        <v>100</v>
      </c>
      <c r="J30" s="2"/>
      <c r="K30" s="2"/>
      <c r="L30" s="2"/>
      <c r="M30" s="195"/>
      <c r="N30" s="196"/>
    </row>
    <row r="31" spans="1:14">
      <c r="A31" s="2"/>
      <c r="B31" s="2" t="s">
        <v>218</v>
      </c>
      <c r="C31" s="20" t="s">
        <v>219</v>
      </c>
      <c r="D31" s="2" t="s">
        <v>11</v>
      </c>
      <c r="E31" s="2">
        <v>11</v>
      </c>
      <c r="F31" s="5">
        <v>75000000</v>
      </c>
      <c r="G31" s="2" t="s">
        <v>186</v>
      </c>
      <c r="H31" s="5">
        <f>F31</f>
        <v>75000000</v>
      </c>
      <c r="I31" s="2" t="s">
        <v>100</v>
      </c>
      <c r="J31" s="2"/>
      <c r="K31" s="2"/>
      <c r="L31" s="2"/>
      <c r="M31" s="195"/>
      <c r="N31" s="196"/>
    </row>
    <row r="32" spans="1:14">
      <c r="A32" s="156" t="s">
        <v>101</v>
      </c>
      <c r="B32" s="156"/>
      <c r="C32" s="156"/>
      <c r="D32" s="156"/>
      <c r="E32" s="156"/>
      <c r="F32" s="156"/>
      <c r="G32" s="156"/>
      <c r="H32" s="156"/>
      <c r="I32" s="156"/>
      <c r="J32" s="2"/>
      <c r="K32" s="2"/>
      <c r="L32" s="2"/>
      <c r="M32" s="170"/>
      <c r="N32" s="171"/>
    </row>
    <row r="33" spans="1:14">
      <c r="A33" s="21"/>
      <c r="B33" s="21"/>
      <c r="C33" s="21"/>
      <c r="D33" s="21"/>
      <c r="E33" s="21"/>
      <c r="F33" s="22">
        <f>SUM(F3:F31)</f>
        <v>2700000000</v>
      </c>
      <c r="G33" s="21"/>
      <c r="H33" s="22">
        <f>SUM(H3:H31)</f>
        <v>1800372108</v>
      </c>
      <c r="I33" s="21"/>
      <c r="J33" s="21"/>
      <c r="K33" s="21"/>
      <c r="L33" s="21"/>
      <c r="M33" s="21"/>
      <c r="N33" s="21"/>
    </row>
  </sheetData>
  <mergeCells count="15">
    <mergeCell ref="A1:N1"/>
    <mergeCell ref="A8:I8"/>
    <mergeCell ref="A10:I10"/>
    <mergeCell ref="A13:I13"/>
    <mergeCell ref="A21:I21"/>
    <mergeCell ref="A28:I28"/>
    <mergeCell ref="A32:I32"/>
    <mergeCell ref="M3:N8"/>
    <mergeCell ref="M9:N10"/>
    <mergeCell ref="M11:N13"/>
    <mergeCell ref="M14:N21"/>
    <mergeCell ref="M25:N28"/>
    <mergeCell ref="M29:N32"/>
    <mergeCell ref="M22:N24"/>
    <mergeCell ref="A24:I24"/>
  </mergeCells>
  <pageMargins left="0.70866141732283472" right="0.70866141732283472" top="0.74803149606299213" bottom="0.74803149606299213" header="0.31496062992125984" footer="0.31496062992125984"/>
  <pageSetup paperSize="5" scale="9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35"/>
  <sheetViews>
    <sheetView topLeftCell="A69" workbookViewId="0">
      <selection activeCell="J13" sqref="J13"/>
    </sheetView>
  </sheetViews>
  <sheetFormatPr defaultRowHeight="15"/>
  <cols>
    <col min="1" max="1" width="5.140625" customWidth="1"/>
    <col min="2" max="2" width="28.7109375" bestFit="1" customWidth="1"/>
    <col min="6" max="6" width="14.28515625" bestFit="1" customWidth="1"/>
    <col min="7" max="7" width="28.140625" bestFit="1" customWidth="1"/>
    <col min="8" max="8" width="14.28515625" bestFit="1" customWidth="1"/>
  </cols>
  <sheetData>
    <row r="1" spans="1:10" ht="18.75">
      <c r="A1" s="160" t="s">
        <v>235</v>
      </c>
      <c r="B1" s="160"/>
      <c r="C1" s="160"/>
      <c r="D1" s="160"/>
      <c r="E1" s="160"/>
      <c r="F1" s="160"/>
      <c r="G1" s="160"/>
      <c r="H1" s="160"/>
      <c r="I1" s="23"/>
      <c r="J1" s="23"/>
    </row>
    <row r="2" spans="1:10">
      <c r="A2" s="19" t="s">
        <v>1</v>
      </c>
      <c r="B2" s="19" t="s">
        <v>2</v>
      </c>
      <c r="C2" s="19" t="s">
        <v>3</v>
      </c>
      <c r="D2" s="19" t="s">
        <v>4</v>
      </c>
      <c r="E2" s="24" t="s">
        <v>5</v>
      </c>
      <c r="F2" s="19" t="s">
        <v>6</v>
      </c>
      <c r="G2" s="19" t="s">
        <v>7</v>
      </c>
      <c r="H2" s="19" t="s">
        <v>8</v>
      </c>
      <c r="I2" s="15"/>
    </row>
    <row r="3" spans="1:10">
      <c r="A3" s="19">
        <v>1</v>
      </c>
      <c r="B3" s="19" t="s">
        <v>62</v>
      </c>
      <c r="C3" s="19" t="s">
        <v>63</v>
      </c>
      <c r="D3" s="19" t="s">
        <v>11</v>
      </c>
      <c r="E3" s="2">
        <v>9</v>
      </c>
      <c r="F3" s="19">
        <v>280000000</v>
      </c>
      <c r="G3" s="19" t="s">
        <v>87</v>
      </c>
      <c r="H3" s="19">
        <v>280000000</v>
      </c>
      <c r="I3" s="15"/>
      <c r="J3" s="15"/>
    </row>
    <row r="4" spans="1:10">
      <c r="A4" s="19">
        <v>2</v>
      </c>
      <c r="B4" s="19" t="s">
        <v>24</v>
      </c>
      <c r="C4" s="19" t="s">
        <v>25</v>
      </c>
      <c r="D4" s="19" t="s">
        <v>11</v>
      </c>
      <c r="E4" s="2">
        <v>9</v>
      </c>
      <c r="F4" s="19">
        <v>45000000</v>
      </c>
      <c r="G4" s="19" t="s">
        <v>83</v>
      </c>
      <c r="H4" s="19">
        <v>6390685</v>
      </c>
      <c r="I4" s="15"/>
      <c r="J4" s="15"/>
    </row>
    <row r="5" spans="1:10">
      <c r="A5" s="19">
        <v>3</v>
      </c>
      <c r="B5" s="19" t="s">
        <v>62</v>
      </c>
      <c r="C5" s="19" t="s">
        <v>63</v>
      </c>
      <c r="D5" s="19" t="s">
        <v>11</v>
      </c>
      <c r="E5" s="2">
        <v>9</v>
      </c>
      <c r="F5" s="19">
        <v>280000000</v>
      </c>
      <c r="G5" s="19" t="s">
        <v>87</v>
      </c>
      <c r="H5" s="19">
        <v>280000000</v>
      </c>
      <c r="I5" s="15"/>
      <c r="J5" s="15"/>
    </row>
    <row r="6" spans="1:10">
      <c r="A6" s="19">
        <v>4</v>
      </c>
      <c r="B6" s="19" t="s">
        <v>24</v>
      </c>
      <c r="C6" s="19" t="s">
        <v>25</v>
      </c>
      <c r="D6" s="19" t="s">
        <v>11</v>
      </c>
      <c r="E6" s="2">
        <v>9</v>
      </c>
      <c r="F6" s="19">
        <v>45000000</v>
      </c>
      <c r="G6" s="19" t="s">
        <v>83</v>
      </c>
      <c r="H6" s="19">
        <v>6390685</v>
      </c>
      <c r="I6" s="15"/>
      <c r="J6" s="15"/>
    </row>
    <row r="7" spans="1:10">
      <c r="A7" s="19">
        <v>5</v>
      </c>
      <c r="B7" s="2" t="s">
        <v>132</v>
      </c>
      <c r="C7" s="2" t="s">
        <v>133</v>
      </c>
      <c r="D7" s="2" t="s">
        <v>11</v>
      </c>
      <c r="E7" s="2">
        <v>9</v>
      </c>
      <c r="F7" s="19">
        <v>200000000</v>
      </c>
      <c r="G7" s="2" t="s">
        <v>91</v>
      </c>
      <c r="H7" s="19">
        <v>200000000</v>
      </c>
      <c r="J7" s="15"/>
    </row>
    <row r="8" spans="1:10">
      <c r="A8" s="19">
        <v>6</v>
      </c>
      <c r="B8" s="2" t="s">
        <v>140</v>
      </c>
      <c r="C8" s="2" t="s">
        <v>141</v>
      </c>
      <c r="D8" s="2" t="s">
        <v>11</v>
      </c>
      <c r="E8" s="2">
        <v>9</v>
      </c>
      <c r="F8" s="19">
        <v>300000000</v>
      </c>
      <c r="G8" s="2" t="s">
        <v>90</v>
      </c>
      <c r="H8" s="19">
        <v>64345026</v>
      </c>
      <c r="J8" s="15"/>
    </row>
    <row r="9" spans="1:10">
      <c r="A9" s="19">
        <v>7</v>
      </c>
      <c r="B9" s="2" t="s">
        <v>174</v>
      </c>
      <c r="C9" s="2" t="s">
        <v>175</v>
      </c>
      <c r="D9" s="2" t="s">
        <v>11</v>
      </c>
      <c r="E9" s="2">
        <v>9</v>
      </c>
      <c r="F9" s="19">
        <v>100000000</v>
      </c>
      <c r="G9" s="2" t="s">
        <v>90</v>
      </c>
      <c r="H9" s="19">
        <v>100000000</v>
      </c>
      <c r="J9" s="15"/>
    </row>
    <row r="10" spans="1:10">
      <c r="A10" s="19">
        <v>8</v>
      </c>
      <c r="B10" s="2" t="s">
        <v>152</v>
      </c>
      <c r="C10" s="2" t="s">
        <v>153</v>
      </c>
      <c r="D10" s="2" t="s">
        <v>11</v>
      </c>
      <c r="E10" s="2">
        <v>9</v>
      </c>
      <c r="F10" s="19">
        <v>125000000</v>
      </c>
      <c r="G10" s="2" t="s">
        <v>185</v>
      </c>
      <c r="H10" s="19">
        <v>125000000</v>
      </c>
      <c r="J10" s="15"/>
    </row>
    <row r="11" spans="1:10">
      <c r="A11" s="19">
        <v>9</v>
      </c>
      <c r="B11" s="2" t="s">
        <v>122</v>
      </c>
      <c r="C11" s="2" t="s">
        <v>123</v>
      </c>
      <c r="D11" s="2" t="s">
        <v>11</v>
      </c>
      <c r="E11" s="2">
        <v>9</v>
      </c>
      <c r="F11" s="19">
        <v>30000000</v>
      </c>
      <c r="G11" s="2" t="s">
        <v>83</v>
      </c>
      <c r="H11" s="19">
        <v>30000000</v>
      </c>
      <c r="J11" s="15"/>
    </row>
    <row r="12" spans="1:10">
      <c r="A12" s="19">
        <v>10</v>
      </c>
      <c r="B12" s="2" t="s">
        <v>136</v>
      </c>
      <c r="C12" s="2" t="s">
        <v>137</v>
      </c>
      <c r="D12" s="2" t="s">
        <v>11</v>
      </c>
      <c r="E12" s="2">
        <v>9</v>
      </c>
      <c r="F12" s="19">
        <v>140000000</v>
      </c>
      <c r="G12" s="2" t="s">
        <v>184</v>
      </c>
      <c r="H12" s="19">
        <v>21375984</v>
      </c>
      <c r="J12" s="15"/>
    </row>
    <row r="13" spans="1:10">
      <c r="A13" s="19">
        <v>11</v>
      </c>
      <c r="B13" s="2" t="s">
        <v>178</v>
      </c>
      <c r="C13" s="2" t="s">
        <v>179</v>
      </c>
      <c r="D13" s="2" t="s">
        <v>11</v>
      </c>
      <c r="E13" s="2">
        <v>9</v>
      </c>
      <c r="F13" s="19">
        <v>270000000</v>
      </c>
      <c r="G13" s="2" t="s">
        <v>188</v>
      </c>
      <c r="H13" s="19">
        <v>270000000</v>
      </c>
      <c r="J13" s="15"/>
    </row>
    <row r="14" spans="1:10">
      <c r="A14" s="19">
        <v>12</v>
      </c>
      <c r="B14" s="2" t="s">
        <v>204</v>
      </c>
      <c r="C14" s="2" t="s">
        <v>205</v>
      </c>
      <c r="D14" s="2" t="s">
        <v>11</v>
      </c>
      <c r="E14" s="2">
        <v>9</v>
      </c>
      <c r="F14" s="19">
        <v>435000000</v>
      </c>
      <c r="G14" s="2" t="s">
        <v>90</v>
      </c>
      <c r="H14" s="19">
        <v>435000000</v>
      </c>
      <c r="J14" s="15"/>
    </row>
    <row r="15" spans="1:10">
      <c r="A15" s="19">
        <v>13</v>
      </c>
      <c r="B15" s="2" t="s">
        <v>220</v>
      </c>
      <c r="C15" s="2" t="s">
        <v>221</v>
      </c>
      <c r="D15" s="2" t="s">
        <v>11</v>
      </c>
      <c r="E15" s="2">
        <v>9</v>
      </c>
      <c r="F15" s="19">
        <v>160000000</v>
      </c>
      <c r="G15" s="2" t="s">
        <v>90</v>
      </c>
      <c r="H15" s="19">
        <v>25056582</v>
      </c>
      <c r="J15" s="15"/>
    </row>
    <row r="16" spans="1:10">
      <c r="A16" s="19">
        <v>14</v>
      </c>
      <c r="B16" s="2" t="s">
        <v>197</v>
      </c>
      <c r="C16" s="2" t="s">
        <v>196</v>
      </c>
      <c r="D16" s="2" t="s">
        <v>11</v>
      </c>
      <c r="E16" s="2">
        <v>9</v>
      </c>
      <c r="F16" s="19">
        <v>210000000</v>
      </c>
      <c r="G16" s="2" t="s">
        <v>86</v>
      </c>
      <c r="H16" s="19">
        <v>210000000</v>
      </c>
      <c r="J16" s="15"/>
    </row>
    <row r="17" spans="1:10">
      <c r="A17" s="19">
        <v>15</v>
      </c>
      <c r="B17" s="2" t="s">
        <v>208</v>
      </c>
      <c r="C17" s="2" t="s">
        <v>209</v>
      </c>
      <c r="D17" s="2" t="s">
        <v>11</v>
      </c>
      <c r="E17" s="2">
        <v>9</v>
      </c>
      <c r="F17" s="19">
        <v>170000000</v>
      </c>
      <c r="G17" s="2" t="s">
        <v>81</v>
      </c>
      <c r="H17" s="19">
        <v>170000000</v>
      </c>
      <c r="J17" s="15"/>
    </row>
    <row r="18" spans="1:10">
      <c r="A18" s="216" t="s">
        <v>101</v>
      </c>
      <c r="B18" s="216"/>
      <c r="C18" s="216"/>
      <c r="D18" s="216"/>
      <c r="E18" s="216"/>
      <c r="F18" s="25">
        <f>SUM(F3:F17)</f>
        <v>2790000000</v>
      </c>
      <c r="G18" s="26"/>
      <c r="H18" s="25">
        <f>SUM(H3:H17)</f>
        <v>2223558962</v>
      </c>
      <c r="J18" s="15"/>
    </row>
    <row r="19" spans="1:10">
      <c r="A19" s="19">
        <f>A17+1</f>
        <v>16</v>
      </c>
      <c r="B19" s="19" t="s">
        <v>38</v>
      </c>
      <c r="C19" s="19" t="s">
        <v>39</v>
      </c>
      <c r="D19" s="19" t="s">
        <v>11</v>
      </c>
      <c r="E19" s="2">
        <v>10</v>
      </c>
      <c r="F19" s="19">
        <v>65000000</v>
      </c>
      <c r="G19" s="19" t="s">
        <v>86</v>
      </c>
      <c r="H19" s="19">
        <v>65000000</v>
      </c>
      <c r="I19" s="15"/>
      <c r="J19" s="15"/>
    </row>
    <row r="20" spans="1:10">
      <c r="A20" s="19">
        <f>A19+1</f>
        <v>17</v>
      </c>
      <c r="B20" s="19" t="s">
        <v>12</v>
      </c>
      <c r="C20" s="19" t="s">
        <v>15</v>
      </c>
      <c r="D20" s="19" t="s">
        <v>11</v>
      </c>
      <c r="E20" s="2">
        <v>10</v>
      </c>
      <c r="F20" s="19">
        <v>100000000</v>
      </c>
      <c r="G20" s="19" t="s">
        <v>81</v>
      </c>
      <c r="H20" s="19">
        <v>89221658</v>
      </c>
      <c r="I20" s="15"/>
      <c r="J20" s="15"/>
    </row>
    <row r="21" spans="1:10">
      <c r="A21" s="19">
        <f t="shared" ref="A21:A30" si="0">A20+1</f>
        <v>18</v>
      </c>
      <c r="B21" s="19" t="s">
        <v>38</v>
      </c>
      <c r="C21" s="19" t="s">
        <v>39</v>
      </c>
      <c r="D21" s="19" t="s">
        <v>11</v>
      </c>
      <c r="E21" s="2">
        <v>10</v>
      </c>
      <c r="F21" s="19">
        <v>65000000</v>
      </c>
      <c r="G21" s="19" t="s">
        <v>86</v>
      </c>
      <c r="H21" s="19">
        <v>65000000</v>
      </c>
      <c r="I21" s="15"/>
      <c r="J21" s="15"/>
    </row>
    <row r="22" spans="1:10">
      <c r="A22" s="19">
        <f t="shared" si="0"/>
        <v>19</v>
      </c>
      <c r="B22" s="19" t="s">
        <v>12</v>
      </c>
      <c r="C22" s="19" t="s">
        <v>15</v>
      </c>
      <c r="D22" s="19" t="s">
        <v>11</v>
      </c>
      <c r="E22" s="2">
        <v>10</v>
      </c>
      <c r="F22" s="19">
        <v>100000000</v>
      </c>
      <c r="G22" s="19" t="s">
        <v>81</v>
      </c>
      <c r="H22" s="19">
        <v>89221658</v>
      </c>
      <c r="I22" s="15"/>
      <c r="J22" s="15"/>
    </row>
    <row r="23" spans="1:10">
      <c r="A23" s="19">
        <f t="shared" si="0"/>
        <v>20</v>
      </c>
      <c r="B23" s="2" t="s">
        <v>150</v>
      </c>
      <c r="C23" s="2" t="s">
        <v>151</v>
      </c>
      <c r="D23" s="2" t="s">
        <v>11</v>
      </c>
      <c r="E23" s="2">
        <v>10</v>
      </c>
      <c r="F23" s="19">
        <v>165000000</v>
      </c>
      <c r="G23" s="2" t="s">
        <v>90</v>
      </c>
      <c r="H23" s="19">
        <v>33965685</v>
      </c>
      <c r="J23" s="15"/>
    </row>
    <row r="24" spans="1:10">
      <c r="A24" s="19">
        <f t="shared" si="0"/>
        <v>21</v>
      </c>
      <c r="B24" s="2" t="s">
        <v>112</v>
      </c>
      <c r="C24" s="2" t="s">
        <v>113</v>
      </c>
      <c r="D24" s="2" t="s">
        <v>11</v>
      </c>
      <c r="E24" s="2">
        <v>10</v>
      </c>
      <c r="F24" s="19">
        <v>295000000</v>
      </c>
      <c r="G24" s="2" t="s">
        <v>180</v>
      </c>
      <c r="H24" s="19">
        <v>295000000</v>
      </c>
      <c r="J24" s="15"/>
    </row>
    <row r="25" spans="1:10">
      <c r="A25" s="19">
        <f t="shared" si="0"/>
        <v>22</v>
      </c>
      <c r="B25" s="2" t="s">
        <v>156</v>
      </c>
      <c r="C25" s="2" t="s">
        <v>157</v>
      </c>
      <c r="D25" s="2" t="s">
        <v>11</v>
      </c>
      <c r="E25" s="2">
        <v>10</v>
      </c>
      <c r="F25" s="19">
        <v>130000000</v>
      </c>
      <c r="G25" s="2" t="s">
        <v>187</v>
      </c>
      <c r="H25" s="19">
        <v>130000000</v>
      </c>
      <c r="J25" s="15"/>
    </row>
    <row r="26" spans="1:10">
      <c r="A26" s="19">
        <f t="shared" si="0"/>
        <v>23</v>
      </c>
      <c r="B26" s="2" t="s">
        <v>154</v>
      </c>
      <c r="C26" s="2" t="s">
        <v>155</v>
      </c>
      <c r="D26" s="2" t="s">
        <v>11</v>
      </c>
      <c r="E26" s="2">
        <v>10</v>
      </c>
      <c r="F26" s="19">
        <v>120000000</v>
      </c>
      <c r="G26" s="2" t="s">
        <v>186</v>
      </c>
      <c r="H26" s="19">
        <v>32622520</v>
      </c>
      <c r="J26" s="15"/>
    </row>
    <row r="27" spans="1:10">
      <c r="A27" s="19">
        <f t="shared" si="0"/>
        <v>24</v>
      </c>
      <c r="B27" s="2" t="s">
        <v>204</v>
      </c>
      <c r="C27" s="2" t="s">
        <v>205</v>
      </c>
      <c r="D27" s="2" t="s">
        <v>11</v>
      </c>
      <c r="E27" s="2">
        <v>10</v>
      </c>
      <c r="F27" s="19">
        <v>30000000</v>
      </c>
      <c r="G27" s="2" t="s">
        <v>90</v>
      </c>
      <c r="H27" s="19">
        <v>30000000</v>
      </c>
      <c r="J27" s="15"/>
    </row>
    <row r="28" spans="1:10">
      <c r="A28" s="19">
        <f t="shared" si="0"/>
        <v>25</v>
      </c>
      <c r="B28" s="2" t="s">
        <v>230</v>
      </c>
      <c r="C28" s="2" t="s">
        <v>231</v>
      </c>
      <c r="D28" s="2" t="s">
        <v>11</v>
      </c>
      <c r="E28" s="2">
        <v>10</v>
      </c>
      <c r="F28" s="19">
        <v>72000000</v>
      </c>
      <c r="G28" s="2" t="s">
        <v>92</v>
      </c>
      <c r="H28" s="19">
        <v>72000000</v>
      </c>
      <c r="J28" s="15"/>
    </row>
    <row r="29" spans="1:10">
      <c r="A29" s="19">
        <f t="shared" si="0"/>
        <v>26</v>
      </c>
      <c r="B29" s="2" t="s">
        <v>202</v>
      </c>
      <c r="C29" s="2" t="s">
        <v>203</v>
      </c>
      <c r="D29" s="2" t="s">
        <v>11</v>
      </c>
      <c r="E29" s="2">
        <v>10</v>
      </c>
      <c r="F29" s="19">
        <v>160000000</v>
      </c>
      <c r="G29" s="2" t="s">
        <v>184</v>
      </c>
      <c r="H29" s="19">
        <v>80420918</v>
      </c>
      <c r="J29" s="15"/>
    </row>
    <row r="30" spans="1:10">
      <c r="A30" s="19">
        <f t="shared" si="0"/>
        <v>27</v>
      </c>
      <c r="B30" s="2" t="s">
        <v>216</v>
      </c>
      <c r="C30" s="2" t="s">
        <v>217</v>
      </c>
      <c r="D30" s="2" t="s">
        <v>11</v>
      </c>
      <c r="E30" s="2">
        <v>10</v>
      </c>
      <c r="F30" s="19">
        <v>60000000</v>
      </c>
      <c r="G30" s="2" t="s">
        <v>186</v>
      </c>
      <c r="H30" s="19">
        <v>60000000</v>
      </c>
      <c r="J30" s="15"/>
    </row>
    <row r="31" spans="1:10">
      <c r="A31" s="216" t="s">
        <v>101</v>
      </c>
      <c r="B31" s="216"/>
      <c r="C31" s="216"/>
      <c r="D31" s="216"/>
      <c r="E31" s="216"/>
      <c r="F31" s="25">
        <f>SUM(F19:F30)</f>
        <v>1362000000</v>
      </c>
      <c r="G31" s="26"/>
      <c r="H31" s="25">
        <f>SUM(H19:H30)</f>
        <v>1042452439</v>
      </c>
      <c r="J31" s="15"/>
    </row>
    <row r="32" spans="1:10">
      <c r="A32" s="19">
        <f>A30+1</f>
        <v>28</v>
      </c>
      <c r="B32" s="19" t="s">
        <v>78</v>
      </c>
      <c r="C32" s="19" t="s">
        <v>79</v>
      </c>
      <c r="D32" s="19" t="s">
        <v>11</v>
      </c>
      <c r="E32" s="2">
        <v>10.5</v>
      </c>
      <c r="F32" s="19">
        <v>30000000</v>
      </c>
      <c r="G32" s="19" t="s">
        <v>86</v>
      </c>
      <c r="H32" s="19">
        <v>30000000</v>
      </c>
      <c r="I32" s="15"/>
      <c r="J32" s="15"/>
    </row>
    <row r="33" spans="1:10">
      <c r="A33" s="19">
        <f>A32+1</f>
        <v>29</v>
      </c>
      <c r="B33" s="19" t="s">
        <v>28</v>
      </c>
      <c r="C33" s="19" t="s">
        <v>29</v>
      </c>
      <c r="D33" s="19" t="s">
        <v>11</v>
      </c>
      <c r="E33" s="2">
        <v>10.5</v>
      </c>
      <c r="F33" s="19">
        <v>30000000</v>
      </c>
      <c r="G33" s="19" t="s">
        <v>85</v>
      </c>
      <c r="H33" s="19">
        <v>30000000</v>
      </c>
      <c r="I33" s="15"/>
      <c r="J33" s="15"/>
    </row>
    <row r="34" spans="1:10">
      <c r="A34" s="19">
        <f t="shared" ref="A34:A35" si="1">A33+1</f>
        <v>30</v>
      </c>
      <c r="B34" s="19" t="s">
        <v>78</v>
      </c>
      <c r="C34" s="19" t="s">
        <v>79</v>
      </c>
      <c r="D34" s="19" t="s">
        <v>11</v>
      </c>
      <c r="E34" s="2">
        <v>10.5</v>
      </c>
      <c r="F34" s="19">
        <v>30000000</v>
      </c>
      <c r="G34" s="19" t="s">
        <v>86</v>
      </c>
      <c r="H34" s="19">
        <v>30000000</v>
      </c>
      <c r="I34" s="15"/>
      <c r="J34" s="15"/>
    </row>
    <row r="35" spans="1:10">
      <c r="A35" s="19">
        <f t="shared" si="1"/>
        <v>31</v>
      </c>
      <c r="B35" s="19" t="s">
        <v>28</v>
      </c>
      <c r="C35" s="19" t="s">
        <v>29</v>
      </c>
      <c r="D35" s="19" t="s">
        <v>11</v>
      </c>
      <c r="E35" s="2">
        <v>10.5</v>
      </c>
      <c r="F35" s="19">
        <v>30000000</v>
      </c>
      <c r="G35" s="19" t="s">
        <v>85</v>
      </c>
      <c r="H35" s="19">
        <v>30000000</v>
      </c>
      <c r="I35" s="15"/>
      <c r="J35" s="15"/>
    </row>
    <row r="36" spans="1:10">
      <c r="A36" s="216" t="s">
        <v>101</v>
      </c>
      <c r="B36" s="216"/>
      <c r="C36" s="216"/>
      <c r="D36" s="216"/>
      <c r="E36" s="216"/>
      <c r="F36" s="25">
        <f>SUM(F32:F35)</f>
        <v>120000000</v>
      </c>
      <c r="G36" s="26"/>
      <c r="H36" s="25">
        <f>SUM(H32:H35)</f>
        <v>120000000</v>
      </c>
      <c r="J36" s="15"/>
    </row>
    <row r="37" spans="1:10">
      <c r="A37" s="19">
        <f>A35+1</f>
        <v>32</v>
      </c>
      <c r="B37" s="19" t="s">
        <v>26</v>
      </c>
      <c r="C37" s="19" t="s">
        <v>27</v>
      </c>
      <c r="D37" s="19" t="s">
        <v>11</v>
      </c>
      <c r="E37" s="2">
        <v>11</v>
      </c>
      <c r="F37" s="19">
        <v>90000000</v>
      </c>
      <c r="G37" s="19" t="s">
        <v>84</v>
      </c>
      <c r="H37" s="19">
        <v>84715058</v>
      </c>
      <c r="I37" s="15"/>
      <c r="J37" s="15"/>
    </row>
    <row r="38" spans="1:10">
      <c r="A38" s="19">
        <f>A37+1</f>
        <v>33</v>
      </c>
      <c r="B38" s="19" t="s">
        <v>58</v>
      </c>
      <c r="C38" s="19" t="s">
        <v>59</v>
      </c>
      <c r="D38" s="19" t="s">
        <v>11</v>
      </c>
      <c r="E38" s="2">
        <v>11</v>
      </c>
      <c r="F38" s="19">
        <v>110000000</v>
      </c>
      <c r="G38" s="19" t="s">
        <v>91</v>
      </c>
      <c r="H38" s="19">
        <v>15079495</v>
      </c>
      <c r="I38" s="15"/>
      <c r="J38" s="15"/>
    </row>
    <row r="39" spans="1:10">
      <c r="A39" s="19">
        <f t="shared" ref="A39:A69" si="2">A38+1</f>
        <v>34</v>
      </c>
      <c r="B39" s="19" t="s">
        <v>56</v>
      </c>
      <c r="C39" s="19" t="s">
        <v>57</v>
      </c>
      <c r="D39" s="19" t="s">
        <v>11</v>
      </c>
      <c r="E39" s="2">
        <v>11</v>
      </c>
      <c r="F39" s="19">
        <v>150000000</v>
      </c>
      <c r="G39" s="19" t="s">
        <v>90</v>
      </c>
      <c r="H39" s="19">
        <v>48557884</v>
      </c>
      <c r="I39" s="15"/>
      <c r="J39" s="15"/>
    </row>
    <row r="40" spans="1:10">
      <c r="A40" s="19">
        <f t="shared" si="2"/>
        <v>35</v>
      </c>
      <c r="B40" s="19" t="s">
        <v>22</v>
      </c>
      <c r="C40" s="19" t="s">
        <v>23</v>
      </c>
      <c r="D40" s="19" t="s">
        <v>11</v>
      </c>
      <c r="E40" s="2">
        <v>11</v>
      </c>
      <c r="F40" s="19">
        <v>205000000</v>
      </c>
      <c r="G40" s="19" t="s">
        <v>82</v>
      </c>
      <c r="H40" s="19">
        <v>47231123</v>
      </c>
      <c r="I40" s="15"/>
      <c r="J40" s="15"/>
    </row>
    <row r="41" spans="1:10">
      <c r="A41" s="19">
        <f t="shared" si="2"/>
        <v>36</v>
      </c>
      <c r="B41" s="19" t="s">
        <v>72</v>
      </c>
      <c r="C41" s="19" t="s">
        <v>73</v>
      </c>
      <c r="D41" s="19" t="s">
        <v>11</v>
      </c>
      <c r="E41" s="2">
        <v>11</v>
      </c>
      <c r="F41" s="19">
        <v>35000000</v>
      </c>
      <c r="G41" s="19" t="s">
        <v>93</v>
      </c>
      <c r="H41" s="19">
        <v>35000000</v>
      </c>
      <c r="I41" s="15"/>
    </row>
    <row r="42" spans="1:10">
      <c r="A42" s="19">
        <f t="shared" si="2"/>
        <v>37</v>
      </c>
      <c r="B42" s="19" t="s">
        <v>42</v>
      </c>
      <c r="C42" s="19" t="s">
        <v>43</v>
      </c>
      <c r="D42" s="19" t="s">
        <v>11</v>
      </c>
      <c r="E42" s="2">
        <v>11</v>
      </c>
      <c r="F42" s="19">
        <v>130000000</v>
      </c>
      <c r="G42" s="19" t="s">
        <v>87</v>
      </c>
      <c r="H42" s="19">
        <v>75500054</v>
      </c>
      <c r="I42" s="15"/>
    </row>
    <row r="43" spans="1:10">
      <c r="A43" s="19">
        <f t="shared" si="2"/>
        <v>38</v>
      </c>
      <c r="B43" s="19" t="s">
        <v>19</v>
      </c>
      <c r="C43" s="19" t="s">
        <v>21</v>
      </c>
      <c r="D43" s="19" t="s">
        <v>11</v>
      </c>
      <c r="E43" s="2">
        <v>11</v>
      </c>
      <c r="F43" s="19">
        <v>230000000</v>
      </c>
      <c r="G43" s="19" t="s">
        <v>80</v>
      </c>
      <c r="H43" s="19">
        <v>230000000</v>
      </c>
      <c r="I43" s="15"/>
    </row>
    <row r="44" spans="1:10">
      <c r="A44" s="19">
        <f t="shared" si="2"/>
        <v>39</v>
      </c>
      <c r="B44" s="19" t="s">
        <v>68</v>
      </c>
      <c r="C44" s="19" t="s">
        <v>69</v>
      </c>
      <c r="D44" s="19" t="s">
        <v>11</v>
      </c>
      <c r="E44" s="2">
        <v>11</v>
      </c>
      <c r="F44" s="19">
        <v>150000000</v>
      </c>
      <c r="G44" s="19" t="s">
        <v>80</v>
      </c>
      <c r="H44" s="19">
        <v>22657694</v>
      </c>
      <c r="I44" s="15"/>
    </row>
    <row r="45" spans="1:10">
      <c r="A45" s="19">
        <f t="shared" si="2"/>
        <v>40</v>
      </c>
      <c r="B45" s="19" t="s">
        <v>46</v>
      </c>
      <c r="C45" s="19" t="s">
        <v>47</v>
      </c>
      <c r="D45" s="19" t="s">
        <v>11</v>
      </c>
      <c r="E45" s="2">
        <v>11</v>
      </c>
      <c r="F45" s="19">
        <v>70000000</v>
      </c>
      <c r="G45" s="19" t="s">
        <v>88</v>
      </c>
      <c r="H45" s="19">
        <v>70000000</v>
      </c>
      <c r="I45" s="15"/>
    </row>
    <row r="46" spans="1:10">
      <c r="A46" s="19">
        <f t="shared" si="2"/>
        <v>41</v>
      </c>
      <c r="B46" s="19" t="s">
        <v>48</v>
      </c>
      <c r="C46" s="19" t="s">
        <v>49</v>
      </c>
      <c r="D46" s="19" t="s">
        <v>11</v>
      </c>
      <c r="E46" s="2">
        <v>11</v>
      </c>
      <c r="F46" s="19">
        <v>60000000</v>
      </c>
      <c r="G46" s="19" t="s">
        <v>89</v>
      </c>
      <c r="H46" s="19">
        <v>60000000</v>
      </c>
      <c r="I46" s="15"/>
    </row>
    <row r="47" spans="1:10">
      <c r="A47" s="19">
        <f t="shared" si="2"/>
        <v>42</v>
      </c>
      <c r="B47" s="19" t="s">
        <v>26</v>
      </c>
      <c r="C47" s="19" t="s">
        <v>27</v>
      </c>
      <c r="D47" s="19" t="s">
        <v>11</v>
      </c>
      <c r="E47" s="2">
        <v>11</v>
      </c>
      <c r="F47" s="19">
        <v>90000000</v>
      </c>
      <c r="G47" s="19" t="s">
        <v>84</v>
      </c>
      <c r="H47" s="19">
        <v>84715058</v>
      </c>
      <c r="I47" s="15"/>
    </row>
    <row r="48" spans="1:10">
      <c r="A48" s="19">
        <f t="shared" si="2"/>
        <v>43</v>
      </c>
      <c r="B48" s="19" t="s">
        <v>58</v>
      </c>
      <c r="C48" s="19" t="s">
        <v>59</v>
      </c>
      <c r="D48" s="19" t="s">
        <v>11</v>
      </c>
      <c r="E48" s="2">
        <v>11</v>
      </c>
      <c r="F48" s="19">
        <v>110000000</v>
      </c>
      <c r="G48" s="19" t="s">
        <v>91</v>
      </c>
      <c r="H48" s="19">
        <v>15079495</v>
      </c>
      <c r="I48" s="15"/>
    </row>
    <row r="49" spans="1:9">
      <c r="A49" s="19">
        <f t="shared" si="2"/>
        <v>44</v>
      </c>
      <c r="B49" s="19" t="s">
        <v>56</v>
      </c>
      <c r="C49" s="19" t="s">
        <v>57</v>
      </c>
      <c r="D49" s="19" t="s">
        <v>11</v>
      </c>
      <c r="E49" s="2">
        <v>11</v>
      </c>
      <c r="F49" s="19">
        <v>150000000</v>
      </c>
      <c r="G49" s="19" t="s">
        <v>90</v>
      </c>
      <c r="H49" s="19">
        <v>48557884</v>
      </c>
      <c r="I49" s="15"/>
    </row>
    <row r="50" spans="1:9">
      <c r="A50" s="19">
        <f t="shared" si="2"/>
        <v>45</v>
      </c>
      <c r="B50" s="19" t="s">
        <v>22</v>
      </c>
      <c r="C50" s="19" t="s">
        <v>23</v>
      </c>
      <c r="D50" s="19" t="s">
        <v>11</v>
      </c>
      <c r="E50" s="2">
        <v>11</v>
      </c>
      <c r="F50" s="19">
        <v>205000000</v>
      </c>
      <c r="G50" s="19" t="s">
        <v>82</v>
      </c>
      <c r="H50" s="19">
        <v>47231123</v>
      </c>
      <c r="I50" s="15"/>
    </row>
    <row r="51" spans="1:9">
      <c r="A51" s="19">
        <f t="shared" si="2"/>
        <v>46</v>
      </c>
      <c r="B51" s="19" t="s">
        <v>72</v>
      </c>
      <c r="C51" s="19" t="s">
        <v>73</v>
      </c>
      <c r="D51" s="19" t="s">
        <v>11</v>
      </c>
      <c r="E51" s="2">
        <v>11</v>
      </c>
      <c r="F51" s="19">
        <v>35000000</v>
      </c>
      <c r="G51" s="19" t="s">
        <v>93</v>
      </c>
      <c r="H51" s="19">
        <v>35000000</v>
      </c>
      <c r="I51" s="15"/>
    </row>
    <row r="52" spans="1:9">
      <c r="A52" s="19">
        <f t="shared" si="2"/>
        <v>47</v>
      </c>
      <c r="B52" s="19" t="s">
        <v>42</v>
      </c>
      <c r="C52" s="19" t="s">
        <v>43</v>
      </c>
      <c r="D52" s="19" t="s">
        <v>11</v>
      </c>
      <c r="E52" s="2">
        <v>11</v>
      </c>
      <c r="F52" s="19">
        <v>130000000</v>
      </c>
      <c r="G52" s="19" t="s">
        <v>87</v>
      </c>
      <c r="H52" s="19">
        <v>75500054</v>
      </c>
      <c r="I52" s="15"/>
    </row>
    <row r="53" spans="1:9">
      <c r="A53" s="19">
        <f t="shared" si="2"/>
        <v>48</v>
      </c>
      <c r="B53" s="19" t="s">
        <v>19</v>
      </c>
      <c r="C53" s="19" t="s">
        <v>21</v>
      </c>
      <c r="D53" s="19" t="s">
        <v>11</v>
      </c>
      <c r="E53" s="2">
        <v>11</v>
      </c>
      <c r="F53" s="19">
        <v>230000000</v>
      </c>
      <c r="G53" s="19" t="s">
        <v>80</v>
      </c>
      <c r="H53" s="19">
        <v>230000000</v>
      </c>
      <c r="I53" s="15"/>
    </row>
    <row r="54" spans="1:9">
      <c r="A54" s="19">
        <f t="shared" si="2"/>
        <v>49</v>
      </c>
      <c r="B54" s="19" t="s">
        <v>68</v>
      </c>
      <c r="C54" s="19" t="s">
        <v>69</v>
      </c>
      <c r="D54" s="19" t="s">
        <v>11</v>
      </c>
      <c r="E54" s="2">
        <v>11</v>
      </c>
      <c r="F54" s="19">
        <v>150000000</v>
      </c>
      <c r="G54" s="19" t="s">
        <v>80</v>
      </c>
      <c r="H54" s="19">
        <v>22657694</v>
      </c>
      <c r="I54" s="15"/>
    </row>
    <row r="55" spans="1:9">
      <c r="A55" s="19">
        <f t="shared" si="2"/>
        <v>50</v>
      </c>
      <c r="B55" s="19" t="s">
        <v>46</v>
      </c>
      <c r="C55" s="19" t="s">
        <v>47</v>
      </c>
      <c r="D55" s="19" t="s">
        <v>11</v>
      </c>
      <c r="E55" s="2">
        <v>11</v>
      </c>
      <c r="F55" s="19">
        <v>70000000</v>
      </c>
      <c r="G55" s="19" t="s">
        <v>88</v>
      </c>
      <c r="H55" s="19">
        <v>70000000</v>
      </c>
      <c r="I55" s="15"/>
    </row>
    <row r="56" spans="1:9">
      <c r="A56" s="19">
        <f t="shared" si="2"/>
        <v>51</v>
      </c>
      <c r="B56" s="19" t="s">
        <v>48</v>
      </c>
      <c r="C56" s="19" t="s">
        <v>49</v>
      </c>
      <c r="D56" s="19" t="s">
        <v>11</v>
      </c>
      <c r="E56" s="2">
        <v>11</v>
      </c>
      <c r="F56" s="19">
        <v>60000000</v>
      </c>
      <c r="G56" s="19" t="s">
        <v>89</v>
      </c>
      <c r="H56" s="19">
        <v>60000000</v>
      </c>
      <c r="I56" s="15"/>
    </row>
    <row r="57" spans="1:9">
      <c r="A57" s="19">
        <f t="shared" si="2"/>
        <v>52</v>
      </c>
      <c r="B57" s="2" t="s">
        <v>114</v>
      </c>
      <c r="C57" s="2" t="s">
        <v>115</v>
      </c>
      <c r="D57" s="2" t="s">
        <v>11</v>
      </c>
      <c r="E57" s="2">
        <v>11</v>
      </c>
      <c r="F57" s="19">
        <v>130000000</v>
      </c>
      <c r="G57" s="2" t="s">
        <v>91</v>
      </c>
      <c r="H57" s="19">
        <v>74122492</v>
      </c>
    </row>
    <row r="58" spans="1:9">
      <c r="A58" s="19">
        <f t="shared" si="2"/>
        <v>53</v>
      </c>
      <c r="B58" s="2" t="s">
        <v>164</v>
      </c>
      <c r="C58" s="2" t="s">
        <v>165</v>
      </c>
      <c r="D58" s="2" t="s">
        <v>11</v>
      </c>
      <c r="E58" s="2">
        <v>11</v>
      </c>
      <c r="F58" s="19">
        <v>150000000</v>
      </c>
      <c r="G58" s="2" t="s">
        <v>86</v>
      </c>
      <c r="H58" s="19">
        <v>150000000</v>
      </c>
    </row>
    <row r="59" spans="1:9">
      <c r="A59" s="19">
        <f t="shared" si="2"/>
        <v>54</v>
      </c>
      <c r="B59" s="2" t="s">
        <v>142</v>
      </c>
      <c r="C59" s="2" t="s">
        <v>143</v>
      </c>
      <c r="D59" s="2" t="s">
        <v>11</v>
      </c>
      <c r="E59" s="2">
        <v>11</v>
      </c>
      <c r="F59" s="19">
        <v>60000000</v>
      </c>
      <c r="G59" s="2" t="s">
        <v>87</v>
      </c>
      <c r="H59" s="19">
        <v>38491746</v>
      </c>
    </row>
    <row r="60" spans="1:9">
      <c r="A60" s="19">
        <f t="shared" si="2"/>
        <v>55</v>
      </c>
      <c r="B60" s="2" t="s">
        <v>148</v>
      </c>
      <c r="C60" s="2" t="s">
        <v>149</v>
      </c>
      <c r="D60" s="2" t="s">
        <v>11</v>
      </c>
      <c r="E60" s="2">
        <v>11</v>
      </c>
      <c r="F60" s="19">
        <v>270000000</v>
      </c>
      <c r="G60" s="2" t="s">
        <v>87</v>
      </c>
      <c r="H60" s="19">
        <v>157873608</v>
      </c>
    </row>
    <row r="61" spans="1:9">
      <c r="A61" s="19">
        <f t="shared" si="2"/>
        <v>56</v>
      </c>
      <c r="B61" s="2" t="s">
        <v>120</v>
      </c>
      <c r="C61" s="2" t="s">
        <v>121</v>
      </c>
      <c r="D61" s="2" t="s">
        <v>11</v>
      </c>
      <c r="E61" s="2">
        <v>11</v>
      </c>
      <c r="F61" s="19">
        <v>64000000</v>
      </c>
      <c r="G61" s="2" t="s">
        <v>80</v>
      </c>
      <c r="H61" s="19">
        <v>8893010</v>
      </c>
    </row>
    <row r="62" spans="1:9">
      <c r="A62" s="19">
        <f t="shared" si="2"/>
        <v>57</v>
      </c>
      <c r="B62" s="2" t="s">
        <v>146</v>
      </c>
      <c r="C62" s="2" t="s">
        <v>147</v>
      </c>
      <c r="D62" s="2" t="s">
        <v>11</v>
      </c>
      <c r="E62" s="2">
        <v>11</v>
      </c>
      <c r="F62" s="19">
        <v>200000000</v>
      </c>
      <c r="G62" s="2" t="s">
        <v>80</v>
      </c>
      <c r="H62" s="19">
        <v>64324750</v>
      </c>
    </row>
    <row r="63" spans="1:9">
      <c r="A63" s="19">
        <f t="shared" si="2"/>
        <v>58</v>
      </c>
      <c r="B63" s="2" t="s">
        <v>158</v>
      </c>
      <c r="C63" s="2" t="s">
        <v>159</v>
      </c>
      <c r="D63" s="2" t="s">
        <v>11</v>
      </c>
      <c r="E63" s="2">
        <v>11</v>
      </c>
      <c r="F63" s="19">
        <v>70000000</v>
      </c>
      <c r="G63" s="2" t="s">
        <v>80</v>
      </c>
      <c r="H63" s="19">
        <v>5116899</v>
      </c>
    </row>
    <row r="64" spans="1:9">
      <c r="A64" s="19">
        <f t="shared" si="2"/>
        <v>59</v>
      </c>
      <c r="B64" s="2" t="s">
        <v>198</v>
      </c>
      <c r="C64" s="2" t="s">
        <v>199</v>
      </c>
      <c r="D64" s="2" t="s">
        <v>11</v>
      </c>
      <c r="E64" s="2">
        <v>11</v>
      </c>
      <c r="F64" s="19">
        <v>20000000</v>
      </c>
      <c r="G64" s="2" t="s">
        <v>90</v>
      </c>
      <c r="H64" s="19">
        <v>20000000</v>
      </c>
    </row>
    <row r="65" spans="1:9">
      <c r="A65" s="19">
        <f t="shared" si="2"/>
        <v>60</v>
      </c>
      <c r="B65" s="2" t="s">
        <v>214</v>
      </c>
      <c r="C65" s="2" t="s">
        <v>215</v>
      </c>
      <c r="D65" s="2" t="s">
        <v>11</v>
      </c>
      <c r="E65" s="2">
        <v>11</v>
      </c>
      <c r="F65" s="19">
        <v>250000000</v>
      </c>
      <c r="G65" s="2" t="s">
        <v>90</v>
      </c>
      <c r="H65" s="19">
        <v>250000000</v>
      </c>
    </row>
    <row r="66" spans="1:9">
      <c r="A66" s="19">
        <f t="shared" si="2"/>
        <v>61</v>
      </c>
      <c r="B66" s="2" t="s">
        <v>195</v>
      </c>
      <c r="C66" s="2" t="s">
        <v>233</v>
      </c>
      <c r="D66" s="2" t="s">
        <v>11</v>
      </c>
      <c r="E66" s="2">
        <v>11</v>
      </c>
      <c r="F66" s="19">
        <v>159000000</v>
      </c>
      <c r="G66" s="2" t="s">
        <v>81</v>
      </c>
      <c r="H66" s="19">
        <v>20146956</v>
      </c>
    </row>
    <row r="67" spans="1:9">
      <c r="A67" s="19">
        <f t="shared" si="2"/>
        <v>62</v>
      </c>
      <c r="B67" s="2" t="s">
        <v>212</v>
      </c>
      <c r="C67" s="2" t="s">
        <v>213</v>
      </c>
      <c r="D67" s="2" t="s">
        <v>11</v>
      </c>
      <c r="E67" s="2">
        <v>11</v>
      </c>
      <c r="F67" s="19">
        <v>220000000</v>
      </c>
      <c r="G67" s="2" t="s">
        <v>184</v>
      </c>
      <c r="H67" s="19">
        <v>18630040</v>
      </c>
    </row>
    <row r="68" spans="1:9">
      <c r="A68" s="19">
        <f t="shared" si="2"/>
        <v>63</v>
      </c>
      <c r="B68" s="2" t="s">
        <v>189</v>
      </c>
      <c r="C68" s="2" t="s">
        <v>190</v>
      </c>
      <c r="D68" s="2" t="s">
        <v>11</v>
      </c>
      <c r="E68" s="2">
        <v>11</v>
      </c>
      <c r="F68" s="19">
        <v>82000000</v>
      </c>
      <c r="G68" s="2" t="s">
        <v>186</v>
      </c>
      <c r="H68" s="19">
        <v>82000000</v>
      </c>
    </row>
    <row r="69" spans="1:9">
      <c r="A69" s="19">
        <f t="shared" si="2"/>
        <v>64</v>
      </c>
      <c r="B69" s="2" t="s">
        <v>218</v>
      </c>
      <c r="C69" s="2" t="s">
        <v>219</v>
      </c>
      <c r="D69" s="2" t="s">
        <v>11</v>
      </c>
      <c r="E69" s="2">
        <v>11</v>
      </c>
      <c r="F69" s="19">
        <v>75000000</v>
      </c>
      <c r="G69" s="2" t="s">
        <v>186</v>
      </c>
      <c r="H69" s="19">
        <v>75000000</v>
      </c>
    </row>
    <row r="70" spans="1:9">
      <c r="A70" s="216" t="s">
        <v>101</v>
      </c>
      <c r="B70" s="216"/>
      <c r="C70" s="216"/>
      <c r="D70" s="216"/>
      <c r="E70" s="216"/>
      <c r="F70" s="25">
        <f>SUM(F37:F69)</f>
        <v>4210000000</v>
      </c>
      <c r="G70" s="26"/>
      <c r="H70" s="25">
        <f>SUM(H37:H69)</f>
        <v>2342082117</v>
      </c>
    </row>
    <row r="71" spans="1:9">
      <c r="A71" s="19">
        <f>A69+1</f>
        <v>65</v>
      </c>
      <c r="B71" s="2" t="s">
        <v>166</v>
      </c>
      <c r="C71" s="2" t="s">
        <v>167</v>
      </c>
      <c r="D71" s="2" t="s">
        <v>11</v>
      </c>
      <c r="E71" s="2">
        <v>11.5</v>
      </c>
      <c r="F71" s="19">
        <v>100000000</v>
      </c>
      <c r="G71" s="2" t="s">
        <v>92</v>
      </c>
      <c r="H71" s="19">
        <v>18718252</v>
      </c>
    </row>
    <row r="72" spans="1:9">
      <c r="A72" s="19">
        <f>A71+1</f>
        <v>66</v>
      </c>
      <c r="B72" s="2" t="s">
        <v>206</v>
      </c>
      <c r="C72" s="2" t="s">
        <v>207</v>
      </c>
      <c r="D72" s="2" t="s">
        <v>11</v>
      </c>
      <c r="E72" s="2">
        <v>11.5</v>
      </c>
      <c r="F72" s="19">
        <v>110000000</v>
      </c>
      <c r="G72" s="2" t="s">
        <v>232</v>
      </c>
      <c r="H72" s="19">
        <v>33873782</v>
      </c>
    </row>
    <row r="73" spans="1:9">
      <c r="A73" s="216" t="s">
        <v>101</v>
      </c>
      <c r="B73" s="216"/>
      <c r="C73" s="216"/>
      <c r="D73" s="216"/>
      <c r="E73" s="216"/>
      <c r="F73" s="25">
        <f>SUM(F71:F72)</f>
        <v>210000000</v>
      </c>
      <c r="G73" s="26"/>
      <c r="H73" s="25">
        <f>SUM(H71:H72)</f>
        <v>52592034</v>
      </c>
    </row>
    <row r="74" spans="1:9">
      <c r="A74" s="19">
        <f>A72+1</f>
        <v>67</v>
      </c>
      <c r="B74" s="19" t="s">
        <v>9</v>
      </c>
      <c r="C74" s="19" t="s">
        <v>10</v>
      </c>
      <c r="D74" s="19" t="s">
        <v>11</v>
      </c>
      <c r="E74" s="2">
        <v>12</v>
      </c>
      <c r="F74" s="19">
        <v>15000000</v>
      </c>
      <c r="G74" s="19" t="s">
        <v>80</v>
      </c>
      <c r="H74" s="19">
        <v>15000000</v>
      </c>
      <c r="I74" s="15"/>
    </row>
    <row r="75" spans="1:9">
      <c r="A75" s="19">
        <f>A74+1</f>
        <v>68</v>
      </c>
      <c r="B75" s="19" t="s">
        <v>14</v>
      </c>
      <c r="C75" s="19" t="s">
        <v>13</v>
      </c>
      <c r="D75" s="19" t="s">
        <v>11</v>
      </c>
      <c r="E75" s="2">
        <v>12</v>
      </c>
      <c r="F75" s="19">
        <v>140000000</v>
      </c>
      <c r="G75" s="19" t="s">
        <v>80</v>
      </c>
      <c r="H75" s="19">
        <v>9583151</v>
      </c>
      <c r="I75" s="15"/>
    </row>
    <row r="76" spans="1:9">
      <c r="A76" s="19">
        <f t="shared" ref="A76:A134" si="3">A75+1</f>
        <v>69</v>
      </c>
      <c r="B76" s="19" t="s">
        <v>16</v>
      </c>
      <c r="C76" s="19" t="s">
        <v>17</v>
      </c>
      <c r="D76" s="19" t="s">
        <v>11</v>
      </c>
      <c r="E76" s="2">
        <v>12</v>
      </c>
      <c r="F76" s="19">
        <v>72000000</v>
      </c>
      <c r="G76" s="19" t="s">
        <v>80</v>
      </c>
      <c r="H76" s="19">
        <v>53944432</v>
      </c>
      <c r="I76" s="15"/>
    </row>
    <row r="77" spans="1:9">
      <c r="A77" s="19">
        <f t="shared" si="3"/>
        <v>70</v>
      </c>
      <c r="B77" s="19" t="s">
        <v>18</v>
      </c>
      <c r="C77" s="19" t="s">
        <v>20</v>
      </c>
      <c r="D77" s="19" t="s">
        <v>11</v>
      </c>
      <c r="E77" s="2">
        <v>12</v>
      </c>
      <c r="F77" s="19">
        <v>65000000</v>
      </c>
      <c r="G77" s="19" t="s">
        <v>80</v>
      </c>
      <c r="H77" s="19">
        <v>32947419</v>
      </c>
      <c r="I77" s="15"/>
    </row>
    <row r="78" spans="1:9">
      <c r="A78" s="19">
        <f t="shared" si="3"/>
        <v>71</v>
      </c>
      <c r="B78" s="19" t="s">
        <v>30</v>
      </c>
      <c r="C78" s="19" t="s">
        <v>31</v>
      </c>
      <c r="D78" s="19" t="s">
        <v>11</v>
      </c>
      <c r="E78" s="2">
        <v>12</v>
      </c>
      <c r="F78" s="19">
        <v>85000000</v>
      </c>
      <c r="G78" s="19" t="s">
        <v>80</v>
      </c>
      <c r="H78" s="19">
        <v>32140848</v>
      </c>
      <c r="I78" s="15"/>
    </row>
    <row r="79" spans="1:9">
      <c r="A79" s="19">
        <f t="shared" si="3"/>
        <v>72</v>
      </c>
      <c r="B79" s="19" t="s">
        <v>32</v>
      </c>
      <c r="C79" s="19" t="s">
        <v>33</v>
      </c>
      <c r="D79" s="19" t="s">
        <v>11</v>
      </c>
      <c r="E79" s="2">
        <v>12</v>
      </c>
      <c r="F79" s="19">
        <v>50000000</v>
      </c>
      <c r="G79" s="19" t="s">
        <v>80</v>
      </c>
      <c r="H79" s="19">
        <v>40308404</v>
      </c>
      <c r="I79" s="15"/>
    </row>
    <row r="80" spans="1:9">
      <c r="A80" s="19">
        <f t="shared" si="3"/>
        <v>73</v>
      </c>
      <c r="B80" s="19" t="s">
        <v>34</v>
      </c>
      <c r="C80" s="19" t="s">
        <v>35</v>
      </c>
      <c r="D80" s="19" t="s">
        <v>11</v>
      </c>
      <c r="E80" s="2">
        <v>12</v>
      </c>
      <c r="F80" s="19">
        <v>143000000</v>
      </c>
      <c r="G80" s="19" t="s">
        <v>80</v>
      </c>
      <c r="H80" s="19">
        <v>18661641</v>
      </c>
      <c r="I80" s="15"/>
    </row>
    <row r="81" spans="1:9">
      <c r="A81" s="19">
        <f t="shared" si="3"/>
        <v>74</v>
      </c>
      <c r="B81" s="19" t="s">
        <v>36</v>
      </c>
      <c r="C81" s="19" t="s">
        <v>37</v>
      </c>
      <c r="D81" s="19" t="s">
        <v>11</v>
      </c>
      <c r="E81" s="2">
        <v>12</v>
      </c>
      <c r="F81" s="19">
        <v>165000000</v>
      </c>
      <c r="G81" s="19" t="s">
        <v>80</v>
      </c>
      <c r="H81" s="19">
        <v>37081673</v>
      </c>
      <c r="I81" s="15"/>
    </row>
    <row r="82" spans="1:9">
      <c r="A82" s="19">
        <f t="shared" si="3"/>
        <v>75</v>
      </c>
      <c r="B82" s="19" t="s">
        <v>40</v>
      </c>
      <c r="C82" s="19" t="s">
        <v>41</v>
      </c>
      <c r="D82" s="19" t="s">
        <v>11</v>
      </c>
      <c r="E82" s="2">
        <v>12</v>
      </c>
      <c r="F82" s="19">
        <v>45000000</v>
      </c>
      <c r="G82" s="19" t="s">
        <v>80</v>
      </c>
      <c r="H82" s="19">
        <v>45000000</v>
      </c>
      <c r="I82" s="15"/>
    </row>
    <row r="83" spans="1:9">
      <c r="A83" s="19">
        <f t="shared" si="3"/>
        <v>76</v>
      </c>
      <c r="B83" s="19" t="s">
        <v>44</v>
      </c>
      <c r="C83" s="19" t="s">
        <v>45</v>
      </c>
      <c r="D83" s="19" t="s">
        <v>11</v>
      </c>
      <c r="E83" s="2">
        <v>12</v>
      </c>
      <c r="F83" s="19">
        <v>90000000</v>
      </c>
      <c r="G83" s="19" t="s">
        <v>80</v>
      </c>
      <c r="H83" s="19">
        <v>44494305</v>
      </c>
      <c r="I83" s="15"/>
    </row>
    <row r="84" spans="1:9">
      <c r="A84" s="19">
        <f t="shared" si="3"/>
        <v>77</v>
      </c>
      <c r="B84" s="19" t="s">
        <v>50</v>
      </c>
      <c r="C84" s="19" t="s">
        <v>51</v>
      </c>
      <c r="D84" s="19" t="s">
        <v>11</v>
      </c>
      <c r="E84" s="2">
        <v>12</v>
      </c>
      <c r="F84" s="19">
        <v>15000000</v>
      </c>
      <c r="G84" s="19" t="s">
        <v>80</v>
      </c>
      <c r="H84" s="19">
        <v>15000000</v>
      </c>
      <c r="I84" s="15"/>
    </row>
    <row r="85" spans="1:9">
      <c r="A85" s="19">
        <f t="shared" si="3"/>
        <v>78</v>
      </c>
      <c r="B85" s="19" t="s">
        <v>52</v>
      </c>
      <c r="C85" s="19" t="s">
        <v>53</v>
      </c>
      <c r="D85" s="19" t="s">
        <v>11</v>
      </c>
      <c r="E85" s="2">
        <v>12</v>
      </c>
      <c r="F85" s="19">
        <v>260000000</v>
      </c>
      <c r="G85" s="19" t="s">
        <v>80</v>
      </c>
      <c r="H85" s="19">
        <v>163244960</v>
      </c>
      <c r="I85" s="15"/>
    </row>
    <row r="86" spans="1:9">
      <c r="A86" s="19">
        <f t="shared" si="3"/>
        <v>79</v>
      </c>
      <c r="B86" s="19" t="s">
        <v>54</v>
      </c>
      <c r="C86" s="19" t="s">
        <v>55</v>
      </c>
      <c r="D86" s="19" t="s">
        <v>11</v>
      </c>
      <c r="E86" s="2">
        <v>12</v>
      </c>
      <c r="F86" s="19">
        <v>8000000</v>
      </c>
      <c r="G86" s="19" t="s">
        <v>80</v>
      </c>
      <c r="H86" s="19">
        <v>8000000</v>
      </c>
      <c r="I86" s="15"/>
    </row>
    <row r="87" spans="1:9">
      <c r="A87" s="19">
        <f t="shared" si="3"/>
        <v>80</v>
      </c>
      <c r="B87" s="19" t="s">
        <v>60</v>
      </c>
      <c r="C87" s="19" t="s">
        <v>61</v>
      </c>
      <c r="D87" s="19" t="s">
        <v>11</v>
      </c>
      <c r="E87" s="2">
        <v>12</v>
      </c>
      <c r="F87" s="19">
        <v>200000000</v>
      </c>
      <c r="G87" s="19" t="s">
        <v>80</v>
      </c>
      <c r="H87" s="19">
        <v>200000000</v>
      </c>
      <c r="I87" s="15"/>
    </row>
    <row r="88" spans="1:9">
      <c r="A88" s="19">
        <f t="shared" si="3"/>
        <v>81</v>
      </c>
      <c r="B88" s="19" t="s">
        <v>64</v>
      </c>
      <c r="C88" s="19" t="s">
        <v>65</v>
      </c>
      <c r="D88" s="19" t="s">
        <v>11</v>
      </c>
      <c r="E88" s="2">
        <v>12</v>
      </c>
      <c r="F88" s="19">
        <v>10000000</v>
      </c>
      <c r="G88" s="19" t="s">
        <v>80</v>
      </c>
      <c r="H88" s="19">
        <v>10000000</v>
      </c>
      <c r="I88" s="15"/>
    </row>
    <row r="89" spans="1:9">
      <c r="A89" s="19">
        <f t="shared" si="3"/>
        <v>82</v>
      </c>
      <c r="B89" s="19" t="s">
        <v>66</v>
      </c>
      <c r="C89" s="19" t="s">
        <v>67</v>
      </c>
      <c r="D89" s="19" t="s">
        <v>11</v>
      </c>
      <c r="E89" s="2">
        <v>12</v>
      </c>
      <c r="F89" s="19">
        <v>120000000</v>
      </c>
      <c r="G89" s="19" t="s">
        <v>80</v>
      </c>
      <c r="H89" s="19">
        <v>17222802</v>
      </c>
      <c r="I89" s="15"/>
    </row>
    <row r="90" spans="1:9">
      <c r="A90" s="19">
        <f t="shared" si="3"/>
        <v>83</v>
      </c>
      <c r="B90" s="19" t="s">
        <v>74</v>
      </c>
      <c r="C90" s="19" t="s">
        <v>75</v>
      </c>
      <c r="D90" s="19" t="s">
        <v>11</v>
      </c>
      <c r="E90" s="2">
        <v>12</v>
      </c>
      <c r="F90" s="19">
        <v>95000000</v>
      </c>
      <c r="G90" s="19" t="s">
        <v>80</v>
      </c>
      <c r="H90" s="19">
        <v>95000000</v>
      </c>
      <c r="I90" s="15"/>
    </row>
    <row r="91" spans="1:9">
      <c r="A91" s="19">
        <f t="shared" si="3"/>
        <v>84</v>
      </c>
      <c r="B91" s="19" t="s">
        <v>70</v>
      </c>
      <c r="C91" s="19" t="s">
        <v>71</v>
      </c>
      <c r="D91" s="19" t="s">
        <v>11</v>
      </c>
      <c r="E91" s="2">
        <v>12</v>
      </c>
      <c r="F91" s="19">
        <v>45000000</v>
      </c>
      <c r="G91" s="19" t="s">
        <v>92</v>
      </c>
      <c r="H91" s="19">
        <v>45000000</v>
      </c>
      <c r="I91" s="15"/>
    </row>
    <row r="92" spans="1:9">
      <c r="A92" s="19">
        <f t="shared" si="3"/>
        <v>85</v>
      </c>
      <c r="B92" s="19" t="s">
        <v>76</v>
      </c>
      <c r="C92" s="19" t="s">
        <v>77</v>
      </c>
      <c r="D92" s="19" t="s">
        <v>11</v>
      </c>
      <c r="E92" s="2">
        <v>12</v>
      </c>
      <c r="F92" s="19">
        <v>200000000</v>
      </c>
      <c r="G92" s="19" t="s">
        <v>92</v>
      </c>
      <c r="H92" s="19">
        <v>200000000</v>
      </c>
      <c r="I92" s="15"/>
    </row>
    <row r="93" spans="1:9">
      <c r="A93" s="19">
        <f t="shared" si="3"/>
        <v>86</v>
      </c>
      <c r="B93" s="19" t="s">
        <v>9</v>
      </c>
      <c r="C93" s="19" t="s">
        <v>10</v>
      </c>
      <c r="D93" s="19" t="s">
        <v>11</v>
      </c>
      <c r="E93" s="2">
        <v>12</v>
      </c>
      <c r="F93" s="19">
        <v>15000000</v>
      </c>
      <c r="G93" s="19" t="s">
        <v>80</v>
      </c>
      <c r="H93" s="19">
        <v>15000000</v>
      </c>
      <c r="I93" s="15"/>
    </row>
    <row r="94" spans="1:9">
      <c r="A94" s="19">
        <f t="shared" si="3"/>
        <v>87</v>
      </c>
      <c r="B94" s="19" t="s">
        <v>14</v>
      </c>
      <c r="C94" s="19" t="s">
        <v>13</v>
      </c>
      <c r="D94" s="19" t="s">
        <v>11</v>
      </c>
      <c r="E94" s="2">
        <v>12</v>
      </c>
      <c r="F94" s="19">
        <v>140000000</v>
      </c>
      <c r="G94" s="19" t="s">
        <v>80</v>
      </c>
      <c r="H94" s="19">
        <v>9583151</v>
      </c>
      <c r="I94" s="15"/>
    </row>
    <row r="95" spans="1:9">
      <c r="A95" s="19">
        <f t="shared" si="3"/>
        <v>88</v>
      </c>
      <c r="B95" s="19" t="s">
        <v>16</v>
      </c>
      <c r="C95" s="19" t="s">
        <v>17</v>
      </c>
      <c r="D95" s="19" t="s">
        <v>11</v>
      </c>
      <c r="E95" s="2">
        <v>12</v>
      </c>
      <c r="F95" s="19">
        <v>72000000</v>
      </c>
      <c r="G95" s="19" t="s">
        <v>80</v>
      </c>
      <c r="H95" s="19">
        <v>53944432</v>
      </c>
      <c r="I95" s="15"/>
    </row>
    <row r="96" spans="1:9">
      <c r="A96" s="19">
        <f t="shared" si="3"/>
        <v>89</v>
      </c>
      <c r="B96" s="19" t="s">
        <v>18</v>
      </c>
      <c r="C96" s="19" t="s">
        <v>20</v>
      </c>
      <c r="D96" s="19" t="s">
        <v>11</v>
      </c>
      <c r="E96" s="2">
        <v>12</v>
      </c>
      <c r="F96" s="19">
        <v>65000000</v>
      </c>
      <c r="G96" s="19" t="s">
        <v>80</v>
      </c>
      <c r="H96" s="19">
        <v>32947419</v>
      </c>
      <c r="I96" s="15"/>
    </row>
    <row r="97" spans="1:9">
      <c r="A97" s="19">
        <f t="shared" si="3"/>
        <v>90</v>
      </c>
      <c r="B97" s="19" t="s">
        <v>30</v>
      </c>
      <c r="C97" s="19" t="s">
        <v>31</v>
      </c>
      <c r="D97" s="19" t="s">
        <v>11</v>
      </c>
      <c r="E97" s="2">
        <v>12</v>
      </c>
      <c r="F97" s="19">
        <v>85000000</v>
      </c>
      <c r="G97" s="19" t="s">
        <v>80</v>
      </c>
      <c r="H97" s="19">
        <v>32140848</v>
      </c>
      <c r="I97" s="15"/>
    </row>
    <row r="98" spans="1:9">
      <c r="A98" s="19">
        <f t="shared" si="3"/>
        <v>91</v>
      </c>
      <c r="B98" s="19" t="s">
        <v>32</v>
      </c>
      <c r="C98" s="19" t="s">
        <v>33</v>
      </c>
      <c r="D98" s="19" t="s">
        <v>11</v>
      </c>
      <c r="E98" s="2">
        <v>12</v>
      </c>
      <c r="F98" s="19">
        <v>50000000</v>
      </c>
      <c r="G98" s="19" t="s">
        <v>80</v>
      </c>
      <c r="H98" s="19">
        <v>40308404</v>
      </c>
      <c r="I98" s="15"/>
    </row>
    <row r="99" spans="1:9">
      <c r="A99" s="19">
        <f t="shared" si="3"/>
        <v>92</v>
      </c>
      <c r="B99" s="19" t="s">
        <v>34</v>
      </c>
      <c r="C99" s="19" t="s">
        <v>35</v>
      </c>
      <c r="D99" s="19" t="s">
        <v>11</v>
      </c>
      <c r="E99" s="2">
        <v>12</v>
      </c>
      <c r="F99" s="19">
        <v>143000000</v>
      </c>
      <c r="G99" s="19" t="s">
        <v>80</v>
      </c>
      <c r="H99" s="19">
        <v>18661641</v>
      </c>
      <c r="I99" s="15"/>
    </row>
    <row r="100" spans="1:9">
      <c r="A100" s="19">
        <f t="shared" si="3"/>
        <v>93</v>
      </c>
      <c r="B100" s="19" t="s">
        <v>36</v>
      </c>
      <c r="C100" s="19" t="s">
        <v>37</v>
      </c>
      <c r="D100" s="19" t="s">
        <v>11</v>
      </c>
      <c r="E100" s="2">
        <v>12</v>
      </c>
      <c r="F100" s="19">
        <v>165000000</v>
      </c>
      <c r="G100" s="19" t="s">
        <v>80</v>
      </c>
      <c r="H100" s="19">
        <v>37081673</v>
      </c>
      <c r="I100" s="15"/>
    </row>
    <row r="101" spans="1:9">
      <c r="A101" s="19">
        <f t="shared" si="3"/>
        <v>94</v>
      </c>
      <c r="B101" s="19" t="s">
        <v>40</v>
      </c>
      <c r="C101" s="19" t="s">
        <v>41</v>
      </c>
      <c r="D101" s="19" t="s">
        <v>11</v>
      </c>
      <c r="E101" s="2">
        <v>12</v>
      </c>
      <c r="F101" s="19">
        <v>45000000</v>
      </c>
      <c r="G101" s="19" t="s">
        <v>80</v>
      </c>
      <c r="H101" s="19">
        <v>45000000</v>
      </c>
      <c r="I101" s="15"/>
    </row>
    <row r="102" spans="1:9">
      <c r="A102" s="19">
        <f t="shared" si="3"/>
        <v>95</v>
      </c>
      <c r="B102" s="19" t="s">
        <v>44</v>
      </c>
      <c r="C102" s="19" t="s">
        <v>45</v>
      </c>
      <c r="D102" s="19" t="s">
        <v>11</v>
      </c>
      <c r="E102" s="2">
        <v>12</v>
      </c>
      <c r="F102" s="19">
        <v>90000000</v>
      </c>
      <c r="G102" s="19" t="s">
        <v>80</v>
      </c>
      <c r="H102" s="19">
        <v>44494305</v>
      </c>
      <c r="I102" s="15"/>
    </row>
    <row r="103" spans="1:9">
      <c r="A103" s="19">
        <f t="shared" si="3"/>
        <v>96</v>
      </c>
      <c r="B103" s="19" t="s">
        <v>50</v>
      </c>
      <c r="C103" s="19" t="s">
        <v>51</v>
      </c>
      <c r="D103" s="19" t="s">
        <v>11</v>
      </c>
      <c r="E103" s="2">
        <v>12</v>
      </c>
      <c r="F103" s="19">
        <v>15000000</v>
      </c>
      <c r="G103" s="19" t="s">
        <v>80</v>
      </c>
      <c r="H103" s="19">
        <v>15000000</v>
      </c>
      <c r="I103" s="15"/>
    </row>
    <row r="104" spans="1:9">
      <c r="A104" s="19">
        <f t="shared" si="3"/>
        <v>97</v>
      </c>
      <c r="B104" s="19" t="s">
        <v>52</v>
      </c>
      <c r="C104" s="19" t="s">
        <v>53</v>
      </c>
      <c r="D104" s="19" t="s">
        <v>11</v>
      </c>
      <c r="E104" s="2">
        <v>12</v>
      </c>
      <c r="F104" s="19">
        <v>260000000</v>
      </c>
      <c r="G104" s="19" t="s">
        <v>80</v>
      </c>
      <c r="H104" s="19">
        <v>163244960</v>
      </c>
      <c r="I104" s="15"/>
    </row>
    <row r="105" spans="1:9">
      <c r="A105" s="19">
        <f t="shared" si="3"/>
        <v>98</v>
      </c>
      <c r="B105" s="19" t="s">
        <v>54</v>
      </c>
      <c r="C105" s="19" t="s">
        <v>55</v>
      </c>
      <c r="D105" s="19" t="s">
        <v>11</v>
      </c>
      <c r="E105" s="2">
        <v>12</v>
      </c>
      <c r="F105" s="19">
        <v>8000000</v>
      </c>
      <c r="G105" s="19" t="s">
        <v>80</v>
      </c>
      <c r="H105" s="19">
        <v>8000000</v>
      </c>
      <c r="I105" s="15"/>
    </row>
    <row r="106" spans="1:9">
      <c r="A106" s="19">
        <f t="shared" si="3"/>
        <v>99</v>
      </c>
      <c r="B106" s="19" t="s">
        <v>60</v>
      </c>
      <c r="C106" s="19" t="s">
        <v>61</v>
      </c>
      <c r="D106" s="19" t="s">
        <v>11</v>
      </c>
      <c r="E106" s="2">
        <v>12</v>
      </c>
      <c r="F106" s="19">
        <v>200000000</v>
      </c>
      <c r="G106" s="19" t="s">
        <v>80</v>
      </c>
      <c r="H106" s="19">
        <v>200000000</v>
      </c>
      <c r="I106" s="15"/>
    </row>
    <row r="107" spans="1:9">
      <c r="A107" s="19">
        <f t="shared" si="3"/>
        <v>100</v>
      </c>
      <c r="B107" s="19" t="s">
        <v>64</v>
      </c>
      <c r="C107" s="19" t="s">
        <v>65</v>
      </c>
      <c r="D107" s="19" t="s">
        <v>11</v>
      </c>
      <c r="E107" s="2">
        <v>12</v>
      </c>
      <c r="F107" s="19">
        <v>10000000</v>
      </c>
      <c r="G107" s="19" t="s">
        <v>80</v>
      </c>
      <c r="H107" s="19">
        <v>10000000</v>
      </c>
      <c r="I107" s="15"/>
    </row>
    <row r="108" spans="1:9">
      <c r="A108" s="19">
        <f t="shared" si="3"/>
        <v>101</v>
      </c>
      <c r="B108" s="19" t="s">
        <v>66</v>
      </c>
      <c r="C108" s="19" t="s">
        <v>67</v>
      </c>
      <c r="D108" s="19" t="s">
        <v>11</v>
      </c>
      <c r="E108" s="2">
        <v>12</v>
      </c>
      <c r="F108" s="19">
        <v>120000000</v>
      </c>
      <c r="G108" s="19" t="s">
        <v>80</v>
      </c>
      <c r="H108" s="19">
        <v>17222802</v>
      </c>
      <c r="I108" s="15"/>
    </row>
    <row r="109" spans="1:9">
      <c r="A109" s="19">
        <f t="shared" si="3"/>
        <v>102</v>
      </c>
      <c r="B109" s="19" t="s">
        <v>74</v>
      </c>
      <c r="C109" s="19" t="s">
        <v>75</v>
      </c>
      <c r="D109" s="19" t="s">
        <v>11</v>
      </c>
      <c r="E109" s="2">
        <v>12</v>
      </c>
      <c r="F109" s="19">
        <v>95000000</v>
      </c>
      <c r="G109" s="19" t="s">
        <v>80</v>
      </c>
      <c r="H109" s="19">
        <v>95000000</v>
      </c>
      <c r="I109" s="15"/>
    </row>
    <row r="110" spans="1:9">
      <c r="A110" s="19">
        <f t="shared" si="3"/>
        <v>103</v>
      </c>
      <c r="B110" s="19" t="s">
        <v>70</v>
      </c>
      <c r="C110" s="19" t="s">
        <v>71</v>
      </c>
      <c r="D110" s="19" t="s">
        <v>11</v>
      </c>
      <c r="E110" s="2">
        <v>12</v>
      </c>
      <c r="F110" s="19">
        <v>45000000</v>
      </c>
      <c r="G110" s="19" t="s">
        <v>92</v>
      </c>
      <c r="H110" s="19">
        <v>45000000</v>
      </c>
      <c r="I110" s="15"/>
    </row>
    <row r="111" spans="1:9">
      <c r="A111" s="19">
        <f t="shared" si="3"/>
        <v>104</v>
      </c>
      <c r="B111" s="19" t="s">
        <v>76</v>
      </c>
      <c r="C111" s="19" t="s">
        <v>77</v>
      </c>
      <c r="D111" s="19" t="s">
        <v>11</v>
      </c>
      <c r="E111" s="2">
        <v>12</v>
      </c>
      <c r="F111" s="19">
        <v>200000000</v>
      </c>
      <c r="G111" s="19" t="s">
        <v>92</v>
      </c>
      <c r="H111" s="19">
        <v>200000000</v>
      </c>
      <c r="I111" s="15"/>
    </row>
    <row r="112" spans="1:9">
      <c r="A112" s="19">
        <f t="shared" si="3"/>
        <v>105</v>
      </c>
      <c r="B112" s="2" t="s">
        <v>116</v>
      </c>
      <c r="C112" s="2" t="s">
        <v>117</v>
      </c>
      <c r="D112" s="2" t="s">
        <v>11</v>
      </c>
      <c r="E112" s="2">
        <v>12</v>
      </c>
      <c r="F112" s="19">
        <v>50000000</v>
      </c>
      <c r="G112" s="2" t="s">
        <v>182</v>
      </c>
      <c r="H112" s="19">
        <v>22330326</v>
      </c>
    </row>
    <row r="113" spans="1:8">
      <c r="A113" s="19">
        <f t="shared" si="3"/>
        <v>106</v>
      </c>
      <c r="B113" s="2" t="s">
        <v>118</v>
      </c>
      <c r="C113" s="2" t="s">
        <v>119</v>
      </c>
      <c r="D113" s="2" t="s">
        <v>11</v>
      </c>
      <c r="E113" s="2">
        <v>12</v>
      </c>
      <c r="F113" s="19">
        <v>50000000</v>
      </c>
      <c r="G113" s="2" t="s">
        <v>80</v>
      </c>
      <c r="H113" s="19">
        <v>18353038</v>
      </c>
    </row>
    <row r="114" spans="1:8">
      <c r="A114" s="19">
        <f t="shared" si="3"/>
        <v>107</v>
      </c>
      <c r="B114" s="2" t="s">
        <v>124</v>
      </c>
      <c r="C114" s="2" t="s">
        <v>125</v>
      </c>
      <c r="D114" s="2" t="s">
        <v>11</v>
      </c>
      <c r="E114" s="2">
        <v>12</v>
      </c>
      <c r="F114" s="19">
        <v>6000000</v>
      </c>
      <c r="G114" s="2" t="s">
        <v>80</v>
      </c>
      <c r="H114" s="19">
        <v>6000000</v>
      </c>
    </row>
    <row r="115" spans="1:8">
      <c r="A115" s="19">
        <f t="shared" si="3"/>
        <v>108</v>
      </c>
      <c r="B115" s="2" t="s">
        <v>126</v>
      </c>
      <c r="C115" s="2" t="s">
        <v>127</v>
      </c>
      <c r="D115" s="2" t="s">
        <v>11</v>
      </c>
      <c r="E115" s="2">
        <v>12</v>
      </c>
      <c r="F115" s="19">
        <v>30000000</v>
      </c>
      <c r="G115" s="2" t="s">
        <v>80</v>
      </c>
      <c r="H115" s="19">
        <v>30000000</v>
      </c>
    </row>
    <row r="116" spans="1:8">
      <c r="A116" s="19">
        <f t="shared" si="3"/>
        <v>109</v>
      </c>
      <c r="B116" s="2" t="s">
        <v>130</v>
      </c>
      <c r="C116" s="2" t="s">
        <v>131</v>
      </c>
      <c r="D116" s="2" t="s">
        <v>11</v>
      </c>
      <c r="E116" s="2">
        <v>12</v>
      </c>
      <c r="F116" s="19">
        <v>50000000</v>
      </c>
      <c r="G116" s="2" t="s">
        <v>80</v>
      </c>
      <c r="H116" s="19">
        <v>24411641</v>
      </c>
    </row>
    <row r="117" spans="1:8">
      <c r="A117" s="19">
        <f t="shared" si="3"/>
        <v>110</v>
      </c>
      <c r="B117" s="2" t="s">
        <v>134</v>
      </c>
      <c r="C117" s="2" t="s">
        <v>135</v>
      </c>
      <c r="D117" s="2" t="s">
        <v>11</v>
      </c>
      <c r="E117" s="2">
        <v>12</v>
      </c>
      <c r="F117" s="19">
        <v>250000000</v>
      </c>
      <c r="G117" s="2" t="s">
        <v>80</v>
      </c>
      <c r="H117" s="19">
        <v>250000000</v>
      </c>
    </row>
    <row r="118" spans="1:8">
      <c r="A118" s="19">
        <f t="shared" si="3"/>
        <v>111</v>
      </c>
      <c r="B118" s="2" t="s">
        <v>144</v>
      </c>
      <c r="C118" s="2" t="s">
        <v>145</v>
      </c>
      <c r="D118" s="2" t="s">
        <v>11</v>
      </c>
      <c r="E118" s="2">
        <v>12</v>
      </c>
      <c r="F118" s="19">
        <v>50000000</v>
      </c>
      <c r="G118" s="2" t="s">
        <v>80</v>
      </c>
      <c r="H118" s="19">
        <v>50000000</v>
      </c>
    </row>
    <row r="119" spans="1:8">
      <c r="A119" s="19">
        <f t="shared" si="3"/>
        <v>112</v>
      </c>
      <c r="B119" s="2" t="s">
        <v>162</v>
      </c>
      <c r="C119" s="2" t="s">
        <v>163</v>
      </c>
      <c r="D119" s="2" t="s">
        <v>11</v>
      </c>
      <c r="E119" s="2">
        <v>12</v>
      </c>
      <c r="F119" s="19">
        <v>5000000</v>
      </c>
      <c r="G119" s="2" t="s">
        <v>80</v>
      </c>
      <c r="H119" s="19">
        <v>5000000</v>
      </c>
    </row>
    <row r="120" spans="1:8">
      <c r="A120" s="19">
        <f t="shared" si="3"/>
        <v>113</v>
      </c>
      <c r="B120" s="2" t="s">
        <v>176</v>
      </c>
      <c r="C120" s="2" t="s">
        <v>177</v>
      </c>
      <c r="D120" s="2" t="s">
        <v>11</v>
      </c>
      <c r="E120" s="2">
        <v>12</v>
      </c>
      <c r="F120" s="19">
        <v>65000000</v>
      </c>
      <c r="G120" s="2" t="s">
        <v>80</v>
      </c>
      <c r="H120" s="19">
        <v>65000000</v>
      </c>
    </row>
    <row r="121" spans="1:8">
      <c r="A121" s="19">
        <f t="shared" si="3"/>
        <v>114</v>
      </c>
      <c r="B121" s="2" t="s">
        <v>168</v>
      </c>
      <c r="C121" s="2" t="s">
        <v>169</v>
      </c>
      <c r="D121" s="2" t="s">
        <v>11</v>
      </c>
      <c r="E121" s="2">
        <v>12</v>
      </c>
      <c r="F121" s="19">
        <v>6500000</v>
      </c>
      <c r="G121" s="2" t="s">
        <v>92</v>
      </c>
      <c r="H121" s="19">
        <v>6500000</v>
      </c>
    </row>
    <row r="122" spans="1:8">
      <c r="A122" s="19">
        <f t="shared" si="3"/>
        <v>115</v>
      </c>
      <c r="B122" s="2" t="s">
        <v>170</v>
      </c>
      <c r="C122" s="2" t="s">
        <v>171</v>
      </c>
      <c r="D122" s="2" t="s">
        <v>11</v>
      </c>
      <c r="E122" s="2">
        <v>12</v>
      </c>
      <c r="F122" s="19">
        <v>8000000</v>
      </c>
      <c r="G122" s="2" t="s">
        <v>92</v>
      </c>
      <c r="H122" s="19">
        <v>8000000</v>
      </c>
    </row>
    <row r="123" spans="1:8">
      <c r="A123" s="19">
        <f t="shared" si="3"/>
        <v>116</v>
      </c>
      <c r="B123" s="2" t="s">
        <v>172</v>
      </c>
      <c r="C123" s="2" t="s">
        <v>173</v>
      </c>
      <c r="D123" s="2" t="s">
        <v>11</v>
      </c>
      <c r="E123" s="2">
        <v>12</v>
      </c>
      <c r="F123" s="19">
        <v>15000000</v>
      </c>
      <c r="G123" s="2" t="s">
        <v>92</v>
      </c>
      <c r="H123" s="19">
        <v>15000000</v>
      </c>
    </row>
    <row r="124" spans="1:8">
      <c r="A124" s="19">
        <f t="shared" si="3"/>
        <v>117</v>
      </c>
      <c r="B124" s="2" t="s">
        <v>128</v>
      </c>
      <c r="C124" s="2" t="s">
        <v>129</v>
      </c>
      <c r="D124" s="2" t="s">
        <v>11</v>
      </c>
      <c r="E124" s="2">
        <v>12</v>
      </c>
      <c r="F124" s="19">
        <v>50000000</v>
      </c>
      <c r="G124" s="2" t="s">
        <v>184</v>
      </c>
      <c r="H124" s="19">
        <v>50000000</v>
      </c>
    </row>
    <row r="125" spans="1:8">
      <c r="A125" s="19">
        <f t="shared" si="3"/>
        <v>118</v>
      </c>
      <c r="B125" s="2" t="s">
        <v>138</v>
      </c>
      <c r="C125" s="2" t="s">
        <v>139</v>
      </c>
      <c r="D125" s="2" t="s">
        <v>11</v>
      </c>
      <c r="E125" s="2">
        <v>12</v>
      </c>
      <c r="F125" s="19">
        <v>25000000</v>
      </c>
      <c r="G125" s="2" t="s">
        <v>184</v>
      </c>
      <c r="H125" s="19">
        <v>8739218</v>
      </c>
    </row>
    <row r="126" spans="1:8">
      <c r="A126" s="19">
        <f t="shared" si="3"/>
        <v>119</v>
      </c>
      <c r="B126" s="2" t="s">
        <v>160</v>
      </c>
      <c r="C126" s="2" t="s">
        <v>161</v>
      </c>
      <c r="D126" s="2" t="s">
        <v>11</v>
      </c>
      <c r="E126" s="2">
        <v>12</v>
      </c>
      <c r="F126" s="19">
        <v>70000000</v>
      </c>
      <c r="G126" s="2" t="s">
        <v>184</v>
      </c>
      <c r="H126" s="19">
        <v>26387831</v>
      </c>
    </row>
    <row r="127" spans="1:8">
      <c r="A127" s="19">
        <f t="shared" si="3"/>
        <v>120</v>
      </c>
      <c r="B127" s="2" t="s">
        <v>191</v>
      </c>
      <c r="C127" s="2" t="s">
        <v>192</v>
      </c>
      <c r="D127" s="2" t="s">
        <v>11</v>
      </c>
      <c r="E127" s="2">
        <v>12</v>
      </c>
      <c r="F127" s="19">
        <v>100000000</v>
      </c>
      <c r="G127" s="2" t="s">
        <v>232</v>
      </c>
      <c r="H127" s="19">
        <v>37854930</v>
      </c>
    </row>
    <row r="128" spans="1:8">
      <c r="A128" s="19">
        <f t="shared" si="3"/>
        <v>121</v>
      </c>
      <c r="B128" s="2" t="s">
        <v>193</v>
      </c>
      <c r="C128" s="2" t="s">
        <v>194</v>
      </c>
      <c r="D128" s="2" t="s">
        <v>11</v>
      </c>
      <c r="E128" s="2">
        <v>12</v>
      </c>
      <c r="F128" s="19">
        <v>78000000</v>
      </c>
      <c r="G128" s="2" t="s">
        <v>232</v>
      </c>
      <c r="H128" s="19">
        <v>12582270</v>
      </c>
    </row>
    <row r="129" spans="1:8">
      <c r="A129" s="19">
        <f t="shared" si="3"/>
        <v>122</v>
      </c>
      <c r="B129" s="2" t="s">
        <v>200</v>
      </c>
      <c r="C129" s="2" t="s">
        <v>201</v>
      </c>
      <c r="D129" s="2" t="s">
        <v>11</v>
      </c>
      <c r="E129" s="2">
        <v>12</v>
      </c>
      <c r="F129" s="19">
        <v>15000000</v>
      </c>
      <c r="G129" s="2" t="s">
        <v>232</v>
      </c>
      <c r="H129" s="19">
        <v>15000000</v>
      </c>
    </row>
    <row r="130" spans="1:8">
      <c r="A130" s="19">
        <f t="shared" si="3"/>
        <v>123</v>
      </c>
      <c r="B130" s="2" t="s">
        <v>210</v>
      </c>
      <c r="C130" s="2" t="s">
        <v>211</v>
      </c>
      <c r="D130" s="2" t="s">
        <v>11</v>
      </c>
      <c r="E130" s="2">
        <v>12</v>
      </c>
      <c r="F130" s="19">
        <v>85000000</v>
      </c>
      <c r="G130" s="2" t="s">
        <v>232</v>
      </c>
      <c r="H130" s="19">
        <v>22331548</v>
      </c>
    </row>
    <row r="131" spans="1:8">
      <c r="A131" s="19">
        <f t="shared" si="3"/>
        <v>124</v>
      </c>
      <c r="B131" s="2" t="s">
        <v>222</v>
      </c>
      <c r="C131" s="2" t="s">
        <v>223</v>
      </c>
      <c r="D131" s="2" t="s">
        <v>11</v>
      </c>
      <c r="E131" s="2">
        <v>12</v>
      </c>
      <c r="F131" s="19">
        <v>90000000</v>
      </c>
      <c r="G131" s="2" t="s">
        <v>232</v>
      </c>
      <c r="H131" s="19">
        <v>68213440</v>
      </c>
    </row>
    <row r="132" spans="1:8">
      <c r="A132" s="19">
        <f t="shared" si="3"/>
        <v>125</v>
      </c>
      <c r="B132" s="2" t="s">
        <v>228</v>
      </c>
      <c r="C132" s="2" t="s">
        <v>229</v>
      </c>
      <c r="D132" s="2" t="s">
        <v>11</v>
      </c>
      <c r="E132" s="2">
        <v>12</v>
      </c>
      <c r="F132" s="19">
        <v>39000000</v>
      </c>
      <c r="G132" s="2" t="s">
        <v>232</v>
      </c>
      <c r="H132" s="19">
        <v>39000000</v>
      </c>
    </row>
    <row r="133" spans="1:8">
      <c r="A133" s="19">
        <f t="shared" si="3"/>
        <v>126</v>
      </c>
      <c r="B133" s="2" t="s">
        <v>224</v>
      </c>
      <c r="C133" s="2" t="s">
        <v>225</v>
      </c>
      <c r="D133" s="2" t="s">
        <v>11</v>
      </c>
      <c r="E133" s="2">
        <v>12</v>
      </c>
      <c r="F133" s="19">
        <v>75000000</v>
      </c>
      <c r="G133" s="2" t="s">
        <v>92</v>
      </c>
      <c r="H133" s="19">
        <v>18261642</v>
      </c>
    </row>
    <row r="134" spans="1:8">
      <c r="A134" s="19">
        <f t="shared" si="3"/>
        <v>127</v>
      </c>
      <c r="B134" s="2" t="s">
        <v>226</v>
      </c>
      <c r="C134" s="2" t="s">
        <v>227</v>
      </c>
      <c r="D134" s="2" t="s">
        <v>11</v>
      </c>
      <c r="E134" s="2">
        <v>12</v>
      </c>
      <c r="F134" s="19">
        <v>5000000</v>
      </c>
      <c r="G134" s="2" t="s">
        <v>184</v>
      </c>
      <c r="H134" s="19">
        <v>5000000</v>
      </c>
    </row>
    <row r="135" spans="1:8">
      <c r="A135" s="216" t="s">
        <v>101</v>
      </c>
      <c r="B135" s="216"/>
      <c r="C135" s="216"/>
      <c r="D135" s="216"/>
      <c r="E135" s="216"/>
      <c r="F135" s="25">
        <f>SUM(F74:F134)</f>
        <v>4863500000</v>
      </c>
      <c r="G135" s="26"/>
      <c r="H135" s="25">
        <f>SUM(H74:H134)</f>
        <v>2969225154</v>
      </c>
    </row>
  </sheetData>
  <mergeCells count="7">
    <mergeCell ref="A73:E73"/>
    <mergeCell ref="A135:E135"/>
    <mergeCell ref="A1:H1"/>
    <mergeCell ref="A18:E18"/>
    <mergeCell ref="A31:E31"/>
    <mergeCell ref="A36:E36"/>
    <mergeCell ref="A70:E70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6:N74"/>
  <sheetViews>
    <sheetView topLeftCell="G59" workbookViewId="0">
      <selection activeCell="M61" sqref="M61:M62"/>
    </sheetView>
  </sheetViews>
  <sheetFormatPr defaultRowHeight="15"/>
  <cols>
    <col min="1" max="1" width="4.5703125" customWidth="1"/>
    <col min="2" max="2" width="23" customWidth="1"/>
    <col min="3" max="3" width="10" bestFit="1" customWidth="1"/>
    <col min="4" max="4" width="13.7109375" customWidth="1"/>
    <col min="5" max="5" width="6.28515625" style="32" customWidth="1"/>
    <col min="6" max="6" width="14.28515625" style="8" bestFit="1" customWidth="1"/>
    <col min="7" max="7" width="26.5703125" bestFit="1" customWidth="1"/>
    <col min="8" max="8" width="12.5703125" style="8" bestFit="1" customWidth="1"/>
    <col min="9" max="9" width="11.5703125" bestFit="1" customWidth="1"/>
    <col min="10" max="10" width="10.5703125" style="8" bestFit="1" customWidth="1"/>
    <col min="11" max="11" width="9.140625" style="8"/>
    <col min="12" max="12" width="12.5703125" style="8" bestFit="1" customWidth="1"/>
    <col min="13" max="13" width="22.140625" customWidth="1"/>
  </cols>
  <sheetData>
    <row r="6" spans="1:14" ht="18.75">
      <c r="A6" s="160" t="s">
        <v>236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</row>
    <row r="7" spans="1:14" ht="18.7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4" s="27" customFormat="1">
      <c r="A8" s="31" t="s">
        <v>111</v>
      </c>
      <c r="B8" s="31" t="s">
        <v>311</v>
      </c>
      <c r="C8" s="31" t="s">
        <v>3</v>
      </c>
      <c r="D8" s="31" t="s">
        <v>312</v>
      </c>
      <c r="E8" s="38" t="s">
        <v>313</v>
      </c>
      <c r="F8" s="39" t="s">
        <v>314</v>
      </c>
      <c r="G8" s="39" t="s">
        <v>7</v>
      </c>
      <c r="H8" s="39" t="s">
        <v>8</v>
      </c>
      <c r="I8" s="39" t="s">
        <v>316</v>
      </c>
      <c r="J8" s="31" t="s">
        <v>317</v>
      </c>
      <c r="K8" s="39" t="s">
        <v>318</v>
      </c>
      <c r="L8" s="39" t="s">
        <v>319</v>
      </c>
      <c r="M8" s="39" t="s">
        <v>320</v>
      </c>
      <c r="N8" s="27">
        <v>3</v>
      </c>
    </row>
    <row r="9" spans="1:14">
      <c r="A9" s="2">
        <v>1</v>
      </c>
      <c r="B9" s="2" t="s">
        <v>241</v>
      </c>
      <c r="C9" s="2" t="s">
        <v>242</v>
      </c>
      <c r="D9" s="2" t="s">
        <v>11</v>
      </c>
      <c r="E9" s="33">
        <v>0.11</v>
      </c>
      <c r="F9" s="5">
        <v>200000000</v>
      </c>
      <c r="G9" s="2" t="s">
        <v>91</v>
      </c>
      <c r="H9" s="5">
        <f>F9-111003609</f>
        <v>88996391</v>
      </c>
      <c r="I9" s="2" t="s">
        <v>99</v>
      </c>
      <c r="J9" s="5">
        <f>+K9+L9</f>
        <v>257500</v>
      </c>
      <c r="K9" s="5">
        <f>+L9*$N$8/100</f>
        <v>7500</v>
      </c>
      <c r="L9" s="5">
        <v>250000</v>
      </c>
      <c r="M9" s="187" t="s">
        <v>321</v>
      </c>
    </row>
    <row r="10" spans="1:14">
      <c r="A10" s="156" t="s">
        <v>101</v>
      </c>
      <c r="B10" s="156"/>
      <c r="C10" s="156"/>
      <c r="D10" s="156"/>
      <c r="E10" s="156"/>
      <c r="F10" s="156"/>
      <c r="G10" s="156"/>
      <c r="H10" s="156"/>
      <c r="I10" s="156"/>
      <c r="J10" s="5"/>
      <c r="K10" s="5"/>
      <c r="L10" s="5"/>
      <c r="M10" s="187"/>
    </row>
    <row r="11" spans="1:14" ht="15" hidden="1" customHeight="1">
      <c r="A11" s="2">
        <v>2</v>
      </c>
      <c r="B11" s="2" t="s">
        <v>274</v>
      </c>
      <c r="C11" s="20" t="s">
        <v>275</v>
      </c>
      <c r="D11" s="2" t="s">
        <v>11</v>
      </c>
      <c r="E11" s="33">
        <v>0.1</v>
      </c>
      <c r="F11" s="5">
        <v>210000000</v>
      </c>
      <c r="G11" s="2" t="s">
        <v>310</v>
      </c>
      <c r="H11" s="5">
        <f>F11-154236087</f>
        <v>55763913</v>
      </c>
      <c r="I11" s="2" t="s">
        <v>99</v>
      </c>
      <c r="J11" s="5"/>
      <c r="K11" s="5"/>
      <c r="L11" s="5"/>
      <c r="M11" s="210" t="s">
        <v>322</v>
      </c>
    </row>
    <row r="12" spans="1:14" ht="15" hidden="1" customHeight="1">
      <c r="A12" s="2">
        <v>3</v>
      </c>
      <c r="B12" s="2" t="s">
        <v>276</v>
      </c>
      <c r="C12" s="20" t="s">
        <v>277</v>
      </c>
      <c r="D12" s="2" t="s">
        <v>11</v>
      </c>
      <c r="E12" s="33">
        <v>0.11</v>
      </c>
      <c r="F12" s="5">
        <v>110000000</v>
      </c>
      <c r="G12" s="2" t="s">
        <v>310</v>
      </c>
      <c r="H12" s="5">
        <f>F12-63059748</f>
        <v>46940252</v>
      </c>
      <c r="I12" s="2" t="s">
        <v>99</v>
      </c>
      <c r="J12" s="5"/>
      <c r="K12" s="5"/>
      <c r="L12" s="5"/>
      <c r="M12" s="217"/>
      <c r="N12" s="21"/>
    </row>
    <row r="13" spans="1:14" ht="15" customHeight="1">
      <c r="A13" s="2"/>
      <c r="B13" s="2"/>
      <c r="C13" s="20"/>
      <c r="D13" s="2"/>
      <c r="E13" s="33"/>
      <c r="F13" s="5"/>
      <c r="G13" s="2"/>
      <c r="H13" s="5"/>
      <c r="I13" s="2"/>
      <c r="J13" s="5"/>
      <c r="K13" s="5"/>
      <c r="L13" s="5"/>
      <c r="M13" s="217"/>
      <c r="N13" s="21"/>
    </row>
    <row r="14" spans="1:14">
      <c r="A14" s="2">
        <v>4</v>
      </c>
      <c r="B14" s="2" t="s">
        <v>298</v>
      </c>
      <c r="C14" s="20" t="s">
        <v>299</v>
      </c>
      <c r="D14" s="2" t="s">
        <v>11</v>
      </c>
      <c r="E14" s="33">
        <v>0.09</v>
      </c>
      <c r="F14" s="5">
        <v>200000000</v>
      </c>
      <c r="G14" s="2" t="s">
        <v>310</v>
      </c>
      <c r="H14" s="5">
        <f>F14</f>
        <v>200000000</v>
      </c>
      <c r="I14" s="2" t="s">
        <v>100</v>
      </c>
      <c r="J14" s="5">
        <f>+K14+L14</f>
        <v>412000</v>
      </c>
      <c r="K14" s="5">
        <f>+L14*$N$8/100</f>
        <v>12000</v>
      </c>
      <c r="L14" s="5">
        <v>400000</v>
      </c>
      <c r="M14" s="217"/>
    </row>
    <row r="15" spans="1:14" ht="15" hidden="1" customHeight="1">
      <c r="A15" s="156" t="s">
        <v>101</v>
      </c>
      <c r="B15" s="156"/>
      <c r="C15" s="156"/>
      <c r="D15" s="156"/>
      <c r="E15" s="156"/>
      <c r="F15" s="156"/>
      <c r="G15" s="156"/>
      <c r="H15" s="156"/>
      <c r="I15" s="156"/>
      <c r="J15" s="5"/>
      <c r="K15" s="5"/>
      <c r="L15" s="5"/>
      <c r="M15" s="217"/>
    </row>
    <row r="16" spans="1:14">
      <c r="A16" s="2">
        <v>5</v>
      </c>
      <c r="B16" s="2" t="s">
        <v>249</v>
      </c>
      <c r="C16" s="20" t="s">
        <v>250</v>
      </c>
      <c r="D16" s="2" t="s">
        <v>11</v>
      </c>
      <c r="E16" s="33">
        <v>0.09</v>
      </c>
      <c r="F16" s="5">
        <v>200000000</v>
      </c>
      <c r="G16" s="2" t="s">
        <v>90</v>
      </c>
      <c r="H16" s="5">
        <f>F16</f>
        <v>200000000</v>
      </c>
      <c r="I16" s="2" t="s">
        <v>100</v>
      </c>
      <c r="J16" s="5">
        <f>+K16+L16</f>
        <v>412000</v>
      </c>
      <c r="K16" s="5">
        <f>+L16*$N$8/100</f>
        <v>12000</v>
      </c>
      <c r="L16" s="5">
        <v>400000</v>
      </c>
      <c r="M16" s="217"/>
    </row>
    <row r="17" spans="1:13" ht="15" hidden="1" customHeight="1">
      <c r="A17" s="2">
        <v>6</v>
      </c>
      <c r="B17" s="2" t="s">
        <v>271</v>
      </c>
      <c r="C17" s="20" t="s">
        <v>309</v>
      </c>
      <c r="D17" s="2" t="s">
        <v>11</v>
      </c>
      <c r="E17" s="33">
        <v>0.1</v>
      </c>
      <c r="F17" s="5">
        <v>250000000</v>
      </c>
      <c r="G17" s="2" t="s">
        <v>90</v>
      </c>
      <c r="H17" s="5">
        <f>F17-170393092</f>
        <v>79606908</v>
      </c>
      <c r="I17" s="2" t="s">
        <v>99</v>
      </c>
      <c r="J17" s="5"/>
      <c r="K17" s="5"/>
      <c r="L17" s="5"/>
      <c r="M17" s="217"/>
    </row>
    <row r="18" spans="1:13" ht="15" hidden="1" customHeight="1">
      <c r="A18" s="2">
        <v>7</v>
      </c>
      <c r="B18" s="2" t="s">
        <v>265</v>
      </c>
      <c r="C18" s="20" t="s">
        <v>266</v>
      </c>
      <c r="D18" s="2" t="s">
        <v>11</v>
      </c>
      <c r="E18" s="33">
        <v>0.1</v>
      </c>
      <c r="F18" s="5">
        <v>245000000</v>
      </c>
      <c r="G18" s="2" t="s">
        <v>82</v>
      </c>
      <c r="H18" s="5">
        <f>F18-146528789</f>
        <v>98471211</v>
      </c>
      <c r="I18" s="2" t="s">
        <v>99</v>
      </c>
      <c r="J18" s="5"/>
      <c r="K18" s="5"/>
      <c r="L18" s="5"/>
      <c r="M18" s="217"/>
    </row>
    <row r="19" spans="1:13" ht="15" hidden="1" customHeight="1">
      <c r="A19" s="2">
        <v>8</v>
      </c>
      <c r="B19" s="2" t="s">
        <v>300</v>
      </c>
      <c r="C19" s="20" t="s">
        <v>301</v>
      </c>
      <c r="D19" s="2" t="s">
        <v>11</v>
      </c>
      <c r="E19" s="33">
        <v>0.09</v>
      </c>
      <c r="F19" s="5">
        <v>50000000</v>
      </c>
      <c r="G19" s="2" t="s">
        <v>82</v>
      </c>
      <c r="H19" s="5">
        <f>F19</f>
        <v>50000000</v>
      </c>
      <c r="I19" s="2" t="s">
        <v>100</v>
      </c>
      <c r="J19" s="5"/>
      <c r="K19" s="5"/>
      <c r="L19" s="5"/>
      <c r="M19" s="217"/>
    </row>
    <row r="20" spans="1:13">
      <c r="A20" s="2">
        <v>9</v>
      </c>
      <c r="B20" s="2" t="s">
        <v>255</v>
      </c>
      <c r="C20" s="20" t="s">
        <v>256</v>
      </c>
      <c r="D20" s="2" t="s">
        <v>11</v>
      </c>
      <c r="E20" s="33">
        <v>0.1</v>
      </c>
      <c r="F20" s="5">
        <v>400000000</v>
      </c>
      <c r="G20" s="2" t="s">
        <v>93</v>
      </c>
      <c r="H20" s="5">
        <f>F20-102548702</f>
        <v>297451298</v>
      </c>
      <c r="I20" s="2" t="s">
        <v>99</v>
      </c>
      <c r="J20" s="5">
        <f>+K20+L20</f>
        <v>309000</v>
      </c>
      <c r="K20" s="5">
        <f>+L20*$N$8/100</f>
        <v>9000</v>
      </c>
      <c r="L20" s="5">
        <v>300000</v>
      </c>
      <c r="M20" s="217"/>
    </row>
    <row r="21" spans="1:13">
      <c r="A21" s="156" t="s">
        <v>101</v>
      </c>
      <c r="B21" s="156"/>
      <c r="C21" s="156"/>
      <c r="D21" s="156"/>
      <c r="E21" s="156"/>
      <c r="F21" s="156"/>
      <c r="G21" s="156"/>
      <c r="H21" s="156"/>
      <c r="I21" s="156"/>
      <c r="J21" s="5">
        <f>+SUM(J20+J16+J14)</f>
        <v>1133000</v>
      </c>
      <c r="K21" s="5">
        <f>+SUM(K20+K16+K14)</f>
        <v>33000</v>
      </c>
      <c r="L21" s="5">
        <f>+SUM(L20+L16+L14)</f>
        <v>1100000</v>
      </c>
      <c r="M21" s="211"/>
    </row>
    <row r="22" spans="1:13" hidden="1">
      <c r="A22" s="31"/>
      <c r="B22" s="31"/>
      <c r="C22" s="31"/>
      <c r="D22" s="31"/>
      <c r="E22" s="31"/>
      <c r="F22" s="31"/>
      <c r="G22" s="31"/>
      <c r="H22" s="31"/>
      <c r="I22" s="31"/>
      <c r="J22" s="5"/>
      <c r="K22" s="5"/>
      <c r="L22" s="5"/>
      <c r="M22" s="36"/>
    </row>
    <row r="23" spans="1:13" hidden="1">
      <c r="A23" s="2">
        <v>10</v>
      </c>
      <c r="B23" s="2" t="s">
        <v>290</v>
      </c>
      <c r="C23" s="20" t="s">
        <v>291</v>
      </c>
      <c r="D23" s="2" t="s">
        <v>11</v>
      </c>
      <c r="E23" s="33">
        <v>0.1</v>
      </c>
      <c r="F23" s="5">
        <v>40000000</v>
      </c>
      <c r="G23" s="2" t="s">
        <v>86</v>
      </c>
      <c r="H23" s="5">
        <f>F23</f>
        <v>40000000</v>
      </c>
      <c r="I23" s="2" t="s">
        <v>100</v>
      </c>
      <c r="J23" s="5">
        <f>+K23+L23</f>
        <v>103000</v>
      </c>
      <c r="K23" s="5">
        <f>+L23*$N$8/100</f>
        <v>3000</v>
      </c>
      <c r="L23" s="5">
        <v>100000</v>
      </c>
      <c r="M23" s="187"/>
    </row>
    <row r="24" spans="1:13" hidden="1">
      <c r="A24" s="156" t="s">
        <v>101</v>
      </c>
      <c r="B24" s="156"/>
      <c r="C24" s="156"/>
      <c r="D24" s="156"/>
      <c r="E24" s="156"/>
      <c r="F24" s="156"/>
      <c r="G24" s="156"/>
      <c r="H24" s="156"/>
      <c r="I24" s="156"/>
      <c r="J24" s="5"/>
      <c r="K24" s="5"/>
      <c r="L24" s="5"/>
      <c r="M24" s="187"/>
    </row>
    <row r="25" spans="1:13" hidden="1">
      <c r="A25" s="2">
        <v>11</v>
      </c>
      <c r="B25" s="2" t="s">
        <v>251</v>
      </c>
      <c r="C25" s="20" t="s">
        <v>252</v>
      </c>
      <c r="D25" s="2" t="s">
        <v>11</v>
      </c>
      <c r="E25" s="33">
        <v>0.1</v>
      </c>
      <c r="F25" s="5">
        <v>130000000</v>
      </c>
      <c r="G25" s="2" t="s">
        <v>180</v>
      </c>
      <c r="H25" s="5">
        <f>F25</f>
        <v>130000000</v>
      </c>
      <c r="I25" s="2" t="s">
        <v>100</v>
      </c>
      <c r="J25" s="5"/>
      <c r="K25" s="5"/>
      <c r="L25" s="5"/>
      <c r="M25" s="187"/>
    </row>
    <row r="26" spans="1:13" hidden="1">
      <c r="A26" s="156" t="s">
        <v>101</v>
      </c>
      <c r="B26" s="156"/>
      <c r="C26" s="156"/>
      <c r="D26" s="156"/>
      <c r="E26" s="156"/>
      <c r="F26" s="156"/>
      <c r="G26" s="156"/>
      <c r="H26" s="156"/>
      <c r="I26" s="156"/>
      <c r="J26" s="5"/>
      <c r="K26" s="5"/>
      <c r="L26" s="5"/>
      <c r="M26" s="187"/>
    </row>
    <row r="27" spans="1:13" hidden="1">
      <c r="A27" s="2">
        <v>12</v>
      </c>
      <c r="B27" s="2" t="s">
        <v>269</v>
      </c>
      <c r="C27" s="20" t="s">
        <v>270</v>
      </c>
      <c r="D27" s="2" t="s">
        <v>11</v>
      </c>
      <c r="E27" s="33">
        <v>0.1</v>
      </c>
      <c r="F27" s="5">
        <v>320000000</v>
      </c>
      <c r="G27" s="2" t="s">
        <v>308</v>
      </c>
      <c r="H27" s="5">
        <f>F27-107617382</f>
        <v>212382618</v>
      </c>
      <c r="I27" s="2" t="s">
        <v>99</v>
      </c>
      <c r="J27" s="5"/>
      <c r="K27" s="5"/>
      <c r="L27" s="5"/>
      <c r="M27" s="187"/>
    </row>
    <row r="28" spans="1:13">
      <c r="A28" s="156"/>
      <c r="B28" s="156"/>
      <c r="C28" s="156"/>
      <c r="D28" s="156"/>
      <c r="E28" s="156"/>
      <c r="F28" s="156"/>
      <c r="G28" s="156"/>
      <c r="H28" s="156"/>
      <c r="I28" s="156"/>
      <c r="J28" s="5"/>
      <c r="K28" s="5"/>
      <c r="L28" s="5"/>
      <c r="M28" s="187"/>
    </row>
    <row r="29" spans="1:13" ht="15" hidden="1" customHeight="1">
      <c r="A29" s="2">
        <v>13</v>
      </c>
      <c r="B29" s="2" t="s">
        <v>239</v>
      </c>
      <c r="C29" s="2" t="s">
        <v>240</v>
      </c>
      <c r="D29" s="2" t="s">
        <v>11</v>
      </c>
      <c r="E29" s="33">
        <v>0.12</v>
      </c>
      <c r="F29" s="5">
        <v>200000000</v>
      </c>
      <c r="G29" s="2" t="s">
        <v>80</v>
      </c>
      <c r="H29" s="5">
        <f>F29-111713632</f>
        <v>88286368</v>
      </c>
      <c r="I29" s="2" t="s">
        <v>99</v>
      </c>
      <c r="J29" s="5"/>
      <c r="K29" s="5"/>
      <c r="L29" s="5"/>
      <c r="M29" s="187" t="s">
        <v>323</v>
      </c>
    </row>
    <row r="30" spans="1:13" ht="15" hidden="1" customHeight="1">
      <c r="A30" s="2">
        <v>14</v>
      </c>
      <c r="B30" s="2" t="s">
        <v>243</v>
      </c>
      <c r="C30" s="20" t="s">
        <v>244</v>
      </c>
      <c r="D30" s="2" t="s">
        <v>11</v>
      </c>
      <c r="E30" s="33">
        <v>0.12</v>
      </c>
      <c r="F30" s="5">
        <v>10000000</v>
      </c>
      <c r="G30" s="2" t="s">
        <v>80</v>
      </c>
      <c r="H30" s="5">
        <f>F30</f>
        <v>10000000</v>
      </c>
      <c r="I30" s="2" t="s">
        <v>100</v>
      </c>
      <c r="J30" s="5"/>
      <c r="K30" s="5"/>
      <c r="L30" s="5"/>
      <c r="M30" s="187"/>
    </row>
    <row r="31" spans="1:13" ht="15" hidden="1" customHeight="1">
      <c r="A31" s="2">
        <v>15</v>
      </c>
      <c r="B31" s="2" t="s">
        <v>245</v>
      </c>
      <c r="C31" s="20" t="s">
        <v>246</v>
      </c>
      <c r="D31" s="2" t="s">
        <v>11</v>
      </c>
      <c r="E31" s="33">
        <v>0.12</v>
      </c>
      <c r="F31" s="5">
        <v>90000000</v>
      </c>
      <c r="G31" s="2" t="s">
        <v>80</v>
      </c>
      <c r="H31" s="5">
        <f>F31-6497429</f>
        <v>83502571</v>
      </c>
      <c r="I31" s="2" t="s">
        <v>99</v>
      </c>
      <c r="J31" s="5"/>
      <c r="K31" s="5"/>
      <c r="L31" s="5"/>
      <c r="M31" s="187"/>
    </row>
    <row r="32" spans="1:13" ht="15" hidden="1" customHeight="1">
      <c r="A32" s="2">
        <v>16</v>
      </c>
      <c r="B32" s="2" t="s">
        <v>245</v>
      </c>
      <c r="C32" s="20" t="s">
        <v>246</v>
      </c>
      <c r="D32" s="2" t="s">
        <v>11</v>
      </c>
      <c r="E32" s="33">
        <v>0.12</v>
      </c>
      <c r="F32" s="5">
        <v>50000000</v>
      </c>
      <c r="G32" s="2" t="s">
        <v>80</v>
      </c>
      <c r="H32" s="5">
        <f>F32-3419558</f>
        <v>46580442</v>
      </c>
      <c r="I32" s="2" t="s">
        <v>99</v>
      </c>
      <c r="J32" s="5"/>
      <c r="K32" s="5"/>
      <c r="L32" s="5"/>
      <c r="M32" s="187"/>
    </row>
    <row r="33" spans="1:13">
      <c r="A33" s="2">
        <v>17</v>
      </c>
      <c r="B33" s="2" t="s">
        <v>247</v>
      </c>
      <c r="C33" s="20" t="s">
        <v>248</v>
      </c>
      <c r="D33" s="2" t="s">
        <v>11</v>
      </c>
      <c r="E33" s="33">
        <v>0.09</v>
      </c>
      <c r="F33" s="5">
        <v>350000000</v>
      </c>
      <c r="G33" s="2" t="s">
        <v>80</v>
      </c>
      <c r="H33" s="5">
        <f>F33</f>
        <v>350000000</v>
      </c>
      <c r="I33" s="2" t="s">
        <v>100</v>
      </c>
      <c r="J33" s="5">
        <f>+K33+L33</f>
        <v>1030000</v>
      </c>
      <c r="K33" s="5">
        <f>+L33*$N$8/100</f>
        <v>30000</v>
      </c>
      <c r="L33" s="5">
        <v>1000000</v>
      </c>
      <c r="M33" s="187"/>
    </row>
    <row r="34" spans="1:13" ht="15" hidden="1" customHeight="1">
      <c r="A34" s="2">
        <v>18</v>
      </c>
      <c r="B34" s="2" t="s">
        <v>253</v>
      </c>
      <c r="C34" s="20" t="s">
        <v>254</v>
      </c>
      <c r="D34" s="2" t="s">
        <v>11</v>
      </c>
      <c r="E34" s="33">
        <v>0.12</v>
      </c>
      <c r="F34" s="5">
        <v>27000000</v>
      </c>
      <c r="G34" s="2" t="s">
        <v>80</v>
      </c>
      <c r="H34" s="5">
        <f>F34</f>
        <v>27000000</v>
      </c>
      <c r="I34" s="2" t="s">
        <v>100</v>
      </c>
      <c r="J34" s="5"/>
      <c r="K34" s="5"/>
      <c r="L34" s="5"/>
      <c r="M34" s="187"/>
    </row>
    <row r="35" spans="1:13" ht="15" hidden="1" customHeight="1">
      <c r="A35" s="2">
        <v>19</v>
      </c>
      <c r="B35" s="2" t="s">
        <v>259</v>
      </c>
      <c r="C35" s="20" t="s">
        <v>260</v>
      </c>
      <c r="D35" s="2" t="s">
        <v>11</v>
      </c>
      <c r="E35" s="33">
        <v>0.12</v>
      </c>
      <c r="F35" s="5">
        <v>114000000</v>
      </c>
      <c r="G35" s="2" t="s">
        <v>80</v>
      </c>
      <c r="H35" s="5">
        <f>F35-93967442</f>
        <v>20032558</v>
      </c>
      <c r="I35" s="2" t="s">
        <v>99</v>
      </c>
      <c r="J35" s="5"/>
      <c r="K35" s="5"/>
      <c r="L35" s="5"/>
      <c r="M35" s="187"/>
    </row>
    <row r="36" spans="1:13" ht="15" hidden="1" customHeight="1">
      <c r="A36" s="2">
        <v>20</v>
      </c>
      <c r="B36" s="2" t="s">
        <v>263</v>
      </c>
      <c r="C36" s="20" t="s">
        <v>264</v>
      </c>
      <c r="D36" s="2" t="s">
        <v>11</v>
      </c>
      <c r="E36" s="33">
        <v>0.12</v>
      </c>
      <c r="F36" s="5">
        <v>165000000</v>
      </c>
      <c r="G36" s="2" t="s">
        <v>80</v>
      </c>
      <c r="H36" s="5">
        <f>F36-10726525</f>
        <v>154273475</v>
      </c>
      <c r="I36" s="2" t="s">
        <v>99</v>
      </c>
      <c r="J36" s="5"/>
      <c r="K36" s="5"/>
      <c r="L36" s="5"/>
      <c r="M36" s="187"/>
    </row>
    <row r="37" spans="1:13" ht="15" hidden="1" customHeight="1">
      <c r="A37" s="2">
        <v>21</v>
      </c>
      <c r="B37" s="2" t="s">
        <v>272</v>
      </c>
      <c r="C37" s="20" t="s">
        <v>273</v>
      </c>
      <c r="D37" s="2" t="s">
        <v>11</v>
      </c>
      <c r="E37" s="33">
        <v>0.1</v>
      </c>
      <c r="F37" s="5">
        <v>276000000</v>
      </c>
      <c r="G37" s="2" t="s">
        <v>80</v>
      </c>
      <c r="H37" s="5">
        <f>F37-251406540</f>
        <v>24593460</v>
      </c>
      <c r="I37" s="2" t="s">
        <v>99</v>
      </c>
      <c r="J37" s="5"/>
      <c r="K37" s="5"/>
      <c r="L37" s="5"/>
      <c r="M37" s="187"/>
    </row>
    <row r="38" spans="1:13" ht="15" hidden="1" customHeight="1">
      <c r="A38" s="2">
        <v>22</v>
      </c>
      <c r="B38" s="2" t="s">
        <v>278</v>
      </c>
      <c r="C38" s="20" t="s">
        <v>279</v>
      </c>
      <c r="D38" s="2" t="s">
        <v>11</v>
      </c>
      <c r="E38" s="33">
        <v>0.12</v>
      </c>
      <c r="F38" s="5">
        <v>110000000</v>
      </c>
      <c r="G38" s="2" t="s">
        <v>80</v>
      </c>
      <c r="H38" s="5">
        <f t="shared" ref="H38:H43" si="0">F38</f>
        <v>110000000</v>
      </c>
      <c r="I38" s="2" t="s">
        <v>100</v>
      </c>
      <c r="J38" s="5"/>
      <c r="K38" s="5"/>
      <c r="L38" s="5"/>
      <c r="M38" s="187"/>
    </row>
    <row r="39" spans="1:13" ht="15" hidden="1" customHeight="1">
      <c r="A39" s="2">
        <v>23</v>
      </c>
      <c r="B39" s="2" t="s">
        <v>280</v>
      </c>
      <c r="C39" s="20" t="s">
        <v>281</v>
      </c>
      <c r="D39" s="2" t="s">
        <v>11</v>
      </c>
      <c r="E39" s="33">
        <v>0.12</v>
      </c>
      <c r="F39" s="5">
        <v>50000000</v>
      </c>
      <c r="G39" s="2" t="s">
        <v>80</v>
      </c>
      <c r="H39" s="5">
        <f t="shared" si="0"/>
        <v>50000000</v>
      </c>
      <c r="I39" s="2" t="s">
        <v>100</v>
      </c>
      <c r="J39" s="5"/>
      <c r="K39" s="5"/>
      <c r="L39" s="5"/>
      <c r="M39" s="187"/>
    </row>
    <row r="40" spans="1:13" ht="15" hidden="1" customHeight="1">
      <c r="A40" s="2">
        <v>24</v>
      </c>
      <c r="B40" s="2" t="s">
        <v>288</v>
      </c>
      <c r="C40" s="20" t="s">
        <v>289</v>
      </c>
      <c r="D40" s="2" t="s">
        <v>11</v>
      </c>
      <c r="E40" s="33">
        <v>9.5000000000000001E-2</v>
      </c>
      <c r="F40" s="5">
        <v>90000000</v>
      </c>
      <c r="G40" s="2" t="s">
        <v>80</v>
      </c>
      <c r="H40" s="5">
        <f t="shared" si="0"/>
        <v>90000000</v>
      </c>
      <c r="I40" s="2" t="s">
        <v>100</v>
      </c>
      <c r="J40" s="5"/>
      <c r="K40" s="5"/>
      <c r="L40" s="5"/>
      <c r="M40" s="187"/>
    </row>
    <row r="41" spans="1:13" ht="15" hidden="1" customHeight="1">
      <c r="A41" s="2">
        <v>25</v>
      </c>
      <c r="B41" s="2" t="s">
        <v>292</v>
      </c>
      <c r="C41" s="20" t="s">
        <v>293</v>
      </c>
      <c r="D41" s="2" t="s">
        <v>11</v>
      </c>
      <c r="E41" s="33">
        <v>9.5000000000000001E-2</v>
      </c>
      <c r="F41" s="5">
        <v>290000000</v>
      </c>
      <c r="G41" s="2" t="s">
        <v>80</v>
      </c>
      <c r="H41" s="5">
        <f t="shared" si="0"/>
        <v>290000000</v>
      </c>
      <c r="I41" s="2" t="s">
        <v>100</v>
      </c>
      <c r="J41" s="5"/>
      <c r="K41" s="5"/>
      <c r="L41" s="5"/>
      <c r="M41" s="187"/>
    </row>
    <row r="42" spans="1:13" ht="15" hidden="1" customHeight="1">
      <c r="A42" s="2">
        <v>26</v>
      </c>
      <c r="B42" s="2" t="s">
        <v>294</v>
      </c>
      <c r="C42" s="20" t="s">
        <v>295</v>
      </c>
      <c r="D42" s="2" t="s">
        <v>11</v>
      </c>
      <c r="E42" s="33">
        <v>0.12</v>
      </c>
      <c r="F42" s="5">
        <v>10000000</v>
      </c>
      <c r="G42" s="2" t="s">
        <v>80</v>
      </c>
      <c r="H42" s="5">
        <f t="shared" si="0"/>
        <v>10000000</v>
      </c>
      <c r="I42" s="2" t="s">
        <v>100</v>
      </c>
      <c r="J42" s="5"/>
      <c r="K42" s="5"/>
      <c r="L42" s="5"/>
      <c r="M42" s="187"/>
    </row>
    <row r="43" spans="1:13" ht="15" hidden="1" customHeight="1">
      <c r="A43" s="2">
        <v>27</v>
      </c>
      <c r="B43" s="2" t="s">
        <v>302</v>
      </c>
      <c r="C43" s="20" t="s">
        <v>303</v>
      </c>
      <c r="D43" s="2" t="s">
        <v>11</v>
      </c>
      <c r="E43" s="33">
        <v>0.12</v>
      </c>
      <c r="F43" s="5">
        <v>165000000</v>
      </c>
      <c r="G43" s="2" t="s">
        <v>80</v>
      </c>
      <c r="H43" s="5">
        <f t="shared" si="0"/>
        <v>165000000</v>
      </c>
      <c r="I43" s="2" t="s">
        <v>100</v>
      </c>
      <c r="J43" s="5"/>
      <c r="K43" s="5"/>
      <c r="L43" s="5"/>
      <c r="M43" s="187"/>
    </row>
    <row r="44" spans="1:13" ht="15" hidden="1" customHeight="1">
      <c r="A44" s="156" t="s">
        <v>101</v>
      </c>
      <c r="B44" s="156"/>
      <c r="C44" s="156"/>
      <c r="D44" s="156"/>
      <c r="E44" s="156"/>
      <c r="F44" s="156"/>
      <c r="G44" s="156"/>
      <c r="H44" s="156"/>
      <c r="I44" s="156"/>
      <c r="J44" s="5"/>
      <c r="K44" s="5"/>
      <c r="L44" s="5"/>
      <c r="M44" s="187"/>
    </row>
    <row r="45" spans="1:13" ht="15" hidden="1" customHeight="1">
      <c r="A45" s="2">
        <v>28</v>
      </c>
      <c r="B45" s="2" t="s">
        <v>296</v>
      </c>
      <c r="C45" s="20" t="s">
        <v>297</v>
      </c>
      <c r="D45" s="2" t="s">
        <v>11</v>
      </c>
      <c r="E45" s="33">
        <v>0.12</v>
      </c>
      <c r="F45" s="5">
        <v>10000000</v>
      </c>
      <c r="G45" s="2" t="s">
        <v>92</v>
      </c>
      <c r="H45" s="5">
        <f>F45</f>
        <v>10000000</v>
      </c>
      <c r="I45" s="2" t="s">
        <v>100</v>
      </c>
      <c r="J45" s="5"/>
      <c r="K45" s="5"/>
      <c r="L45" s="5"/>
      <c r="M45" s="187"/>
    </row>
    <row r="46" spans="1:13" ht="15" hidden="1" customHeight="1">
      <c r="A46" s="2">
        <v>29</v>
      </c>
      <c r="B46" s="2" t="s">
        <v>304</v>
      </c>
      <c r="C46" s="20" t="s">
        <v>305</v>
      </c>
      <c r="D46" s="2" t="s">
        <v>11</v>
      </c>
      <c r="E46" s="33">
        <v>9.5000000000000001E-2</v>
      </c>
      <c r="F46" s="5">
        <v>120000000</v>
      </c>
      <c r="G46" s="2" t="s">
        <v>92</v>
      </c>
      <c r="H46" s="5">
        <f>F46</f>
        <v>120000000</v>
      </c>
      <c r="I46" s="2" t="s">
        <v>100</v>
      </c>
      <c r="J46" s="5"/>
      <c r="K46" s="5"/>
      <c r="L46" s="5"/>
      <c r="M46" s="187"/>
    </row>
    <row r="47" spans="1:13" ht="15" hidden="1" customHeight="1">
      <c r="A47" s="156" t="s">
        <v>101</v>
      </c>
      <c r="B47" s="156"/>
      <c r="C47" s="156"/>
      <c r="D47" s="156"/>
      <c r="E47" s="156"/>
      <c r="F47" s="156"/>
      <c r="G47" s="156"/>
      <c r="H47" s="156"/>
      <c r="I47" s="156"/>
      <c r="J47" s="5"/>
      <c r="K47" s="5"/>
      <c r="L47" s="5"/>
      <c r="M47" s="187"/>
    </row>
    <row r="48" spans="1:13" ht="15" hidden="1" customHeight="1">
      <c r="A48" s="2">
        <v>30</v>
      </c>
      <c r="B48" s="2" t="s">
        <v>284</v>
      </c>
      <c r="C48" s="20" t="s">
        <v>286</v>
      </c>
      <c r="D48" s="2" t="s">
        <v>11</v>
      </c>
      <c r="E48" s="33">
        <v>0.125</v>
      </c>
      <c r="F48" s="5">
        <v>17000000</v>
      </c>
      <c r="G48" s="2" t="s">
        <v>83</v>
      </c>
      <c r="H48" s="5">
        <f>F48</f>
        <v>17000000</v>
      </c>
      <c r="I48" s="2" t="s">
        <v>100</v>
      </c>
      <c r="J48" s="5"/>
      <c r="K48" s="5"/>
      <c r="L48" s="5"/>
      <c r="M48" s="187"/>
    </row>
    <row r="49" spans="1:13" ht="15" hidden="1" customHeight="1">
      <c r="A49" s="156" t="s">
        <v>101</v>
      </c>
      <c r="B49" s="156"/>
      <c r="C49" s="156"/>
      <c r="D49" s="156"/>
      <c r="E49" s="156"/>
      <c r="F49" s="156"/>
      <c r="G49" s="156"/>
      <c r="H49" s="156"/>
      <c r="I49" s="156"/>
      <c r="J49" s="5"/>
      <c r="K49" s="5"/>
      <c r="L49" s="5"/>
      <c r="M49" s="187"/>
    </row>
    <row r="50" spans="1:13" ht="15" hidden="1" customHeight="1">
      <c r="A50" s="2">
        <v>31</v>
      </c>
      <c r="B50" s="2" t="s">
        <v>261</v>
      </c>
      <c r="C50" s="20" t="s">
        <v>262</v>
      </c>
      <c r="D50" s="2" t="s">
        <v>11</v>
      </c>
      <c r="E50" s="33">
        <v>0.12</v>
      </c>
      <c r="F50" s="5">
        <v>70000000</v>
      </c>
      <c r="G50" s="2" t="s">
        <v>184</v>
      </c>
      <c r="H50" s="5">
        <f>F50-54151376</f>
        <v>15848624</v>
      </c>
      <c r="I50" s="2" t="s">
        <v>99</v>
      </c>
      <c r="J50" s="5"/>
      <c r="K50" s="5"/>
      <c r="L50" s="5"/>
      <c r="M50" s="187"/>
    </row>
    <row r="51" spans="1:13" ht="15" hidden="1" customHeight="1">
      <c r="A51" s="156" t="s">
        <v>101</v>
      </c>
      <c r="B51" s="156"/>
      <c r="C51" s="156"/>
      <c r="D51" s="156"/>
      <c r="E51" s="156"/>
      <c r="F51" s="156"/>
      <c r="G51" s="156"/>
      <c r="H51" s="156"/>
      <c r="I51" s="156"/>
      <c r="J51" s="5"/>
      <c r="K51" s="5"/>
      <c r="L51" s="5"/>
      <c r="M51" s="187"/>
    </row>
    <row r="52" spans="1:13" ht="15" hidden="1" customHeight="1">
      <c r="A52" s="2">
        <v>32</v>
      </c>
      <c r="B52" s="2" t="s">
        <v>282</v>
      </c>
      <c r="C52" s="20" t="s">
        <v>283</v>
      </c>
      <c r="D52" s="2" t="s">
        <v>11</v>
      </c>
      <c r="E52" s="33">
        <v>0.1</v>
      </c>
      <c r="F52" s="5">
        <v>175000000</v>
      </c>
      <c r="G52" s="2" t="s">
        <v>88</v>
      </c>
      <c r="H52" s="5">
        <f>F52</f>
        <v>175000000</v>
      </c>
      <c r="I52" s="2" t="s">
        <v>100</v>
      </c>
      <c r="J52" s="5"/>
      <c r="K52" s="5"/>
      <c r="L52" s="5"/>
      <c r="M52" s="187"/>
    </row>
    <row r="53" spans="1:13" ht="15" hidden="1" customHeight="1">
      <c r="A53" s="156" t="s">
        <v>101</v>
      </c>
      <c r="B53" s="156"/>
      <c r="C53" s="156"/>
      <c r="D53" s="156"/>
      <c r="E53" s="156"/>
      <c r="F53" s="156"/>
      <c r="G53" s="156"/>
      <c r="H53" s="156"/>
      <c r="I53" s="156"/>
      <c r="J53" s="5"/>
      <c r="K53" s="5"/>
      <c r="L53" s="5"/>
      <c r="M53" s="187"/>
    </row>
    <row r="54" spans="1:13" ht="15" hidden="1" customHeight="1">
      <c r="A54" s="2">
        <v>33</v>
      </c>
      <c r="B54" s="2" t="s">
        <v>267</v>
      </c>
      <c r="C54" s="20" t="s">
        <v>268</v>
      </c>
      <c r="D54" s="2" t="s">
        <v>11</v>
      </c>
      <c r="E54" s="33">
        <v>0.1</v>
      </c>
      <c r="F54" s="5">
        <v>209000000</v>
      </c>
      <c r="G54" s="2" t="s">
        <v>307</v>
      </c>
      <c r="H54" s="5">
        <f>F54-186772293</f>
        <v>22227707</v>
      </c>
      <c r="I54" s="2" t="s">
        <v>99</v>
      </c>
      <c r="J54" s="5"/>
      <c r="K54" s="5"/>
      <c r="L54" s="5"/>
      <c r="M54" s="187"/>
    </row>
    <row r="55" spans="1:13" ht="15" hidden="1" customHeight="1">
      <c r="A55" s="2">
        <v>34</v>
      </c>
      <c r="B55" s="2" t="s">
        <v>267</v>
      </c>
      <c r="C55" s="20" t="s">
        <v>268</v>
      </c>
      <c r="D55" s="2" t="s">
        <v>11</v>
      </c>
      <c r="E55" s="33">
        <v>0.1</v>
      </c>
      <c r="F55" s="5">
        <v>35000000</v>
      </c>
      <c r="G55" s="2" t="s">
        <v>307</v>
      </c>
      <c r="H55" s="5">
        <f>F55</f>
        <v>35000000</v>
      </c>
      <c r="I55" s="2" t="s">
        <v>100</v>
      </c>
      <c r="J55" s="5"/>
      <c r="K55" s="5"/>
      <c r="L55" s="5"/>
      <c r="M55" s="187"/>
    </row>
    <row r="56" spans="1:13" ht="15" hidden="1" customHeight="1">
      <c r="A56" s="156" t="s">
        <v>101</v>
      </c>
      <c r="B56" s="156"/>
      <c r="C56" s="156"/>
      <c r="D56" s="156"/>
      <c r="E56" s="156"/>
      <c r="F56" s="156"/>
      <c r="G56" s="156"/>
      <c r="H56" s="156"/>
      <c r="I56" s="156"/>
      <c r="J56" s="5"/>
      <c r="K56" s="5"/>
      <c r="L56" s="5"/>
      <c r="M56" s="187"/>
    </row>
    <row r="57" spans="1:13" ht="15" hidden="1" customHeight="1">
      <c r="A57" s="2">
        <v>35</v>
      </c>
      <c r="B57" s="2" t="s">
        <v>257</v>
      </c>
      <c r="C57" s="20" t="s">
        <v>258</v>
      </c>
      <c r="D57" s="2" t="s">
        <v>11</v>
      </c>
      <c r="E57" s="33">
        <v>0.09</v>
      </c>
      <c r="F57" s="5">
        <v>300000000</v>
      </c>
      <c r="G57" s="2" t="s">
        <v>306</v>
      </c>
      <c r="H57" s="5">
        <f>F57</f>
        <v>300000000</v>
      </c>
      <c r="I57" s="2" t="s">
        <v>100</v>
      </c>
      <c r="J57" s="5"/>
      <c r="K57" s="5"/>
      <c r="L57" s="5"/>
      <c r="M57" s="187"/>
    </row>
    <row r="58" spans="1:13" ht="15" hidden="1" customHeight="1">
      <c r="A58" s="2">
        <v>36</v>
      </c>
      <c r="B58" s="2" t="s">
        <v>285</v>
      </c>
      <c r="C58" s="20" t="s">
        <v>287</v>
      </c>
      <c r="D58" s="2" t="s">
        <v>11</v>
      </c>
      <c r="E58" s="33">
        <v>0.1</v>
      </c>
      <c r="F58" s="5">
        <v>80000000</v>
      </c>
      <c r="G58" s="2" t="s">
        <v>306</v>
      </c>
      <c r="H58" s="5">
        <f>F58-1808722</f>
        <v>78191278</v>
      </c>
      <c r="I58" s="2" t="s">
        <v>99</v>
      </c>
      <c r="J58" s="5"/>
      <c r="K58" s="5"/>
      <c r="L58" s="5"/>
      <c r="M58" s="187"/>
    </row>
    <row r="59" spans="1:13">
      <c r="A59" s="156" t="s">
        <v>101</v>
      </c>
      <c r="B59" s="156"/>
      <c r="C59" s="156"/>
      <c r="D59" s="156"/>
      <c r="E59" s="156"/>
      <c r="F59" s="156"/>
      <c r="G59" s="156"/>
      <c r="H59" s="156"/>
      <c r="I59" s="156"/>
      <c r="J59" s="5"/>
      <c r="K59" s="5"/>
      <c r="L59" s="5"/>
      <c r="M59" s="187"/>
    </row>
    <row r="60" spans="1:13">
      <c r="A60" s="31"/>
      <c r="B60" s="31"/>
      <c r="C60" s="31"/>
      <c r="D60" s="31"/>
      <c r="E60" s="31"/>
      <c r="F60" s="31"/>
      <c r="G60" s="31"/>
      <c r="H60" s="31"/>
      <c r="I60" s="31"/>
      <c r="J60" s="5"/>
      <c r="K60" s="5"/>
      <c r="L60" s="5"/>
      <c r="M60" s="36"/>
    </row>
    <row r="61" spans="1:13">
      <c r="A61" s="2">
        <v>37</v>
      </c>
      <c r="B61" s="2" t="s">
        <v>237</v>
      </c>
      <c r="C61" s="2" t="s">
        <v>238</v>
      </c>
      <c r="D61" s="2" t="s">
        <v>11</v>
      </c>
      <c r="E61" s="33">
        <v>0.1</v>
      </c>
      <c r="F61" s="5">
        <v>160000000</v>
      </c>
      <c r="G61" s="2" t="s">
        <v>186</v>
      </c>
      <c r="H61" s="5">
        <f>F61-118285706</f>
        <v>41714294</v>
      </c>
      <c r="I61" s="2" t="s">
        <v>99</v>
      </c>
      <c r="J61" s="5">
        <f>+K61+L61</f>
        <v>257500</v>
      </c>
      <c r="K61" s="5">
        <f>+L61*$N$8/100</f>
        <v>7500</v>
      </c>
      <c r="L61" s="5">
        <v>250000</v>
      </c>
      <c r="M61" s="187" t="s">
        <v>315</v>
      </c>
    </row>
    <row r="62" spans="1:13">
      <c r="A62" s="156" t="s">
        <v>101</v>
      </c>
      <c r="B62" s="156"/>
      <c r="C62" s="156"/>
      <c r="D62" s="156"/>
      <c r="E62" s="156"/>
      <c r="F62" s="156"/>
      <c r="G62" s="156"/>
      <c r="H62" s="156"/>
      <c r="I62" s="156"/>
      <c r="J62" s="5"/>
      <c r="K62" s="5"/>
      <c r="L62" s="5"/>
      <c r="M62" s="187"/>
    </row>
    <row r="63" spans="1:13">
      <c r="A63" s="153" t="s">
        <v>324</v>
      </c>
      <c r="B63" s="154"/>
      <c r="C63" s="154"/>
      <c r="D63" s="154"/>
      <c r="E63" s="154"/>
      <c r="F63" s="154"/>
      <c r="G63" s="154"/>
      <c r="H63" s="154"/>
      <c r="I63" s="155"/>
      <c r="J63" s="37">
        <f>+J61+J33+J21+J9</f>
        <v>2678000</v>
      </c>
      <c r="K63" s="37">
        <f>+K61+K33+K21+K9</f>
        <v>78000</v>
      </c>
      <c r="L63" s="37">
        <f>+L61+L33+L21+L9</f>
        <v>2600000</v>
      </c>
      <c r="M63" s="36"/>
    </row>
    <row r="66" spans="10:10">
      <c r="J66" s="27" t="s">
        <v>103</v>
      </c>
    </row>
    <row r="67" spans="10:10">
      <c r="J67" s="27" t="s">
        <v>104</v>
      </c>
    </row>
    <row r="68" spans="10:10">
      <c r="J68" s="28" t="s">
        <v>325</v>
      </c>
    </row>
    <row r="69" spans="10:10">
      <c r="J69" s="28"/>
    </row>
    <row r="70" spans="10:10">
      <c r="J70" s="28"/>
    </row>
    <row r="71" spans="10:10">
      <c r="J71" s="28"/>
    </row>
    <row r="72" spans="10:10">
      <c r="J72" s="28"/>
    </row>
    <row r="73" spans="10:10">
      <c r="J73" s="29" t="s">
        <v>106</v>
      </c>
    </row>
    <row r="74" spans="10:10">
      <c r="J74" s="28" t="s">
        <v>107</v>
      </c>
    </row>
  </sheetData>
  <mergeCells count="23">
    <mergeCell ref="A56:I56"/>
    <mergeCell ref="A59:I59"/>
    <mergeCell ref="A62:I62"/>
    <mergeCell ref="M25:M26"/>
    <mergeCell ref="M27:M28"/>
    <mergeCell ref="M29:M59"/>
    <mergeCell ref="M61:M62"/>
    <mergeCell ref="A63:I63"/>
    <mergeCell ref="A6:M6"/>
    <mergeCell ref="A10:I10"/>
    <mergeCell ref="A15:I15"/>
    <mergeCell ref="A21:I21"/>
    <mergeCell ref="A24:I24"/>
    <mergeCell ref="M9:M10"/>
    <mergeCell ref="M23:M24"/>
    <mergeCell ref="M11:M21"/>
    <mergeCell ref="A26:I26"/>
    <mergeCell ref="A28:I28"/>
    <mergeCell ref="A44:I44"/>
    <mergeCell ref="A47:I47"/>
    <mergeCell ref="A49:I49"/>
    <mergeCell ref="A51:I51"/>
    <mergeCell ref="A53:I53"/>
  </mergeCells>
  <printOptions horizontalCentered="1"/>
  <pageMargins left="0.11811023622047245" right="0.11811023622047245" top="0.11811023622047245" bottom="0.11811023622047245" header="0.31496062992125984" footer="0.31496062992125984"/>
  <pageSetup paperSize="5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U23"/>
  <sheetViews>
    <sheetView workbookViewId="0">
      <selection activeCell="D5" sqref="A5:XFD6"/>
    </sheetView>
  </sheetViews>
  <sheetFormatPr defaultRowHeight="15"/>
  <cols>
    <col min="1" max="1" width="5.42578125" style="121" customWidth="1"/>
    <col min="2" max="2" width="23.140625" bestFit="1" customWidth="1"/>
    <col min="3" max="3" width="14.5703125" bestFit="1" customWidth="1"/>
    <col min="4" max="4" width="12.7109375" hidden="1" customWidth="1"/>
    <col min="5" max="5" width="5.5703125" style="80" bestFit="1" customWidth="1"/>
    <col min="6" max="6" width="14.28515625" style="8" bestFit="1" customWidth="1"/>
    <col min="7" max="7" width="29" customWidth="1"/>
    <col min="8" max="8" width="14.28515625" bestFit="1" customWidth="1"/>
    <col min="9" max="9" width="6.85546875" bestFit="1" customWidth="1"/>
    <col min="10" max="10" width="10.5703125" style="8" bestFit="1" customWidth="1"/>
    <col min="12" max="12" width="10.5703125" bestFit="1" customWidth="1"/>
  </cols>
  <sheetData>
    <row r="2" spans="1:14" ht="18.75">
      <c r="A2" s="160" t="s">
        <v>580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14" ht="18.75">
      <c r="A3" s="160" t="s">
        <v>581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4" spans="1:14" s="120" customFormat="1" ht="18.7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 spans="1:14" s="58" customFormat="1">
      <c r="A5" s="149" t="s">
        <v>111</v>
      </c>
      <c r="B5" s="149" t="s">
        <v>311</v>
      </c>
      <c r="C5" s="149" t="s">
        <v>3</v>
      </c>
      <c r="D5" s="128" t="s">
        <v>4</v>
      </c>
      <c r="E5" s="151" t="s">
        <v>313</v>
      </c>
      <c r="F5" s="141" t="s">
        <v>314</v>
      </c>
      <c r="G5" s="141" t="s">
        <v>523</v>
      </c>
      <c r="H5" s="141" t="s">
        <v>8</v>
      </c>
      <c r="I5" s="141" t="s">
        <v>316</v>
      </c>
      <c r="J5" s="128" t="s">
        <v>317</v>
      </c>
      <c r="K5" s="129" t="s">
        <v>318</v>
      </c>
      <c r="L5" s="143" t="s">
        <v>595</v>
      </c>
      <c r="M5" s="145" t="s">
        <v>596</v>
      </c>
      <c r="N5" s="146"/>
    </row>
    <row r="6" spans="1:14">
      <c r="A6" s="150"/>
      <c r="B6" s="150"/>
      <c r="C6" s="150"/>
      <c r="D6" s="116"/>
      <c r="E6" s="152"/>
      <c r="F6" s="142"/>
      <c r="G6" s="142"/>
      <c r="H6" s="142"/>
      <c r="I6" s="142"/>
      <c r="J6" s="133">
        <v>54302</v>
      </c>
      <c r="K6" s="134" t="s">
        <v>594</v>
      </c>
      <c r="L6" s="144"/>
      <c r="M6" s="147"/>
      <c r="N6" s="148"/>
    </row>
    <row r="7" spans="1:14">
      <c r="A7" s="130"/>
      <c r="B7" s="130"/>
      <c r="C7" s="130"/>
      <c r="D7" s="116"/>
      <c r="E7" s="131"/>
      <c r="F7" s="132"/>
      <c r="G7" s="39"/>
      <c r="H7" s="39"/>
      <c r="I7" s="39"/>
      <c r="J7" s="116"/>
      <c r="K7" s="39"/>
      <c r="L7" s="39"/>
      <c r="M7" s="126"/>
      <c r="N7" s="127"/>
    </row>
    <row r="8" spans="1:14">
      <c r="A8" s="42">
        <v>1</v>
      </c>
      <c r="B8" s="2" t="s">
        <v>582</v>
      </c>
      <c r="C8" s="2" t="s">
        <v>585</v>
      </c>
      <c r="D8" s="2"/>
      <c r="E8" s="2" t="s">
        <v>424</v>
      </c>
      <c r="F8" s="5">
        <v>85000000</v>
      </c>
      <c r="G8" s="2" t="s">
        <v>591</v>
      </c>
      <c r="H8" s="19">
        <f>F8</f>
        <v>85000000</v>
      </c>
      <c r="I8" s="2" t="s">
        <v>11</v>
      </c>
      <c r="J8" s="5">
        <v>200000</v>
      </c>
      <c r="K8" s="5">
        <f>+J8*6%</f>
        <v>12000</v>
      </c>
      <c r="L8" s="5">
        <f>+J8-K8</f>
        <v>188000</v>
      </c>
      <c r="M8" s="164" t="s">
        <v>323</v>
      </c>
      <c r="N8" s="165"/>
    </row>
    <row r="9" spans="1:14">
      <c r="A9" s="42">
        <v>2</v>
      </c>
      <c r="B9" s="2" t="s">
        <v>429</v>
      </c>
      <c r="C9" s="2" t="s">
        <v>586</v>
      </c>
      <c r="D9" s="2"/>
      <c r="E9" s="2" t="s">
        <v>424</v>
      </c>
      <c r="F9" s="5">
        <v>105000000</v>
      </c>
      <c r="G9" s="2" t="s">
        <v>591</v>
      </c>
      <c r="H9" s="19">
        <f>F9</f>
        <v>105000000</v>
      </c>
      <c r="I9" s="2" t="s">
        <v>11</v>
      </c>
      <c r="J9" s="5">
        <v>400000</v>
      </c>
      <c r="K9" s="5">
        <f>+J9*6%</f>
        <v>24000</v>
      </c>
      <c r="L9" s="5">
        <f>+J9-K9</f>
        <v>376000</v>
      </c>
      <c r="M9" s="166"/>
      <c r="N9" s="167"/>
    </row>
    <row r="10" spans="1:14">
      <c r="A10" s="42">
        <v>3</v>
      </c>
      <c r="B10" s="2" t="s">
        <v>583</v>
      </c>
      <c r="C10" s="2" t="s">
        <v>584</v>
      </c>
      <c r="D10" s="2"/>
      <c r="E10" s="2" t="s">
        <v>415</v>
      </c>
      <c r="F10" s="5">
        <v>185000000</v>
      </c>
      <c r="G10" s="2" t="s">
        <v>591</v>
      </c>
      <c r="H10" s="19">
        <f>F10</f>
        <v>185000000</v>
      </c>
      <c r="I10" s="2" t="s">
        <v>11</v>
      </c>
      <c r="J10" s="5">
        <v>400000</v>
      </c>
      <c r="K10" s="5">
        <f>+J10*6%</f>
        <v>24000</v>
      </c>
      <c r="L10" s="5">
        <f>+J10-K10</f>
        <v>376000</v>
      </c>
      <c r="M10" s="166"/>
      <c r="N10" s="167"/>
    </row>
    <row r="11" spans="1:14">
      <c r="A11" s="156" t="s">
        <v>101</v>
      </c>
      <c r="B11" s="156"/>
      <c r="C11" s="156"/>
      <c r="D11" s="156"/>
      <c r="E11" s="156"/>
      <c r="F11" s="156"/>
      <c r="G11" s="156"/>
      <c r="H11" s="156"/>
      <c r="I11" s="156"/>
      <c r="J11" s="37">
        <f>SUM(J8:J10)</f>
        <v>1000000</v>
      </c>
      <c r="K11" s="25">
        <f>SUM(K8:K10)</f>
        <v>60000</v>
      </c>
      <c r="L11" s="25">
        <f>SUM(L8:L10)</f>
        <v>940000</v>
      </c>
      <c r="M11" s="168"/>
      <c r="N11" s="169"/>
    </row>
    <row r="12" spans="1:14">
      <c r="A12" s="156"/>
      <c r="B12" s="156"/>
      <c r="C12" s="156"/>
      <c r="D12" s="156"/>
      <c r="E12" s="156"/>
      <c r="F12" s="156"/>
      <c r="G12" s="156"/>
      <c r="H12" s="156"/>
      <c r="I12" s="156"/>
      <c r="J12" s="5"/>
      <c r="K12" s="2"/>
      <c r="L12" s="2"/>
      <c r="M12" s="170"/>
      <c r="N12" s="171"/>
    </row>
    <row r="13" spans="1:14">
      <c r="A13" s="42">
        <v>4</v>
      </c>
      <c r="B13" s="2" t="s">
        <v>587</v>
      </c>
      <c r="C13" s="2" t="s">
        <v>588</v>
      </c>
      <c r="D13" s="2"/>
      <c r="E13" s="2" t="s">
        <v>415</v>
      </c>
      <c r="F13" s="5">
        <v>25000000</v>
      </c>
      <c r="G13" s="2" t="s">
        <v>592</v>
      </c>
      <c r="H13" s="19">
        <f>F13</f>
        <v>25000000</v>
      </c>
      <c r="I13" s="2" t="s">
        <v>11</v>
      </c>
      <c r="J13" s="5">
        <v>250000</v>
      </c>
      <c r="K13" s="5">
        <f>+J13*6%</f>
        <v>15000</v>
      </c>
      <c r="L13" s="5">
        <f>+J13-K13</f>
        <v>235000</v>
      </c>
      <c r="M13" s="164" t="s">
        <v>593</v>
      </c>
      <c r="N13" s="165"/>
    </row>
    <row r="14" spans="1:14">
      <c r="A14" s="42">
        <v>5</v>
      </c>
      <c r="B14" s="2" t="s">
        <v>590</v>
      </c>
      <c r="C14" s="2" t="s">
        <v>589</v>
      </c>
      <c r="D14" s="2"/>
      <c r="E14" s="2" t="s">
        <v>415</v>
      </c>
      <c r="F14" s="5">
        <v>105000000</v>
      </c>
      <c r="G14" s="2" t="s">
        <v>93</v>
      </c>
      <c r="H14" s="19">
        <v>105000000</v>
      </c>
      <c r="I14" s="2" t="s">
        <v>11</v>
      </c>
      <c r="J14" s="5">
        <v>500000</v>
      </c>
      <c r="K14" s="5">
        <f>+J14*6%</f>
        <v>30000</v>
      </c>
      <c r="L14" s="5">
        <f>+J14-K14</f>
        <v>470000</v>
      </c>
      <c r="M14" s="166"/>
      <c r="N14" s="167"/>
    </row>
    <row r="15" spans="1:14">
      <c r="A15" s="156" t="s">
        <v>101</v>
      </c>
      <c r="B15" s="156"/>
      <c r="C15" s="156"/>
      <c r="D15" s="156"/>
      <c r="E15" s="156"/>
      <c r="F15" s="156"/>
      <c r="G15" s="156"/>
      <c r="H15" s="156"/>
      <c r="I15" s="156"/>
      <c r="J15" s="37">
        <f>SUM(J12:J14)</f>
        <v>750000</v>
      </c>
      <c r="K15" s="25">
        <f>SUM(K12:K14)</f>
        <v>45000</v>
      </c>
      <c r="L15" s="25">
        <f>SUM(L13:L14)</f>
        <v>705000</v>
      </c>
      <c r="M15" s="168"/>
      <c r="N15" s="169"/>
    </row>
    <row r="16" spans="1:14" hidden="1">
      <c r="A16" s="116"/>
      <c r="B16" s="116"/>
      <c r="C16" s="116"/>
      <c r="D16" s="116"/>
      <c r="E16" s="116"/>
      <c r="F16" s="116"/>
      <c r="G16" s="116"/>
      <c r="H16" s="116"/>
      <c r="I16" s="116"/>
      <c r="J16" s="5"/>
      <c r="K16" s="19"/>
      <c r="L16" s="19"/>
      <c r="M16" s="118"/>
      <c r="N16" s="119"/>
    </row>
    <row r="17" spans="1:21" hidden="1">
      <c r="A17" s="42">
        <v>6</v>
      </c>
      <c r="B17" t="s">
        <v>578</v>
      </c>
      <c r="C17" t="s">
        <v>577</v>
      </c>
      <c r="D17" s="2"/>
      <c r="E17" t="s">
        <v>392</v>
      </c>
      <c r="F17" s="8">
        <v>30000000</v>
      </c>
      <c r="G17" s="2" t="s">
        <v>564</v>
      </c>
      <c r="H17" s="19">
        <f>F17</f>
        <v>30000000</v>
      </c>
      <c r="I17" s="2" t="s">
        <v>11</v>
      </c>
      <c r="J17" s="5">
        <v>100000</v>
      </c>
      <c r="K17" s="5">
        <f>+J17*6%</f>
        <v>6000</v>
      </c>
      <c r="L17" s="5">
        <f>+J17-K17</f>
        <v>94000</v>
      </c>
      <c r="M17" s="172" t="s">
        <v>549</v>
      </c>
      <c r="N17" s="173"/>
    </row>
    <row r="18" spans="1:21" hidden="1">
      <c r="A18" s="156" t="s">
        <v>101</v>
      </c>
      <c r="B18" s="156"/>
      <c r="C18" s="156"/>
      <c r="D18" s="156"/>
      <c r="E18" s="156"/>
      <c r="F18" s="156"/>
      <c r="G18" s="156"/>
      <c r="H18" s="156"/>
      <c r="I18" s="156"/>
      <c r="J18" s="5"/>
      <c r="K18" s="2"/>
      <c r="L18" s="2"/>
      <c r="M18" s="174"/>
      <c r="N18" s="175"/>
    </row>
    <row r="19" spans="1:21">
      <c r="A19" s="116"/>
      <c r="B19" s="116"/>
      <c r="C19" s="116"/>
      <c r="D19" s="116"/>
      <c r="E19" s="116"/>
      <c r="F19" s="116"/>
      <c r="G19" s="116"/>
      <c r="H19" s="116"/>
      <c r="I19" s="116"/>
      <c r="J19" s="5"/>
      <c r="K19" s="2"/>
      <c r="L19" s="2"/>
      <c r="M19" s="114"/>
      <c r="N19" s="115"/>
    </row>
    <row r="20" spans="1:21" s="138" customFormat="1">
      <c r="A20" s="122"/>
      <c r="B20" s="26"/>
      <c r="C20" s="26"/>
      <c r="D20" s="26"/>
      <c r="E20" s="135"/>
      <c r="F20" s="37">
        <f>+F14+F13+F10+F9+F8</f>
        <v>505000000</v>
      </c>
      <c r="G20" s="37"/>
      <c r="H20" s="37">
        <f>+H14+H13+H10+H9+H8</f>
        <v>505000000</v>
      </c>
      <c r="I20" s="26"/>
      <c r="J20" s="37">
        <f>+J14+J13+J10+J9+J8</f>
        <v>1750000</v>
      </c>
      <c r="K20" s="37">
        <f>+K14+K13+K10+K9+K8</f>
        <v>105000</v>
      </c>
      <c r="L20" s="37">
        <f>+L14+L13+L10+L9+L8</f>
        <v>1645000</v>
      </c>
      <c r="M20" s="136"/>
      <c r="N20" s="137"/>
    </row>
    <row r="21" spans="1:21">
      <c r="R21" s="123"/>
      <c r="S21" s="123"/>
      <c r="U21" s="123"/>
    </row>
    <row r="22" spans="1:21">
      <c r="A22"/>
      <c r="D22" s="123"/>
      <c r="E22"/>
      <c r="J22"/>
      <c r="R22" s="123"/>
      <c r="S22" s="123"/>
      <c r="U22" s="123"/>
    </row>
    <row r="23" spans="1:21">
      <c r="A23"/>
      <c r="D23" s="123"/>
      <c r="E23"/>
      <c r="J23"/>
    </row>
  </sheetData>
  <mergeCells count="20">
    <mergeCell ref="M13:N15"/>
    <mergeCell ref="A15:I15"/>
    <mergeCell ref="M17:N18"/>
    <mergeCell ref="A18:I18"/>
    <mergeCell ref="A2:N2"/>
    <mergeCell ref="M8:N11"/>
    <mergeCell ref="A11:I11"/>
    <mergeCell ref="A12:I12"/>
    <mergeCell ref="M12:N12"/>
    <mergeCell ref="G5:G6"/>
    <mergeCell ref="H5:H6"/>
    <mergeCell ref="I5:I6"/>
    <mergeCell ref="L5:L6"/>
    <mergeCell ref="A3:N3"/>
    <mergeCell ref="A5:A6"/>
    <mergeCell ref="B5:B6"/>
    <mergeCell ref="C5:C6"/>
    <mergeCell ref="E5:E6"/>
    <mergeCell ref="F5:F6"/>
    <mergeCell ref="M5:N6"/>
  </mergeCells>
  <printOptions horizontalCentered="1"/>
  <pageMargins left="0.11811023622047245" right="0.11811023622047245" top="1.05" bottom="0.19685039370078741" header="0.31496062992125984" footer="0.31496062992125984"/>
  <pageSetup paperSize="5" scale="8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U19"/>
  <sheetViews>
    <sheetView workbookViewId="0">
      <selection activeCell="A3" sqref="A3"/>
    </sheetView>
  </sheetViews>
  <sheetFormatPr defaultRowHeight="15"/>
  <cols>
    <col min="1" max="1" width="5.42578125" style="107" customWidth="1"/>
    <col min="2" max="2" width="25.42578125" customWidth="1"/>
    <col min="3" max="3" width="14.5703125" bestFit="1" customWidth="1"/>
    <col min="4" max="4" width="12.7109375" hidden="1" customWidth="1"/>
    <col min="5" max="5" width="7.7109375" style="80" customWidth="1"/>
    <col min="6" max="6" width="14.28515625" style="8" bestFit="1" customWidth="1"/>
    <col min="7" max="7" width="33.85546875" bestFit="1" customWidth="1"/>
    <col min="8" max="8" width="14.28515625" bestFit="1" customWidth="1"/>
    <col min="10" max="10" width="10.5703125" style="8" bestFit="1" customWidth="1"/>
    <col min="12" max="12" width="10.5703125" bestFit="1" customWidth="1"/>
  </cols>
  <sheetData>
    <row r="2" spans="1:14" ht="18.75">
      <c r="A2" s="182" t="s">
        <v>579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4" ht="18.7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</row>
    <row r="4" spans="1:14" s="106" customFormat="1">
      <c r="A4" s="104" t="s">
        <v>111</v>
      </c>
      <c r="B4" s="104" t="s">
        <v>2</v>
      </c>
      <c r="C4" s="104" t="s">
        <v>3</v>
      </c>
      <c r="D4" s="104" t="s">
        <v>4</v>
      </c>
      <c r="E4" s="113" t="s">
        <v>5</v>
      </c>
      <c r="F4" s="39" t="s">
        <v>6</v>
      </c>
      <c r="G4" s="39" t="s">
        <v>7</v>
      </c>
      <c r="H4" s="39" t="s">
        <v>8</v>
      </c>
      <c r="I4" s="39" t="s">
        <v>94</v>
      </c>
      <c r="J4" s="104" t="s">
        <v>95</v>
      </c>
      <c r="K4" s="39" t="s">
        <v>96</v>
      </c>
      <c r="L4" s="39" t="s">
        <v>97</v>
      </c>
      <c r="M4" s="183" t="s">
        <v>98</v>
      </c>
      <c r="N4" s="184"/>
    </row>
    <row r="5" spans="1:14">
      <c r="A5" s="42">
        <v>1</v>
      </c>
      <c r="B5" t="s">
        <v>572</v>
      </c>
      <c r="C5" t="s">
        <v>571</v>
      </c>
      <c r="D5" s="2"/>
      <c r="E5" t="s">
        <v>415</v>
      </c>
      <c r="F5" s="8">
        <v>165000000</v>
      </c>
      <c r="G5" s="2" t="s">
        <v>425</v>
      </c>
      <c r="H5" s="19">
        <f>F5</f>
        <v>165000000</v>
      </c>
      <c r="I5" s="2" t="s">
        <v>11</v>
      </c>
      <c r="J5" s="5">
        <v>500000</v>
      </c>
      <c r="K5" s="5">
        <f>+J5*6%</f>
        <v>30000</v>
      </c>
      <c r="L5" s="5">
        <f>+J5-K5</f>
        <v>470000</v>
      </c>
      <c r="M5" s="174" t="s">
        <v>323</v>
      </c>
      <c r="N5" s="175"/>
    </row>
    <row r="6" spans="1:14" hidden="1">
      <c r="A6" s="42">
        <v>2</v>
      </c>
      <c r="B6" s="2" t="s">
        <v>554</v>
      </c>
      <c r="C6" s="2" t="s">
        <v>555</v>
      </c>
      <c r="D6" s="2"/>
      <c r="E6" s="2" t="s">
        <v>415</v>
      </c>
      <c r="F6" s="5">
        <v>350000000</v>
      </c>
      <c r="G6" s="2" t="s">
        <v>408</v>
      </c>
      <c r="H6" s="19"/>
      <c r="I6" s="2" t="s">
        <v>11</v>
      </c>
      <c r="J6" s="5"/>
      <c r="K6" s="5">
        <f>+J6*6%</f>
        <v>0</v>
      </c>
      <c r="L6" s="5">
        <f>+J6-K6</f>
        <v>0</v>
      </c>
      <c r="M6" s="174"/>
      <c r="N6" s="175"/>
    </row>
    <row r="7" spans="1:14" hidden="1">
      <c r="A7" s="42">
        <v>3</v>
      </c>
      <c r="B7" s="2" t="s">
        <v>556</v>
      </c>
      <c r="C7" s="2" t="s">
        <v>557</v>
      </c>
      <c r="D7" s="2"/>
      <c r="E7" s="2" t="s">
        <v>415</v>
      </c>
      <c r="F7" s="5">
        <v>312000000</v>
      </c>
      <c r="G7" s="2" t="s">
        <v>408</v>
      </c>
      <c r="H7" s="19"/>
      <c r="I7" s="2" t="s">
        <v>11</v>
      </c>
      <c r="J7" s="5"/>
      <c r="K7" s="5">
        <f>+J7*6%</f>
        <v>0</v>
      </c>
      <c r="L7" s="5">
        <f>+J7-K7</f>
        <v>0</v>
      </c>
      <c r="M7" s="174"/>
      <c r="N7" s="175"/>
    </row>
    <row r="8" spans="1:14">
      <c r="A8" s="156" t="s">
        <v>101</v>
      </c>
      <c r="B8" s="156"/>
      <c r="C8" s="156"/>
      <c r="D8" s="156"/>
      <c r="E8" s="156"/>
      <c r="F8" s="156"/>
      <c r="G8" s="156"/>
      <c r="H8" s="156"/>
      <c r="I8" s="156"/>
      <c r="J8" s="5">
        <f>SUM(J5:J7)</f>
        <v>500000</v>
      </c>
      <c r="K8" s="19">
        <f>SUM(K5:K7)</f>
        <v>30000</v>
      </c>
      <c r="L8" s="19">
        <f>SUM(L5:L7)</f>
        <v>470000</v>
      </c>
      <c r="M8" s="185"/>
      <c r="N8" s="186"/>
    </row>
    <row r="9" spans="1:14" hidden="1">
      <c r="A9" s="156" t="s">
        <v>101</v>
      </c>
      <c r="B9" s="156"/>
      <c r="C9" s="156"/>
      <c r="D9" s="156"/>
      <c r="E9" s="156"/>
      <c r="F9" s="156"/>
      <c r="G9" s="156"/>
      <c r="H9" s="156"/>
      <c r="I9" s="156"/>
      <c r="J9" s="5"/>
      <c r="K9" s="2"/>
      <c r="L9" s="2"/>
      <c r="M9" s="170"/>
      <c r="N9" s="171"/>
    </row>
    <row r="10" spans="1:14" hidden="1">
      <c r="A10" s="42">
        <v>4</v>
      </c>
      <c r="B10" s="2" t="s">
        <v>558</v>
      </c>
      <c r="C10" s="2" t="s">
        <v>559</v>
      </c>
      <c r="D10" s="2"/>
      <c r="E10" s="2" t="s">
        <v>415</v>
      </c>
      <c r="F10" s="5">
        <v>50000000</v>
      </c>
      <c r="G10" s="2" t="s">
        <v>536</v>
      </c>
      <c r="H10" s="19"/>
      <c r="I10" s="2" t="s">
        <v>11</v>
      </c>
      <c r="J10" s="5"/>
      <c r="K10" s="5">
        <f>+J10*6%</f>
        <v>0</v>
      </c>
      <c r="L10" s="5">
        <f>+J10-K10</f>
        <v>0</v>
      </c>
      <c r="M10" s="176" t="s">
        <v>455</v>
      </c>
      <c r="N10" s="177"/>
    </row>
    <row r="11" spans="1:14" hidden="1">
      <c r="A11" s="42">
        <v>5</v>
      </c>
      <c r="B11" s="2" t="s">
        <v>560</v>
      </c>
      <c r="C11" s="2" t="s">
        <v>561</v>
      </c>
      <c r="D11" s="2"/>
      <c r="E11" s="2" t="s">
        <v>397</v>
      </c>
      <c r="F11" s="5">
        <v>100000000</v>
      </c>
      <c r="G11" s="2" t="s">
        <v>536</v>
      </c>
      <c r="H11" s="19"/>
      <c r="I11" s="2" t="s">
        <v>11</v>
      </c>
      <c r="J11" s="5"/>
      <c r="K11" s="5">
        <f>+J11*6%</f>
        <v>0</v>
      </c>
      <c r="L11" s="5">
        <f>+J11-K11</f>
        <v>0</v>
      </c>
      <c r="M11" s="178"/>
      <c r="N11" s="179"/>
    </row>
    <row r="12" spans="1:14" hidden="1">
      <c r="A12" s="156" t="s">
        <v>101</v>
      </c>
      <c r="B12" s="156"/>
      <c r="C12" s="156"/>
      <c r="D12" s="156"/>
      <c r="E12" s="156"/>
      <c r="F12" s="156"/>
      <c r="G12" s="156"/>
      <c r="H12" s="156"/>
      <c r="I12" s="156"/>
      <c r="J12" s="5">
        <f>SUM(J9:J11)</f>
        <v>0</v>
      </c>
      <c r="K12" s="19">
        <f>SUM(K9:K11)</f>
        <v>0</v>
      </c>
      <c r="L12" s="19">
        <f>SUM(L10:L11)</f>
        <v>0</v>
      </c>
      <c r="M12" s="180"/>
      <c r="N12" s="181"/>
    </row>
    <row r="13" spans="1:14">
      <c r="A13" s="104"/>
      <c r="B13" s="104"/>
      <c r="C13" s="104"/>
      <c r="D13" s="104"/>
      <c r="E13" s="104"/>
      <c r="F13" s="104"/>
      <c r="G13" s="104"/>
      <c r="H13" s="104"/>
      <c r="I13" s="104"/>
      <c r="J13" s="5"/>
      <c r="K13" s="19"/>
      <c r="L13" s="19"/>
      <c r="M13" s="108"/>
      <c r="N13" s="109"/>
    </row>
    <row r="14" spans="1:14">
      <c r="A14" s="42">
        <v>6</v>
      </c>
      <c r="B14" t="s">
        <v>578</v>
      </c>
      <c r="C14" t="s">
        <v>577</v>
      </c>
      <c r="D14" s="2"/>
      <c r="E14" t="s">
        <v>392</v>
      </c>
      <c r="F14" s="8">
        <v>30000000</v>
      </c>
      <c r="G14" s="2" t="s">
        <v>564</v>
      </c>
      <c r="H14" s="19">
        <f>F14</f>
        <v>30000000</v>
      </c>
      <c r="I14" s="2" t="s">
        <v>11</v>
      </c>
      <c r="J14" s="5">
        <v>100000</v>
      </c>
      <c r="K14" s="5">
        <f>+J14*6%</f>
        <v>6000</v>
      </c>
      <c r="L14" s="5">
        <f>+J14-K14</f>
        <v>94000</v>
      </c>
      <c r="M14" s="172" t="s">
        <v>549</v>
      </c>
      <c r="N14" s="173"/>
    </row>
    <row r="15" spans="1:14">
      <c r="A15" s="156" t="s">
        <v>101</v>
      </c>
      <c r="B15" s="156"/>
      <c r="C15" s="156"/>
      <c r="D15" s="156"/>
      <c r="E15" s="156"/>
      <c r="F15" s="156"/>
      <c r="G15" s="156"/>
      <c r="H15" s="156"/>
      <c r="I15" s="156"/>
      <c r="J15" s="5"/>
      <c r="K15" s="2"/>
      <c r="L15" s="2"/>
      <c r="M15" s="174"/>
      <c r="N15" s="175"/>
    </row>
    <row r="16" spans="1:14">
      <c r="A16" s="42"/>
      <c r="B16" s="2"/>
      <c r="C16" s="2"/>
      <c r="D16" s="2"/>
      <c r="E16" s="24"/>
      <c r="F16" s="5">
        <f>+F14+F5</f>
        <v>195000000</v>
      </c>
      <c r="G16" s="5"/>
      <c r="H16" s="5">
        <f>SUM(H5:H14)</f>
        <v>195000000</v>
      </c>
      <c r="I16" s="2"/>
      <c r="J16" s="5">
        <f t="shared" ref="J16:K16" si="0">+J14+J12+J8</f>
        <v>600000</v>
      </c>
      <c r="K16" s="19">
        <f t="shared" si="0"/>
        <v>36000</v>
      </c>
      <c r="L16" s="110">
        <f>+L14+L12+L8</f>
        <v>564000</v>
      </c>
      <c r="M16" s="111"/>
      <c r="N16" s="112"/>
    </row>
    <row r="18" spans="1:21">
      <c r="A18"/>
      <c r="D18" s="123"/>
      <c r="E18"/>
      <c r="J18"/>
      <c r="R18" s="123"/>
      <c r="S18" s="123"/>
      <c r="U18" s="123"/>
    </row>
    <row r="19" spans="1:21">
      <c r="A19"/>
      <c r="D19" s="123"/>
      <c r="E19"/>
      <c r="J19"/>
      <c r="R19" s="123"/>
      <c r="S19" s="123"/>
      <c r="U19" s="123"/>
    </row>
  </sheetData>
  <mergeCells count="10">
    <mergeCell ref="M10:N12"/>
    <mergeCell ref="A12:I12"/>
    <mergeCell ref="M14:N15"/>
    <mergeCell ref="A15:I15"/>
    <mergeCell ref="A2:N2"/>
    <mergeCell ref="M4:N4"/>
    <mergeCell ref="M5:N8"/>
    <mergeCell ref="A8:I8"/>
    <mergeCell ref="A9:I9"/>
    <mergeCell ref="M9:N9"/>
  </mergeCells>
  <printOptions horizontalCentered="1"/>
  <pageMargins left="0.11811023622047245" right="0.11811023622047245" top="1.05" bottom="0.19685039370078741" header="0.31496062992125984" footer="0.31496062992125984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D19"/>
  <sheetViews>
    <sheetView topLeftCell="A4" workbookViewId="0">
      <selection activeCell="G5" sqref="G5"/>
    </sheetView>
  </sheetViews>
  <sheetFormatPr defaultRowHeight="15"/>
  <cols>
    <col min="1" max="1" width="5.42578125" style="103" customWidth="1"/>
    <col min="2" max="2" width="25.42578125" customWidth="1"/>
    <col min="3" max="3" width="14.5703125" bestFit="1" customWidth="1"/>
    <col min="4" max="4" width="12.7109375" hidden="1" customWidth="1"/>
    <col min="5" max="5" width="7.7109375" style="80" customWidth="1"/>
    <col min="6" max="6" width="14.28515625" style="8" bestFit="1" customWidth="1"/>
    <col min="7" max="7" width="33.85546875" bestFit="1" customWidth="1"/>
    <col min="8" max="8" width="14.28515625" bestFit="1" customWidth="1"/>
    <col min="10" max="10" width="10.5703125" style="8" bestFit="1" customWidth="1"/>
    <col min="12" max="12" width="10.5703125" bestFit="1" customWidth="1"/>
  </cols>
  <sheetData>
    <row r="2" spans="1:14" ht="18.75">
      <c r="A2" s="182" t="s">
        <v>551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4" ht="18.7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s="102" customFormat="1">
      <c r="A4" s="100" t="s">
        <v>111</v>
      </c>
      <c r="B4" s="100" t="s">
        <v>2</v>
      </c>
      <c r="C4" s="100" t="s">
        <v>3</v>
      </c>
      <c r="D4" s="100" t="s">
        <v>4</v>
      </c>
      <c r="E4" s="113" t="s">
        <v>5</v>
      </c>
      <c r="F4" s="39" t="s">
        <v>6</v>
      </c>
      <c r="G4" s="39" t="s">
        <v>7</v>
      </c>
      <c r="H4" s="39" t="s">
        <v>8</v>
      </c>
      <c r="I4" s="39" t="s">
        <v>94</v>
      </c>
      <c r="J4" s="100" t="s">
        <v>95</v>
      </c>
      <c r="K4" s="39" t="s">
        <v>96</v>
      </c>
      <c r="L4" s="39" t="s">
        <v>97</v>
      </c>
      <c r="M4" s="183" t="s">
        <v>98</v>
      </c>
      <c r="N4" s="184"/>
    </row>
    <row r="5" spans="1:14">
      <c r="A5" s="42">
        <v>1</v>
      </c>
      <c r="B5" s="2" t="s">
        <v>552</v>
      </c>
      <c r="C5" s="2" t="s">
        <v>553</v>
      </c>
      <c r="D5" s="2"/>
      <c r="E5" s="2" t="s">
        <v>415</v>
      </c>
      <c r="F5" s="5">
        <v>260000000</v>
      </c>
      <c r="G5" s="2" t="s">
        <v>408</v>
      </c>
      <c r="H5" s="19">
        <f>F5</f>
        <v>260000000</v>
      </c>
      <c r="I5" s="2" t="s">
        <v>11</v>
      </c>
      <c r="J5" s="5">
        <v>750000</v>
      </c>
      <c r="K5" s="5">
        <f>+J5*6%</f>
        <v>45000</v>
      </c>
      <c r="L5" s="5">
        <f>+J5-K5</f>
        <v>705000</v>
      </c>
      <c r="M5" s="174" t="s">
        <v>323</v>
      </c>
      <c r="N5" s="175"/>
    </row>
    <row r="6" spans="1:14">
      <c r="A6" s="42">
        <v>2</v>
      </c>
      <c r="B6" s="2" t="s">
        <v>554</v>
      </c>
      <c r="C6" s="2" t="s">
        <v>555</v>
      </c>
      <c r="D6" s="2"/>
      <c r="E6" s="2" t="s">
        <v>415</v>
      </c>
      <c r="F6" s="5">
        <v>350000000</v>
      </c>
      <c r="G6" s="2" t="s">
        <v>408</v>
      </c>
      <c r="H6" s="19">
        <f>F6</f>
        <v>350000000</v>
      </c>
      <c r="I6" s="2" t="s">
        <v>11</v>
      </c>
      <c r="J6" s="5">
        <v>1000000</v>
      </c>
      <c r="K6" s="5">
        <f>+J6*6%</f>
        <v>60000</v>
      </c>
      <c r="L6" s="5">
        <f>+J6-K6</f>
        <v>940000</v>
      </c>
      <c r="M6" s="174"/>
      <c r="N6" s="175"/>
    </row>
    <row r="7" spans="1:14">
      <c r="A7" s="42">
        <v>3</v>
      </c>
      <c r="B7" s="2" t="s">
        <v>556</v>
      </c>
      <c r="C7" s="2" t="s">
        <v>557</v>
      </c>
      <c r="D7" s="2"/>
      <c r="E7" s="2" t="s">
        <v>415</v>
      </c>
      <c r="F7" s="5">
        <v>312000000</v>
      </c>
      <c r="G7" s="2" t="s">
        <v>408</v>
      </c>
      <c r="H7" s="19">
        <f>F7</f>
        <v>312000000</v>
      </c>
      <c r="I7" s="2" t="s">
        <v>11</v>
      </c>
      <c r="J7" s="5">
        <v>1000000</v>
      </c>
      <c r="K7" s="5">
        <f>+J7*6%</f>
        <v>60000</v>
      </c>
      <c r="L7" s="5">
        <f>+J7-K7</f>
        <v>940000</v>
      </c>
      <c r="M7" s="174"/>
      <c r="N7" s="175"/>
    </row>
    <row r="8" spans="1:14">
      <c r="A8" s="156" t="s">
        <v>101</v>
      </c>
      <c r="B8" s="156"/>
      <c r="C8" s="156"/>
      <c r="D8" s="156"/>
      <c r="E8" s="156"/>
      <c r="F8" s="156"/>
      <c r="G8" s="156"/>
      <c r="H8" s="156"/>
      <c r="I8" s="156"/>
      <c r="J8" s="5">
        <f>SUM(J5:J7)</f>
        <v>2750000</v>
      </c>
      <c r="K8" s="19">
        <f>SUM(K5:K7)</f>
        <v>165000</v>
      </c>
      <c r="L8" s="19">
        <f>SUM(L5:L7)</f>
        <v>2585000</v>
      </c>
      <c r="M8" s="185"/>
      <c r="N8" s="186"/>
    </row>
    <row r="9" spans="1:14">
      <c r="A9" s="156" t="s">
        <v>101</v>
      </c>
      <c r="B9" s="156"/>
      <c r="C9" s="156"/>
      <c r="D9" s="156"/>
      <c r="E9" s="156"/>
      <c r="F9" s="156"/>
      <c r="G9" s="156"/>
      <c r="H9" s="156"/>
      <c r="I9" s="156"/>
      <c r="J9" s="5"/>
      <c r="K9" s="2"/>
      <c r="L9" s="2"/>
      <c r="M9" s="170"/>
      <c r="N9" s="171"/>
    </row>
    <row r="10" spans="1:14">
      <c r="A10" s="42">
        <v>4</v>
      </c>
      <c r="B10" s="2" t="s">
        <v>558</v>
      </c>
      <c r="C10" s="2" t="s">
        <v>559</v>
      </c>
      <c r="D10" s="2"/>
      <c r="E10" s="2" t="s">
        <v>415</v>
      </c>
      <c r="F10" s="5">
        <v>50000000</v>
      </c>
      <c r="G10" s="2" t="s">
        <v>536</v>
      </c>
      <c r="H10" s="19">
        <f>F10</f>
        <v>50000000</v>
      </c>
      <c r="I10" s="2" t="s">
        <v>11</v>
      </c>
      <c r="J10" s="5">
        <v>200000</v>
      </c>
      <c r="K10" s="5">
        <f>+J10*6%</f>
        <v>12000</v>
      </c>
      <c r="L10" s="5">
        <f>+J10-K10</f>
        <v>188000</v>
      </c>
      <c r="M10" s="176" t="s">
        <v>455</v>
      </c>
      <c r="N10" s="177"/>
    </row>
    <row r="11" spans="1:14">
      <c r="A11" s="42">
        <v>5</v>
      </c>
      <c r="B11" s="2" t="s">
        <v>560</v>
      </c>
      <c r="C11" s="2" t="s">
        <v>561</v>
      </c>
      <c r="D11" s="2"/>
      <c r="E11" s="2" t="s">
        <v>397</v>
      </c>
      <c r="F11" s="5">
        <v>100000000</v>
      </c>
      <c r="G11" s="2" t="s">
        <v>536</v>
      </c>
      <c r="H11" s="19">
        <f>F11-30986095</f>
        <v>69013905</v>
      </c>
      <c r="I11" s="2" t="s">
        <v>11</v>
      </c>
      <c r="J11" s="5">
        <v>150000</v>
      </c>
      <c r="K11" s="5">
        <f>+J11*6%</f>
        <v>9000</v>
      </c>
      <c r="L11" s="5">
        <f>+J11-K11</f>
        <v>141000</v>
      </c>
      <c r="M11" s="178"/>
      <c r="N11" s="179"/>
    </row>
    <row r="12" spans="1:14">
      <c r="A12" s="156" t="s">
        <v>101</v>
      </c>
      <c r="B12" s="156"/>
      <c r="C12" s="156"/>
      <c r="D12" s="156"/>
      <c r="E12" s="156"/>
      <c r="F12" s="156"/>
      <c r="G12" s="156"/>
      <c r="H12" s="156"/>
      <c r="I12" s="156"/>
      <c r="J12" s="5">
        <f>SUM(J9:J11)</f>
        <v>350000</v>
      </c>
      <c r="K12" s="19">
        <f>SUM(K9:K11)</f>
        <v>21000</v>
      </c>
      <c r="L12" s="19">
        <f>SUM(L10:L11)</f>
        <v>329000</v>
      </c>
      <c r="M12" s="180"/>
      <c r="N12" s="181"/>
    </row>
    <row r="13" spans="1:14">
      <c r="A13" s="100"/>
      <c r="B13" s="100"/>
      <c r="C13" s="100"/>
      <c r="D13" s="100"/>
      <c r="E13" s="100"/>
      <c r="F13" s="100"/>
      <c r="G13" s="100"/>
      <c r="H13" s="100"/>
      <c r="I13" s="100"/>
      <c r="J13" s="5"/>
      <c r="K13" s="19"/>
      <c r="L13" s="19"/>
      <c r="M13" s="108"/>
      <c r="N13" s="109"/>
    </row>
    <row r="14" spans="1:14">
      <c r="A14" s="42">
        <v>6</v>
      </c>
      <c r="B14" s="2" t="s">
        <v>562</v>
      </c>
      <c r="C14" s="2" t="s">
        <v>563</v>
      </c>
      <c r="D14" s="2"/>
      <c r="E14" s="2" t="s">
        <v>415</v>
      </c>
      <c r="F14" s="5">
        <v>200000000</v>
      </c>
      <c r="G14" s="2" t="s">
        <v>564</v>
      </c>
      <c r="H14" s="19">
        <f>F14</f>
        <v>200000000</v>
      </c>
      <c r="I14" s="2" t="s">
        <v>11</v>
      </c>
      <c r="J14" s="5">
        <v>300000</v>
      </c>
      <c r="K14" s="5">
        <f>+J14*6%</f>
        <v>18000</v>
      </c>
      <c r="L14" s="5">
        <f>+J14-K14</f>
        <v>282000</v>
      </c>
      <c r="M14" s="172" t="s">
        <v>549</v>
      </c>
      <c r="N14" s="173"/>
    </row>
    <row r="15" spans="1:14">
      <c r="A15" s="156" t="s">
        <v>101</v>
      </c>
      <c r="B15" s="156"/>
      <c r="C15" s="156"/>
      <c r="D15" s="156"/>
      <c r="E15" s="156"/>
      <c r="F15" s="156"/>
      <c r="G15" s="156"/>
      <c r="H15" s="156"/>
      <c r="I15" s="156"/>
      <c r="J15" s="5"/>
      <c r="K15" s="2"/>
      <c r="L15" s="2"/>
      <c r="M15" s="174"/>
      <c r="N15" s="175"/>
    </row>
    <row r="16" spans="1:14">
      <c r="A16" s="42"/>
      <c r="B16" s="2"/>
      <c r="C16" s="2"/>
      <c r="D16" s="2"/>
      <c r="E16" s="24"/>
      <c r="F16" s="5">
        <f>SUM(F5:F14)</f>
        <v>1272000000</v>
      </c>
      <c r="G16" s="5"/>
      <c r="H16" s="5">
        <f>SUM(H5:H14)</f>
        <v>1241013905</v>
      </c>
      <c r="I16" s="2"/>
      <c r="J16" s="5">
        <f t="shared" ref="J16:K16" si="0">+J14+J12+J8</f>
        <v>3400000</v>
      </c>
      <c r="K16" s="19">
        <f t="shared" si="0"/>
        <v>204000</v>
      </c>
      <c r="L16" s="110">
        <f>+L14+L12+L8</f>
        <v>3196000</v>
      </c>
      <c r="M16" s="111"/>
      <c r="N16" s="112"/>
    </row>
    <row r="18" spans="1:30">
      <c r="A18" t="s">
        <v>565</v>
      </c>
      <c r="B18">
        <v>113005000</v>
      </c>
      <c r="C18" t="s">
        <v>566</v>
      </c>
      <c r="D18">
        <v>1</v>
      </c>
      <c r="E18">
        <v>2021</v>
      </c>
      <c r="F18" t="s">
        <v>567</v>
      </c>
      <c r="G18" t="s">
        <v>568</v>
      </c>
      <c r="H18" t="s">
        <v>569</v>
      </c>
      <c r="I18" t="s">
        <v>570</v>
      </c>
      <c r="J18" t="s">
        <v>425</v>
      </c>
      <c r="K18" t="s">
        <v>571</v>
      </c>
      <c r="L18" t="s">
        <v>572</v>
      </c>
      <c r="M18" s="123">
        <v>44224</v>
      </c>
      <c r="N18" t="s">
        <v>415</v>
      </c>
      <c r="O18" s="8">
        <v>165000000</v>
      </c>
      <c r="AA18" s="123"/>
      <c r="AB18" s="123"/>
      <c r="AD18" s="123"/>
    </row>
    <row r="19" spans="1:30">
      <c r="A19" t="s">
        <v>565</v>
      </c>
      <c r="B19">
        <v>113005000</v>
      </c>
      <c r="C19" t="s">
        <v>566</v>
      </c>
      <c r="D19">
        <v>1</v>
      </c>
      <c r="E19">
        <v>2021</v>
      </c>
      <c r="F19" t="s">
        <v>573</v>
      </c>
      <c r="G19" t="s">
        <v>574</v>
      </c>
      <c r="H19" t="s">
        <v>575</v>
      </c>
      <c r="I19" t="s">
        <v>576</v>
      </c>
      <c r="J19" t="s">
        <v>564</v>
      </c>
      <c r="K19" t="s">
        <v>577</v>
      </c>
      <c r="L19" t="s">
        <v>578</v>
      </c>
      <c r="M19" s="123">
        <v>44208</v>
      </c>
      <c r="N19" t="s">
        <v>392</v>
      </c>
      <c r="O19" s="8">
        <v>30000000</v>
      </c>
      <c r="AA19" s="123"/>
      <c r="AB19" s="123"/>
      <c r="AD19" s="123"/>
    </row>
  </sheetData>
  <mergeCells count="10">
    <mergeCell ref="M14:N15"/>
    <mergeCell ref="A15:I15"/>
    <mergeCell ref="M4:N4"/>
    <mergeCell ref="A2:N2"/>
    <mergeCell ref="M5:N8"/>
    <mergeCell ref="A8:I8"/>
    <mergeCell ref="M9:N9"/>
    <mergeCell ref="A9:I9"/>
    <mergeCell ref="M10:N12"/>
    <mergeCell ref="A12:I12"/>
  </mergeCells>
  <printOptions horizontalCentered="1"/>
  <pageMargins left="0.11811023622047245" right="0.11811023622047245" top="0.35433070866141736" bottom="0.19685039370078741" header="0.31496062992125984" footer="0.31496062992125984"/>
  <pageSetup paperSize="5"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J7" sqref="J7"/>
    </sheetView>
  </sheetViews>
  <sheetFormatPr defaultRowHeight="15"/>
  <cols>
    <col min="1" max="1" width="5.42578125" style="78" customWidth="1"/>
    <col min="2" max="2" width="23.7109375" bestFit="1" customWidth="1"/>
    <col min="3" max="3" width="14.5703125" bestFit="1" customWidth="1"/>
    <col min="4" max="4" width="12.7109375" hidden="1" customWidth="1"/>
    <col min="5" max="5" width="7.7109375" style="93" customWidth="1"/>
    <col min="6" max="6" width="14.28515625" style="8" bestFit="1" customWidth="1"/>
    <col min="7" max="7" width="27" customWidth="1"/>
    <col min="8" max="8" width="14.28515625" bestFit="1" customWidth="1"/>
    <col min="9" max="9" width="11.5703125" bestFit="1" customWidth="1"/>
    <col min="11" max="11" width="10.5703125" bestFit="1" customWidth="1"/>
    <col min="12" max="13" width="9.140625" style="58"/>
  </cols>
  <sheetData>
    <row r="1" spans="1:13">
      <c r="A1" s="88"/>
      <c r="B1" s="21"/>
      <c r="C1" s="21"/>
      <c r="D1" s="21"/>
      <c r="E1" s="91"/>
      <c r="F1" s="90"/>
      <c r="G1" s="21"/>
      <c r="H1" s="21"/>
      <c r="I1" s="21"/>
      <c r="J1" s="21"/>
      <c r="K1" s="21"/>
      <c r="L1" s="97"/>
      <c r="M1" s="97"/>
    </row>
    <row r="2" spans="1:13">
      <c r="A2" s="88"/>
      <c r="B2" s="21"/>
      <c r="C2" s="21"/>
      <c r="D2" s="21"/>
      <c r="E2" s="91"/>
      <c r="F2" s="90"/>
      <c r="G2" s="21"/>
      <c r="H2" s="21"/>
      <c r="I2" s="21"/>
      <c r="J2" s="21"/>
      <c r="K2" s="21"/>
      <c r="L2" s="97"/>
      <c r="M2" s="97"/>
    </row>
    <row r="3" spans="1:13" ht="18.75">
      <c r="A3" s="160" t="s">
        <v>550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 ht="18.7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98"/>
      <c r="M4" s="98"/>
    </row>
    <row r="5" spans="1:13" ht="18.7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99"/>
      <c r="M5" s="99"/>
    </row>
    <row r="6" spans="1:13" s="77" customFormat="1">
      <c r="A6" s="94" t="s">
        <v>111</v>
      </c>
      <c r="B6" s="94" t="s">
        <v>2</v>
      </c>
      <c r="C6" s="94" t="s">
        <v>3</v>
      </c>
      <c r="D6" s="94" t="s">
        <v>4</v>
      </c>
      <c r="E6" s="95" t="s">
        <v>5</v>
      </c>
      <c r="F6" s="96" t="s">
        <v>6</v>
      </c>
      <c r="G6" s="96" t="s">
        <v>7</v>
      </c>
      <c r="H6" s="96" t="s">
        <v>8</v>
      </c>
      <c r="I6" s="94" t="s">
        <v>95</v>
      </c>
      <c r="J6" s="96" t="s">
        <v>96</v>
      </c>
      <c r="K6" s="96" t="s">
        <v>97</v>
      </c>
      <c r="L6" s="188" t="s">
        <v>98</v>
      </c>
      <c r="M6" s="189"/>
    </row>
    <row r="7" spans="1:13">
      <c r="A7" s="42">
        <v>1</v>
      </c>
      <c r="B7" s="2" t="s">
        <v>537</v>
      </c>
      <c r="C7" s="20" t="s">
        <v>538</v>
      </c>
      <c r="D7" s="2"/>
      <c r="E7" s="92">
        <v>0.09</v>
      </c>
      <c r="F7" s="5">
        <v>360000000</v>
      </c>
      <c r="G7" s="2" t="s">
        <v>80</v>
      </c>
      <c r="H7" s="19">
        <f>F7</f>
        <v>360000000</v>
      </c>
      <c r="I7" s="5">
        <v>1000000</v>
      </c>
      <c r="J7" s="5">
        <f>+I7*6%</f>
        <v>60000</v>
      </c>
      <c r="K7" s="5">
        <f>+I7-J7</f>
        <v>940000</v>
      </c>
      <c r="L7" s="187" t="s">
        <v>323</v>
      </c>
      <c r="M7" s="187"/>
    </row>
    <row r="8" spans="1:13">
      <c r="A8" s="42">
        <v>2</v>
      </c>
      <c r="B8" s="2" t="s">
        <v>539</v>
      </c>
      <c r="C8" s="2" t="s">
        <v>540</v>
      </c>
      <c r="D8" s="2"/>
      <c r="E8" s="92">
        <v>0.1</v>
      </c>
      <c r="F8" s="5">
        <v>142000000</v>
      </c>
      <c r="G8" s="2" t="s">
        <v>80</v>
      </c>
      <c r="H8" s="19">
        <v>142000000</v>
      </c>
      <c r="I8" s="5">
        <v>500000</v>
      </c>
      <c r="J8" s="5">
        <f>+I8*6%</f>
        <v>30000</v>
      </c>
      <c r="K8" s="5">
        <f>+I8-J8</f>
        <v>470000</v>
      </c>
      <c r="L8" s="187"/>
      <c r="M8" s="187"/>
    </row>
    <row r="9" spans="1:13">
      <c r="A9" s="42">
        <v>1</v>
      </c>
      <c r="B9" s="2"/>
      <c r="C9" s="2"/>
      <c r="D9" s="2"/>
      <c r="E9" s="92"/>
      <c r="F9" s="5"/>
      <c r="G9" s="2"/>
      <c r="H9" s="19">
        <f>F9</f>
        <v>0</v>
      </c>
      <c r="I9" s="5"/>
      <c r="J9" s="5">
        <f>+I9*6%</f>
        <v>0</v>
      </c>
      <c r="K9" s="5">
        <f>+I9-J9</f>
        <v>0</v>
      </c>
      <c r="L9" s="187"/>
      <c r="M9" s="187"/>
    </row>
    <row r="10" spans="1:13">
      <c r="A10" s="156" t="s">
        <v>101</v>
      </c>
      <c r="B10" s="156"/>
      <c r="C10" s="156"/>
      <c r="D10" s="156"/>
      <c r="E10" s="156"/>
      <c r="F10" s="156"/>
      <c r="G10" s="156"/>
      <c r="H10" s="156"/>
      <c r="I10" s="37">
        <f>SUM(I7:I9)</f>
        <v>1500000</v>
      </c>
      <c r="J10" s="37">
        <f t="shared" ref="J10:K10" si="0">SUM(J7:J9)</f>
        <v>90000</v>
      </c>
      <c r="K10" s="37">
        <f t="shared" si="0"/>
        <v>1410000</v>
      </c>
      <c r="L10" s="187"/>
      <c r="M10" s="187"/>
    </row>
    <row r="11" spans="1:13">
      <c r="A11" s="74"/>
      <c r="B11" s="74"/>
      <c r="C11" s="74"/>
      <c r="D11" s="74"/>
      <c r="E11" s="74"/>
      <c r="F11" s="74"/>
      <c r="G11" s="74"/>
      <c r="H11" s="74"/>
      <c r="I11" s="5"/>
      <c r="J11" s="5"/>
      <c r="K11" s="5"/>
      <c r="L11" s="79"/>
      <c r="M11" s="79"/>
    </row>
    <row r="12" spans="1:13">
      <c r="A12" s="42">
        <v>3</v>
      </c>
      <c r="B12" s="2" t="s">
        <v>541</v>
      </c>
      <c r="C12" s="2" t="s">
        <v>542</v>
      </c>
      <c r="D12" s="2"/>
      <c r="E12" s="92">
        <v>0.11</v>
      </c>
      <c r="F12" s="5">
        <v>50000000</v>
      </c>
      <c r="G12" s="2" t="s">
        <v>536</v>
      </c>
      <c r="H12" s="19">
        <v>74185272</v>
      </c>
      <c r="I12" s="5">
        <v>200000</v>
      </c>
      <c r="J12" s="5">
        <f>+I12*6%</f>
        <v>12000</v>
      </c>
      <c r="K12" s="5">
        <f>+I12-J12</f>
        <v>188000</v>
      </c>
      <c r="L12" s="187" t="s">
        <v>455</v>
      </c>
      <c r="M12" s="187"/>
    </row>
    <row r="13" spans="1:13">
      <c r="A13" s="156" t="s">
        <v>101</v>
      </c>
      <c r="B13" s="156"/>
      <c r="C13" s="156"/>
      <c r="D13" s="156"/>
      <c r="E13" s="156"/>
      <c r="F13" s="156"/>
      <c r="G13" s="156"/>
      <c r="H13" s="156"/>
      <c r="I13" s="37">
        <f>SUM(I12)</f>
        <v>200000</v>
      </c>
      <c r="J13" s="37">
        <f t="shared" ref="J13:K13" si="1">SUM(J12)</f>
        <v>12000</v>
      </c>
      <c r="K13" s="37">
        <f t="shared" si="1"/>
        <v>188000</v>
      </c>
      <c r="L13" s="187"/>
      <c r="M13" s="187"/>
    </row>
    <row r="14" spans="1:13">
      <c r="A14" s="42"/>
      <c r="B14" s="2"/>
      <c r="C14" s="2"/>
      <c r="D14" s="2"/>
      <c r="E14" s="92"/>
      <c r="F14" s="5"/>
      <c r="G14" s="2"/>
      <c r="H14" s="19"/>
      <c r="I14" s="2"/>
      <c r="J14" s="2"/>
      <c r="K14" s="2"/>
      <c r="L14" s="56"/>
      <c r="M14" s="56"/>
    </row>
    <row r="15" spans="1:13">
      <c r="A15" s="42">
        <v>4</v>
      </c>
      <c r="B15" s="2" t="s">
        <v>543</v>
      </c>
      <c r="C15" s="2" t="s">
        <v>544</v>
      </c>
      <c r="D15" s="2"/>
      <c r="E15" s="92">
        <v>0.09</v>
      </c>
      <c r="F15" s="5">
        <v>230000000</v>
      </c>
      <c r="G15" s="2" t="s">
        <v>81</v>
      </c>
      <c r="H15" s="19">
        <v>230000000</v>
      </c>
      <c r="I15" s="5">
        <v>400000</v>
      </c>
      <c r="J15" s="5">
        <f>+I15*6%</f>
        <v>24000</v>
      </c>
      <c r="K15" s="5">
        <f>+I15-J15</f>
        <v>376000</v>
      </c>
      <c r="L15" s="187" t="s">
        <v>548</v>
      </c>
      <c r="M15" s="187"/>
    </row>
    <row r="16" spans="1:13">
      <c r="A16" s="42">
        <v>5</v>
      </c>
      <c r="B16" s="2" t="str">
        <f>+B15</f>
        <v>SUKARNO</v>
      </c>
      <c r="C16" s="2" t="s">
        <v>545</v>
      </c>
      <c r="D16" s="2"/>
      <c r="E16" s="92">
        <v>0.09</v>
      </c>
      <c r="F16" s="5">
        <v>50000000</v>
      </c>
      <c r="G16" s="2" t="str">
        <f>+G15</f>
        <v>DISPERINDAGKOP KOTA</v>
      </c>
      <c r="H16" s="19">
        <v>50000000</v>
      </c>
      <c r="I16" s="5">
        <v>100000</v>
      </c>
      <c r="J16" s="5">
        <f>+I16*6%</f>
        <v>6000</v>
      </c>
      <c r="K16" s="5">
        <f>+I16-J16</f>
        <v>94000</v>
      </c>
      <c r="L16" s="187"/>
      <c r="M16" s="187"/>
    </row>
    <row r="17" spans="1:13">
      <c r="A17" s="156" t="s">
        <v>101</v>
      </c>
      <c r="B17" s="156"/>
      <c r="C17" s="156"/>
      <c r="D17" s="156"/>
      <c r="E17" s="156"/>
      <c r="F17" s="156"/>
      <c r="G17" s="156"/>
      <c r="H17" s="156"/>
      <c r="I17" s="37">
        <f>SUM(I15:I16)</f>
        <v>500000</v>
      </c>
      <c r="J17" s="37">
        <f>SUM(J15:J16)</f>
        <v>30000</v>
      </c>
      <c r="K17" s="37">
        <f>SUM(K15:K16)</f>
        <v>470000</v>
      </c>
      <c r="L17" s="187"/>
      <c r="M17" s="187"/>
    </row>
    <row r="18" spans="1:13">
      <c r="A18" s="74"/>
      <c r="B18" s="74"/>
      <c r="C18" s="74"/>
      <c r="D18" s="74"/>
      <c r="E18" s="74"/>
      <c r="F18" s="74"/>
      <c r="G18" s="74"/>
      <c r="H18" s="74"/>
      <c r="I18" s="37"/>
      <c r="J18" s="37"/>
      <c r="K18" s="37"/>
      <c r="L18" s="79"/>
      <c r="M18" s="79"/>
    </row>
    <row r="19" spans="1:13">
      <c r="A19" s="42">
        <v>6</v>
      </c>
      <c r="B19" s="2" t="s">
        <v>546</v>
      </c>
      <c r="C19" s="2" t="s">
        <v>547</v>
      </c>
      <c r="D19" s="2"/>
      <c r="E19" s="92">
        <v>0.11</v>
      </c>
      <c r="F19" s="5">
        <v>130000000</v>
      </c>
      <c r="G19" s="2" t="s">
        <v>91</v>
      </c>
      <c r="H19" s="19">
        <v>70029179</v>
      </c>
      <c r="I19" s="5">
        <v>100000</v>
      </c>
      <c r="J19" s="5">
        <f>+I19*6%</f>
        <v>6000</v>
      </c>
      <c r="K19" s="5">
        <f>+I19-J19</f>
        <v>94000</v>
      </c>
      <c r="L19" s="187" t="s">
        <v>549</v>
      </c>
      <c r="M19" s="187"/>
    </row>
    <row r="20" spans="1:13">
      <c r="A20" s="156" t="s">
        <v>101</v>
      </c>
      <c r="B20" s="156"/>
      <c r="C20" s="156"/>
      <c r="D20" s="156"/>
      <c r="E20" s="156"/>
      <c r="F20" s="156"/>
      <c r="G20" s="156"/>
      <c r="H20" s="156"/>
      <c r="I20" s="37">
        <f>SUM(I19)</f>
        <v>100000</v>
      </c>
      <c r="J20" s="37">
        <f t="shared" ref="J20:K20" si="2">SUM(J19)</f>
        <v>6000</v>
      </c>
      <c r="K20" s="37">
        <f t="shared" si="2"/>
        <v>94000</v>
      </c>
      <c r="L20" s="187"/>
      <c r="M20" s="187"/>
    </row>
    <row r="21" spans="1:13">
      <c r="A21" s="156" t="s">
        <v>324</v>
      </c>
      <c r="B21" s="156"/>
      <c r="C21" s="156"/>
      <c r="D21" s="156"/>
      <c r="E21" s="156"/>
      <c r="F21" s="156"/>
      <c r="G21" s="156"/>
      <c r="H21" s="156"/>
      <c r="I21" s="25">
        <f>+I13+I10+I17+I20</f>
        <v>2300000</v>
      </c>
      <c r="J21" s="25">
        <f>+J13+J10+J17+J20</f>
        <v>138000</v>
      </c>
      <c r="K21" s="25">
        <f>+K13+K10+K17+K20</f>
        <v>2162000</v>
      </c>
      <c r="L21" s="56"/>
      <c r="M21" s="56"/>
    </row>
  </sheetData>
  <mergeCells count="11">
    <mergeCell ref="L6:M6"/>
    <mergeCell ref="A3:M3"/>
    <mergeCell ref="L7:M10"/>
    <mergeCell ref="A10:H10"/>
    <mergeCell ref="L12:M13"/>
    <mergeCell ref="A13:H13"/>
    <mergeCell ref="A21:H21"/>
    <mergeCell ref="L15:M17"/>
    <mergeCell ref="A17:H17"/>
    <mergeCell ref="L19:M20"/>
    <mergeCell ref="A20:H20"/>
  </mergeCells>
  <printOptions horizontalCentered="1"/>
  <pageMargins left="0.11811023622047245" right="0.11811023622047245" top="0.35433070866141736" bottom="0.19685039370078741" header="0.31496062992125984" footer="0.31496062992125984"/>
  <pageSetup paperSize="5"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4" sqref="A4:XFD4"/>
    </sheetView>
  </sheetViews>
  <sheetFormatPr defaultRowHeight="15"/>
  <cols>
    <col min="1" max="1" width="5.42578125" style="67" customWidth="1"/>
    <col min="2" max="2" width="14.42578125" bestFit="1" customWidth="1"/>
    <col min="3" max="3" width="14.5703125" bestFit="1" customWidth="1"/>
    <col min="4" max="4" width="12.7109375" hidden="1" customWidth="1"/>
    <col min="5" max="5" width="7.7109375" style="80" customWidth="1"/>
    <col min="6" max="6" width="14.28515625" style="8" bestFit="1" customWidth="1"/>
    <col min="7" max="7" width="33.85546875" bestFit="1" customWidth="1"/>
    <col min="8" max="8" width="14.28515625" bestFit="1" customWidth="1"/>
    <col min="9" max="9" width="11.5703125" bestFit="1" customWidth="1"/>
  </cols>
  <sheetData>
    <row r="1" spans="1:13">
      <c r="A1" s="88"/>
      <c r="B1" s="21"/>
      <c r="C1" s="21"/>
      <c r="D1" s="21"/>
      <c r="E1" s="89"/>
      <c r="F1" s="90"/>
      <c r="G1" s="21"/>
      <c r="H1" s="21"/>
      <c r="I1" s="21"/>
      <c r="J1" s="21"/>
      <c r="K1" s="21"/>
      <c r="L1" s="21"/>
      <c r="M1" s="21"/>
    </row>
    <row r="2" spans="1:13">
      <c r="A2" s="88"/>
      <c r="B2" s="21"/>
      <c r="C2" s="21"/>
      <c r="D2" s="21"/>
      <c r="E2" s="89"/>
      <c r="F2" s="90"/>
      <c r="G2" s="21"/>
      <c r="H2" s="21"/>
      <c r="I2" s="21"/>
      <c r="J2" s="21"/>
      <c r="K2" s="21"/>
      <c r="L2" s="21"/>
      <c r="M2" s="21"/>
    </row>
    <row r="3" spans="1:13" ht="18.75">
      <c r="A3" s="160" t="s">
        <v>457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 ht="18.7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ht="18.7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>
      <c r="A6" s="81" t="s">
        <v>111</v>
      </c>
      <c r="B6" s="22" t="s">
        <v>2</v>
      </c>
      <c r="C6" s="82" t="s">
        <v>3</v>
      </c>
      <c r="D6" s="22" t="s">
        <v>4</v>
      </c>
      <c r="E6" s="83" t="s">
        <v>5</v>
      </c>
      <c r="F6" s="84" t="s">
        <v>6</v>
      </c>
      <c r="G6" s="84" t="s">
        <v>7</v>
      </c>
      <c r="H6" s="85" t="s">
        <v>8</v>
      </c>
      <c r="I6" s="86" t="s">
        <v>95</v>
      </c>
      <c r="J6" s="85" t="s">
        <v>96</v>
      </c>
      <c r="K6" s="85" t="s">
        <v>97</v>
      </c>
      <c r="L6" s="85" t="s">
        <v>98</v>
      </c>
      <c r="M6" s="87"/>
    </row>
    <row r="7" spans="1:13">
      <c r="A7" s="42">
        <v>1</v>
      </c>
      <c r="B7" s="2" t="s">
        <v>527</v>
      </c>
      <c r="C7" s="2" t="s">
        <v>528</v>
      </c>
      <c r="D7" s="2"/>
      <c r="E7" s="24" t="s">
        <v>424</v>
      </c>
      <c r="F7" s="5">
        <v>150000000</v>
      </c>
      <c r="G7" s="2" t="s">
        <v>529</v>
      </c>
      <c r="H7" s="19">
        <f>F7</f>
        <v>150000000</v>
      </c>
      <c r="I7" s="5">
        <v>200000</v>
      </c>
      <c r="J7" s="5">
        <f>+I7*6%</f>
        <v>12000</v>
      </c>
      <c r="K7" s="5">
        <f>+I7-J7</f>
        <v>188000</v>
      </c>
      <c r="L7" s="187" t="s">
        <v>454</v>
      </c>
      <c r="M7" s="187"/>
    </row>
    <row r="8" spans="1:13">
      <c r="A8" s="42">
        <v>2</v>
      </c>
      <c r="B8" s="2" t="s">
        <v>530</v>
      </c>
      <c r="C8" s="2" t="s">
        <v>531</v>
      </c>
      <c r="D8" s="2"/>
      <c r="E8" s="24" t="s">
        <v>397</v>
      </c>
      <c r="F8" s="5">
        <v>250000000</v>
      </c>
      <c r="G8" s="2" t="s">
        <v>529</v>
      </c>
      <c r="H8" s="19">
        <f>F8-91784586</f>
        <v>158215414</v>
      </c>
      <c r="I8" s="5">
        <v>150000</v>
      </c>
      <c r="J8" s="5">
        <f>+I8*6%</f>
        <v>9000</v>
      </c>
      <c r="K8" s="5">
        <f>+I8-J8</f>
        <v>141000</v>
      </c>
      <c r="L8" s="187"/>
      <c r="M8" s="187"/>
    </row>
    <row r="9" spans="1:13">
      <c r="A9" s="42">
        <v>3</v>
      </c>
      <c r="B9" s="2" t="s">
        <v>532</v>
      </c>
      <c r="C9" s="2" t="s">
        <v>533</v>
      </c>
      <c r="D9" s="2"/>
      <c r="E9" s="24" t="s">
        <v>397</v>
      </c>
      <c r="F9" s="5">
        <v>10000000</v>
      </c>
      <c r="G9" s="2" t="s">
        <v>529</v>
      </c>
      <c r="H9" s="19">
        <f>F9</f>
        <v>10000000</v>
      </c>
      <c r="I9" s="5">
        <v>50000</v>
      </c>
      <c r="J9" s="5">
        <f>+I9*6%</f>
        <v>3000</v>
      </c>
      <c r="K9" s="5">
        <f>+I9-J9</f>
        <v>47000</v>
      </c>
      <c r="L9" s="187"/>
      <c r="M9" s="187"/>
    </row>
    <row r="10" spans="1:13">
      <c r="A10" s="156" t="s">
        <v>101</v>
      </c>
      <c r="B10" s="156"/>
      <c r="C10" s="156"/>
      <c r="D10" s="156"/>
      <c r="E10" s="156"/>
      <c r="F10" s="156"/>
      <c r="G10" s="156"/>
      <c r="H10" s="156"/>
      <c r="I10" s="37">
        <f>SUM(I7:I9)</f>
        <v>400000</v>
      </c>
      <c r="J10" s="37">
        <f t="shared" ref="J10:K10" si="0">SUM(J7:J9)</f>
        <v>24000</v>
      </c>
      <c r="K10" s="37">
        <f t="shared" si="0"/>
        <v>376000</v>
      </c>
      <c r="L10" s="187"/>
      <c r="M10" s="187"/>
    </row>
    <row r="11" spans="1:13">
      <c r="A11" s="64"/>
      <c r="B11" s="64"/>
      <c r="C11" s="64"/>
      <c r="D11" s="64"/>
      <c r="E11" s="64"/>
      <c r="F11" s="64"/>
      <c r="G11" s="64"/>
      <c r="H11" s="64"/>
      <c r="I11" s="5"/>
      <c r="J11" s="5"/>
      <c r="K11" s="5"/>
      <c r="L11" s="68"/>
      <c r="M11" s="68"/>
    </row>
    <row r="12" spans="1:13">
      <c r="A12" s="42">
        <v>4</v>
      </c>
      <c r="B12" s="2" t="s">
        <v>534</v>
      </c>
      <c r="C12" s="2" t="s">
        <v>535</v>
      </c>
      <c r="D12" s="2"/>
      <c r="E12" s="24" t="s">
        <v>424</v>
      </c>
      <c r="F12" s="5">
        <v>50000000</v>
      </c>
      <c r="G12" s="2" t="s">
        <v>536</v>
      </c>
      <c r="H12" s="19">
        <f>F12</f>
        <v>50000000</v>
      </c>
      <c r="I12" s="5">
        <v>200000</v>
      </c>
      <c r="J12" s="5">
        <f>+I12*6%</f>
        <v>12000</v>
      </c>
      <c r="K12" s="5">
        <f>+I12-J12</f>
        <v>188000</v>
      </c>
      <c r="L12" s="190" t="s">
        <v>455</v>
      </c>
      <c r="M12" s="190"/>
    </row>
    <row r="13" spans="1:13">
      <c r="A13" s="156" t="s">
        <v>101</v>
      </c>
      <c r="B13" s="156"/>
      <c r="C13" s="156"/>
      <c r="D13" s="156"/>
      <c r="E13" s="156"/>
      <c r="F13" s="156"/>
      <c r="G13" s="156"/>
      <c r="H13" s="156"/>
      <c r="I13" s="37">
        <f>SUM(I12)</f>
        <v>200000</v>
      </c>
      <c r="J13" s="37">
        <f t="shared" ref="J13:K13" si="1">SUM(J12)</f>
        <v>12000</v>
      </c>
      <c r="K13" s="37">
        <f t="shared" si="1"/>
        <v>188000</v>
      </c>
      <c r="L13" s="190"/>
      <c r="M13" s="190"/>
    </row>
    <row r="14" spans="1:13">
      <c r="A14" s="42"/>
      <c r="B14" s="2"/>
      <c r="C14" s="2"/>
      <c r="D14" s="2"/>
      <c r="E14" s="24"/>
      <c r="F14" s="5"/>
      <c r="G14" s="2"/>
      <c r="H14" s="19"/>
      <c r="I14" s="2"/>
      <c r="J14" s="2"/>
      <c r="K14" s="2"/>
      <c r="L14" s="2"/>
      <c r="M14" s="2"/>
    </row>
    <row r="15" spans="1:13">
      <c r="A15" s="156" t="s">
        <v>324</v>
      </c>
      <c r="B15" s="156"/>
      <c r="C15" s="156"/>
      <c r="D15" s="156"/>
      <c r="E15" s="156"/>
      <c r="F15" s="156"/>
      <c r="G15" s="156"/>
      <c r="H15" s="156"/>
      <c r="I15" s="25">
        <f>+I13+I10</f>
        <v>600000</v>
      </c>
      <c r="J15" s="25">
        <f>+J13+J10</f>
        <v>36000</v>
      </c>
      <c r="K15" s="25">
        <f>+K13+K10</f>
        <v>564000</v>
      </c>
      <c r="L15" s="2"/>
      <c r="M15" s="2"/>
    </row>
  </sheetData>
  <mergeCells count="6">
    <mergeCell ref="A3:M3"/>
    <mergeCell ref="A15:H15"/>
    <mergeCell ref="L12:M13"/>
    <mergeCell ref="A13:H13"/>
    <mergeCell ref="L7:M10"/>
    <mergeCell ref="A10:H10"/>
  </mergeCells>
  <printOptions horizontalCentered="1"/>
  <pageMargins left="0.11811023622047245" right="0.11811023622047245" top="0.35433070866141736" bottom="0.19685039370078741" header="0.31496062992125984" footer="0.31496062992125984"/>
  <pageSetup paperSize="5" scale="7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51"/>
  <sheetViews>
    <sheetView view="pageBreakPreview" zoomScale="85" zoomScaleNormal="70" zoomScaleSheetLayoutView="85" workbookViewId="0">
      <selection activeCell="G60" sqref="G60"/>
    </sheetView>
  </sheetViews>
  <sheetFormatPr defaultRowHeight="15"/>
  <cols>
    <col min="1" max="1" width="5.42578125" style="53" customWidth="1"/>
    <col min="2" max="2" width="26" bestFit="1" customWidth="1"/>
    <col min="3" max="3" width="10" bestFit="1" customWidth="1"/>
    <col min="4" max="4" width="12.7109375" hidden="1" customWidth="1"/>
    <col min="5" max="5" width="9.140625" hidden="1" customWidth="1"/>
    <col min="6" max="6" width="14.28515625" style="8" bestFit="1" customWidth="1"/>
    <col min="7" max="7" width="26.7109375" bestFit="1" customWidth="1"/>
    <col min="8" max="8" width="14.28515625" bestFit="1" customWidth="1"/>
    <col min="9" max="9" width="0" hidden="1" customWidth="1"/>
    <col min="10" max="12" width="9.140625" style="8"/>
  </cols>
  <sheetData>
    <row r="2" spans="1:15" s="21" customFormat="1" ht="18.75">
      <c r="A2" s="160" t="s">
        <v>457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15" s="21" customFormat="1" ht="18.7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5" ht="18.7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s="72" customFormat="1" ht="31.5" customHeight="1">
      <c r="A5" s="69" t="s">
        <v>111</v>
      </c>
      <c r="B5" s="69" t="s">
        <v>311</v>
      </c>
      <c r="C5" s="69" t="s">
        <v>3</v>
      </c>
      <c r="D5" s="69" t="s">
        <v>4</v>
      </c>
      <c r="E5" s="70" t="s">
        <v>5</v>
      </c>
      <c r="F5" s="71" t="s">
        <v>314</v>
      </c>
      <c r="G5" s="71" t="s">
        <v>523</v>
      </c>
      <c r="H5" s="71" t="s">
        <v>524</v>
      </c>
      <c r="I5" s="71" t="s">
        <v>94</v>
      </c>
      <c r="J5" s="69" t="s">
        <v>525</v>
      </c>
      <c r="K5" s="71" t="s">
        <v>318</v>
      </c>
      <c r="L5" s="71" t="s">
        <v>526</v>
      </c>
      <c r="M5" s="197" t="s">
        <v>320</v>
      </c>
      <c r="N5" s="198"/>
      <c r="O5" s="73">
        <v>6</v>
      </c>
    </row>
    <row r="6" spans="1:15">
      <c r="A6" s="42">
        <v>1</v>
      </c>
      <c r="B6" s="2" t="s">
        <v>458</v>
      </c>
      <c r="C6" s="20" t="s">
        <v>459</v>
      </c>
      <c r="D6" s="2"/>
      <c r="E6" s="2"/>
      <c r="F6" s="63">
        <v>100000000</v>
      </c>
      <c r="G6" s="2" t="s">
        <v>91</v>
      </c>
      <c r="H6" s="19">
        <f>F6</f>
        <v>100000000</v>
      </c>
      <c r="I6" s="2"/>
      <c r="J6" s="5">
        <v>200000</v>
      </c>
      <c r="K6" s="5">
        <f>+J6*$O$5/100</f>
        <v>12000</v>
      </c>
      <c r="L6" s="5">
        <f>++J6-K6</f>
        <v>188000</v>
      </c>
      <c r="M6" s="172" t="s">
        <v>453</v>
      </c>
      <c r="N6" s="173"/>
    </row>
    <row r="7" spans="1:15">
      <c r="A7" s="156" t="s">
        <v>101</v>
      </c>
      <c r="B7" s="156"/>
      <c r="C7" s="156"/>
      <c r="D7" s="156"/>
      <c r="E7" s="156"/>
      <c r="F7" s="156"/>
      <c r="G7" s="156"/>
      <c r="H7" s="156"/>
      <c r="I7" s="156"/>
      <c r="J7" s="5"/>
      <c r="K7" s="5"/>
      <c r="L7" s="5"/>
      <c r="M7" s="185"/>
      <c r="N7" s="186"/>
    </row>
    <row r="8" spans="1:15" hidden="1">
      <c r="A8" s="42" t="s">
        <v>109</v>
      </c>
      <c r="B8" s="2" t="s">
        <v>460</v>
      </c>
      <c r="C8" s="2" t="s">
        <v>461</v>
      </c>
      <c r="D8" s="2"/>
      <c r="E8" s="2"/>
      <c r="F8" s="5">
        <v>150000000</v>
      </c>
      <c r="G8" s="2" t="s">
        <v>90</v>
      </c>
      <c r="H8" s="19">
        <f>F8-116504571</f>
        <v>33495429</v>
      </c>
      <c r="I8" s="2"/>
      <c r="J8" s="5"/>
      <c r="K8" s="5"/>
      <c r="L8" s="5"/>
      <c r="M8" s="193"/>
      <c r="N8" s="194"/>
    </row>
    <row r="9" spans="1:15" hidden="1">
      <c r="A9" s="42">
        <v>3</v>
      </c>
      <c r="B9" s="2" t="s">
        <v>462</v>
      </c>
      <c r="C9" s="2" t="s">
        <v>463</v>
      </c>
      <c r="D9" s="2"/>
      <c r="E9" s="2"/>
      <c r="F9" s="5">
        <v>90000000</v>
      </c>
      <c r="G9" s="2" t="s">
        <v>90</v>
      </c>
      <c r="H9" s="19">
        <f>F9</f>
        <v>90000000</v>
      </c>
      <c r="I9" s="2"/>
      <c r="J9" s="5"/>
      <c r="K9" s="5"/>
      <c r="L9" s="5"/>
      <c r="M9" s="195"/>
      <c r="N9" s="196"/>
    </row>
    <row r="10" spans="1:15" hidden="1">
      <c r="A10" s="42">
        <v>4</v>
      </c>
      <c r="B10" s="2" t="s">
        <v>464</v>
      </c>
      <c r="C10" s="20" t="s">
        <v>465</v>
      </c>
      <c r="D10" s="2"/>
      <c r="E10" s="2"/>
      <c r="F10" s="5">
        <v>70000000</v>
      </c>
      <c r="G10" s="2" t="s">
        <v>82</v>
      </c>
      <c r="H10" s="19">
        <f>F10</f>
        <v>70000000</v>
      </c>
      <c r="I10" s="2"/>
      <c r="J10" s="5"/>
      <c r="K10" s="5"/>
      <c r="L10" s="5"/>
      <c r="M10" s="195"/>
      <c r="N10" s="196"/>
    </row>
    <row r="11" spans="1:15" hidden="1">
      <c r="A11" s="42">
        <v>5</v>
      </c>
      <c r="B11" s="2" t="s">
        <v>466</v>
      </c>
      <c r="C11" s="20" t="s">
        <v>467</v>
      </c>
      <c r="D11" s="2"/>
      <c r="E11" s="2"/>
      <c r="F11" s="5">
        <v>160000000</v>
      </c>
      <c r="G11" s="2" t="s">
        <v>93</v>
      </c>
      <c r="H11" s="19">
        <f>F11</f>
        <v>160000000</v>
      </c>
      <c r="I11" s="2"/>
      <c r="J11" s="5"/>
      <c r="K11" s="5"/>
      <c r="L11" s="5"/>
      <c r="M11" s="195"/>
      <c r="N11" s="196"/>
    </row>
    <row r="12" spans="1:15" hidden="1">
      <c r="A12" s="156" t="s">
        <v>101</v>
      </c>
      <c r="B12" s="156"/>
      <c r="C12" s="156"/>
      <c r="D12" s="156"/>
      <c r="E12" s="156"/>
      <c r="F12" s="156"/>
      <c r="G12" s="156"/>
      <c r="H12" s="156"/>
      <c r="I12" s="156"/>
      <c r="J12" s="5"/>
      <c r="K12" s="5"/>
      <c r="L12" s="5"/>
      <c r="M12" s="170"/>
      <c r="N12" s="171"/>
    </row>
    <row r="13" spans="1:15">
      <c r="A13" s="42">
        <v>2</v>
      </c>
      <c r="B13" s="2" t="s">
        <v>468</v>
      </c>
      <c r="C13" s="20" t="s">
        <v>469</v>
      </c>
      <c r="D13" s="2"/>
      <c r="E13" s="2"/>
      <c r="F13" s="5">
        <v>110000000</v>
      </c>
      <c r="G13" s="2" t="s">
        <v>86</v>
      </c>
      <c r="H13" s="19">
        <f>F13</f>
        <v>110000000</v>
      </c>
      <c r="I13" s="2"/>
      <c r="J13" s="5">
        <v>200000</v>
      </c>
      <c r="K13" s="5">
        <f>+J13*$O$5/100</f>
        <v>12000</v>
      </c>
      <c r="L13" s="5">
        <f>++J13-K13</f>
        <v>188000</v>
      </c>
      <c r="M13" s="164" t="s">
        <v>454</v>
      </c>
      <c r="N13" s="165"/>
    </row>
    <row r="14" spans="1:15">
      <c r="A14" s="156" t="s">
        <v>101</v>
      </c>
      <c r="B14" s="156"/>
      <c r="C14" s="156"/>
      <c r="D14" s="156"/>
      <c r="E14" s="156"/>
      <c r="F14" s="156"/>
      <c r="G14" s="156"/>
      <c r="H14" s="156"/>
      <c r="I14" s="156"/>
      <c r="J14" s="5"/>
      <c r="K14" s="5"/>
      <c r="L14" s="5"/>
      <c r="M14" s="168"/>
      <c r="N14" s="169"/>
    </row>
    <row r="15" spans="1:15" ht="15" hidden="1" customHeight="1">
      <c r="A15" s="42">
        <v>7</v>
      </c>
      <c r="B15" s="2" t="s">
        <v>470</v>
      </c>
      <c r="C15" s="20" t="s">
        <v>471</v>
      </c>
      <c r="D15" s="2"/>
      <c r="E15" s="2"/>
      <c r="F15" s="5">
        <v>200000000</v>
      </c>
      <c r="G15" s="2" t="s">
        <v>81</v>
      </c>
      <c r="H15" s="19">
        <f>F15-111121958</f>
        <v>88878042</v>
      </c>
      <c r="I15" s="2"/>
      <c r="J15" s="5"/>
      <c r="K15" s="5"/>
      <c r="L15" s="5"/>
      <c r="M15" s="193"/>
      <c r="N15" s="194"/>
    </row>
    <row r="16" spans="1:15" ht="15" hidden="1" customHeight="1">
      <c r="A16" s="156" t="s">
        <v>101</v>
      </c>
      <c r="B16" s="156"/>
      <c r="C16" s="156"/>
      <c r="D16" s="156"/>
      <c r="E16" s="156"/>
      <c r="F16" s="156"/>
      <c r="G16" s="156"/>
      <c r="H16" s="156"/>
      <c r="I16" s="156"/>
      <c r="J16" s="5"/>
      <c r="K16" s="5"/>
      <c r="L16" s="5"/>
      <c r="M16" s="170"/>
      <c r="N16" s="171"/>
    </row>
    <row r="17" spans="1:14" hidden="1">
      <c r="A17" s="42">
        <v>8</v>
      </c>
      <c r="B17" s="2" t="s">
        <v>472</v>
      </c>
      <c r="C17" s="20" t="s">
        <v>473</v>
      </c>
      <c r="D17" s="2"/>
      <c r="E17" s="2"/>
      <c r="F17" s="5">
        <v>200000000</v>
      </c>
      <c r="G17" s="2" t="s">
        <v>87</v>
      </c>
      <c r="H17" s="19">
        <f>F17</f>
        <v>200000000</v>
      </c>
      <c r="I17" s="2"/>
      <c r="J17" s="5"/>
      <c r="K17" s="5"/>
      <c r="L17" s="5"/>
      <c r="M17" s="193"/>
      <c r="N17" s="194"/>
    </row>
    <row r="18" spans="1:14" hidden="1">
      <c r="A18" s="156" t="s">
        <v>101</v>
      </c>
      <c r="B18" s="156"/>
      <c r="C18" s="156"/>
      <c r="D18" s="156"/>
      <c r="E18" s="156"/>
      <c r="F18" s="156"/>
      <c r="G18" s="156"/>
      <c r="H18" s="156"/>
      <c r="I18" s="156"/>
      <c r="J18" s="5"/>
      <c r="K18" s="5"/>
      <c r="L18" s="5"/>
      <c r="M18" s="170"/>
      <c r="N18" s="171"/>
    </row>
    <row r="19" spans="1:14" hidden="1">
      <c r="A19" s="42">
        <v>9</v>
      </c>
      <c r="B19" s="2" t="s">
        <v>474</v>
      </c>
      <c r="C19" s="2" t="s">
        <v>475</v>
      </c>
      <c r="D19" s="2"/>
      <c r="E19" s="2"/>
      <c r="F19" s="5">
        <v>70000000</v>
      </c>
      <c r="G19" s="2" t="s">
        <v>232</v>
      </c>
      <c r="H19" s="19">
        <f>F19-18902191</f>
        <v>51097809</v>
      </c>
      <c r="I19" s="2"/>
      <c r="J19" s="5"/>
      <c r="K19" s="5"/>
      <c r="L19" s="5"/>
      <c r="M19" s="193"/>
      <c r="N19" s="194"/>
    </row>
    <row r="20" spans="1:14" hidden="1">
      <c r="A20" s="42">
        <v>10</v>
      </c>
      <c r="B20" s="2" t="s">
        <v>334</v>
      </c>
      <c r="C20" s="20" t="s">
        <v>476</v>
      </c>
      <c r="D20" s="2"/>
      <c r="E20" s="2"/>
      <c r="F20" s="5">
        <v>20000000</v>
      </c>
      <c r="G20" s="2" t="s">
        <v>232</v>
      </c>
      <c r="H20" s="19">
        <f>F20</f>
        <v>20000000</v>
      </c>
      <c r="I20" s="2"/>
      <c r="J20" s="5"/>
      <c r="K20" s="5"/>
      <c r="L20" s="5"/>
      <c r="M20" s="195"/>
      <c r="N20" s="196"/>
    </row>
    <row r="21" spans="1:14" hidden="1">
      <c r="A21" s="42">
        <v>11</v>
      </c>
      <c r="B21" s="2" t="s">
        <v>477</v>
      </c>
      <c r="C21" s="20" t="s">
        <v>478</v>
      </c>
      <c r="D21" s="2"/>
      <c r="E21" s="2"/>
      <c r="F21" s="5">
        <v>150000000</v>
      </c>
      <c r="G21" s="2" t="s">
        <v>232</v>
      </c>
      <c r="H21" s="19">
        <f>F21-32875879</f>
        <v>117124121</v>
      </c>
      <c r="I21" s="2"/>
      <c r="J21" s="5"/>
      <c r="K21" s="5"/>
      <c r="L21" s="5"/>
      <c r="M21" s="195"/>
      <c r="N21" s="196"/>
    </row>
    <row r="22" spans="1:14" hidden="1">
      <c r="A22" s="42">
        <v>12</v>
      </c>
      <c r="B22" s="2" t="s">
        <v>479</v>
      </c>
      <c r="C22" s="20" t="s">
        <v>480</v>
      </c>
      <c r="D22" s="2"/>
      <c r="E22" s="2"/>
      <c r="F22" s="5">
        <v>85000000</v>
      </c>
      <c r="G22" s="2" t="s">
        <v>232</v>
      </c>
      <c r="H22" s="19">
        <f>F22-39519338</f>
        <v>45480662</v>
      </c>
      <c r="I22" s="2"/>
      <c r="J22" s="5"/>
      <c r="K22" s="5"/>
      <c r="L22" s="5"/>
      <c r="M22" s="195"/>
      <c r="N22" s="196"/>
    </row>
    <row r="23" spans="1:14" hidden="1">
      <c r="A23" s="42">
        <v>13</v>
      </c>
      <c r="B23" s="2" t="s">
        <v>481</v>
      </c>
      <c r="C23" s="20" t="s">
        <v>482</v>
      </c>
      <c r="D23" s="2"/>
      <c r="E23" s="2"/>
      <c r="F23" s="5">
        <v>99000000</v>
      </c>
      <c r="G23" s="2" t="s">
        <v>232</v>
      </c>
      <c r="H23" s="19">
        <f>F23-87216193</f>
        <v>11783807</v>
      </c>
      <c r="I23" s="2"/>
      <c r="J23" s="5"/>
      <c r="K23" s="5"/>
      <c r="L23" s="5"/>
      <c r="M23" s="195"/>
      <c r="N23" s="196"/>
    </row>
    <row r="24" spans="1:14" hidden="1">
      <c r="A24" s="42">
        <v>14</v>
      </c>
      <c r="B24" s="2" t="s">
        <v>483</v>
      </c>
      <c r="C24" s="20" t="s">
        <v>484</v>
      </c>
      <c r="D24" s="2"/>
      <c r="E24" s="2"/>
      <c r="F24" s="5">
        <v>15000000</v>
      </c>
      <c r="G24" s="2" t="s">
        <v>232</v>
      </c>
      <c r="H24" s="19">
        <f>F24</f>
        <v>15000000</v>
      </c>
      <c r="I24" s="2"/>
      <c r="J24" s="5"/>
      <c r="K24" s="5"/>
      <c r="L24" s="5"/>
      <c r="M24" s="195"/>
      <c r="N24" s="196"/>
    </row>
    <row r="25" spans="1:14" hidden="1">
      <c r="A25" s="42">
        <v>15</v>
      </c>
      <c r="B25" s="2" t="s">
        <v>485</v>
      </c>
      <c r="C25" s="20" t="s">
        <v>486</v>
      </c>
      <c r="D25" s="2"/>
      <c r="E25" s="2"/>
      <c r="F25" s="5">
        <v>150000000</v>
      </c>
      <c r="G25" s="2" t="s">
        <v>232</v>
      </c>
      <c r="H25" s="19">
        <f>F25</f>
        <v>150000000</v>
      </c>
      <c r="I25" s="2"/>
      <c r="J25" s="5"/>
      <c r="K25" s="5"/>
      <c r="L25" s="5"/>
      <c r="M25" s="195"/>
      <c r="N25" s="196"/>
    </row>
    <row r="26" spans="1:14" hidden="1">
      <c r="A26" s="42">
        <v>16</v>
      </c>
      <c r="B26" s="2" t="s">
        <v>487</v>
      </c>
      <c r="C26" s="20" t="s">
        <v>488</v>
      </c>
      <c r="D26" s="2"/>
      <c r="E26" s="2"/>
      <c r="F26" s="5">
        <v>250000000</v>
      </c>
      <c r="G26" s="2" t="s">
        <v>232</v>
      </c>
      <c r="H26" s="19">
        <f>F26</f>
        <v>250000000</v>
      </c>
      <c r="I26" s="2"/>
      <c r="J26" s="5"/>
      <c r="K26" s="5"/>
      <c r="L26" s="5"/>
      <c r="M26" s="195"/>
      <c r="N26" s="196"/>
    </row>
    <row r="27" spans="1:14" hidden="1">
      <c r="A27" s="42">
        <v>17</v>
      </c>
      <c r="B27" s="2" t="s">
        <v>489</v>
      </c>
      <c r="C27" s="20" t="s">
        <v>490</v>
      </c>
      <c r="D27" s="2"/>
      <c r="E27" s="2"/>
      <c r="F27" s="5">
        <v>90000000</v>
      </c>
      <c r="G27" s="2" t="s">
        <v>232</v>
      </c>
      <c r="H27" s="19">
        <f>F27-60931673</f>
        <v>29068327</v>
      </c>
      <c r="I27" s="2"/>
      <c r="J27" s="5"/>
      <c r="K27" s="5"/>
      <c r="L27" s="5"/>
      <c r="M27" s="195"/>
      <c r="N27" s="196"/>
    </row>
    <row r="28" spans="1:14" hidden="1">
      <c r="A28" s="42">
        <v>18</v>
      </c>
      <c r="B28" s="2" t="s">
        <v>491</v>
      </c>
      <c r="C28" s="20" t="s">
        <v>492</v>
      </c>
      <c r="D28" s="2"/>
      <c r="E28" s="2"/>
      <c r="F28" s="5">
        <v>60000000</v>
      </c>
      <c r="G28" s="2" t="s">
        <v>232</v>
      </c>
      <c r="H28" s="19">
        <f>F28</f>
        <v>60000000</v>
      </c>
      <c r="I28" s="2"/>
      <c r="J28" s="5"/>
      <c r="K28" s="5"/>
      <c r="L28" s="5"/>
      <c r="M28" s="195"/>
      <c r="N28" s="196"/>
    </row>
    <row r="29" spans="1:14" hidden="1">
      <c r="A29" s="42">
        <v>19</v>
      </c>
      <c r="B29" s="2" t="s">
        <v>493</v>
      </c>
      <c r="C29" s="20" t="s">
        <v>494</v>
      </c>
      <c r="D29" s="2"/>
      <c r="E29" s="2"/>
      <c r="F29" s="5">
        <v>5000000</v>
      </c>
      <c r="G29" s="2" t="s">
        <v>232</v>
      </c>
      <c r="H29" s="19">
        <f>F29</f>
        <v>5000000</v>
      </c>
      <c r="I29" s="2"/>
      <c r="J29" s="5"/>
      <c r="K29" s="5"/>
      <c r="L29" s="5"/>
      <c r="M29" s="195"/>
      <c r="N29" s="196"/>
    </row>
    <row r="30" spans="1:14" hidden="1">
      <c r="A30" s="42">
        <v>20</v>
      </c>
      <c r="B30" s="2" t="s">
        <v>495</v>
      </c>
      <c r="C30" s="20" t="s">
        <v>496</v>
      </c>
      <c r="D30" s="2"/>
      <c r="E30" s="2"/>
      <c r="F30" s="5">
        <v>115000000</v>
      </c>
      <c r="G30" s="2" t="s">
        <v>232</v>
      </c>
      <c r="H30" s="19">
        <f>F30</f>
        <v>115000000</v>
      </c>
      <c r="I30" s="2"/>
      <c r="J30" s="5"/>
      <c r="K30" s="5"/>
      <c r="L30" s="5"/>
      <c r="M30" s="195"/>
      <c r="N30" s="196"/>
    </row>
    <row r="31" spans="1:14" hidden="1">
      <c r="A31" s="42">
        <v>21</v>
      </c>
      <c r="B31" s="2" t="s">
        <v>497</v>
      </c>
      <c r="C31" s="20" t="s">
        <v>498</v>
      </c>
      <c r="D31" s="2"/>
      <c r="E31" s="2"/>
      <c r="F31" s="5">
        <v>132000000</v>
      </c>
      <c r="G31" s="2" t="s">
        <v>232</v>
      </c>
      <c r="H31" s="19">
        <f>F31</f>
        <v>132000000</v>
      </c>
      <c r="I31" s="2"/>
      <c r="J31" s="5"/>
      <c r="K31" s="5"/>
      <c r="L31" s="5"/>
      <c r="M31" s="195"/>
      <c r="N31" s="196"/>
    </row>
    <row r="32" spans="1:14" hidden="1">
      <c r="A32" s="156" t="s">
        <v>101</v>
      </c>
      <c r="B32" s="156"/>
      <c r="C32" s="156"/>
      <c r="D32" s="156"/>
      <c r="E32" s="156"/>
      <c r="F32" s="156"/>
      <c r="G32" s="156"/>
      <c r="H32" s="156"/>
      <c r="I32" s="156"/>
      <c r="J32" s="5"/>
      <c r="K32" s="5"/>
      <c r="L32" s="5"/>
      <c r="M32" s="170"/>
      <c r="N32" s="171"/>
    </row>
    <row r="33" spans="1:14" hidden="1">
      <c r="A33" s="42">
        <v>22</v>
      </c>
      <c r="B33" s="2" t="s">
        <v>499</v>
      </c>
      <c r="C33" s="20" t="s">
        <v>500</v>
      </c>
      <c r="D33" s="2"/>
      <c r="E33" s="2"/>
      <c r="F33" s="5">
        <v>97000000</v>
      </c>
      <c r="G33" s="2" t="s">
        <v>92</v>
      </c>
      <c r="H33" s="19">
        <f>F33-83158977</f>
        <v>13841023</v>
      </c>
      <c r="I33" s="2"/>
      <c r="J33" s="5"/>
      <c r="K33" s="5"/>
      <c r="L33" s="5"/>
      <c r="M33" s="193"/>
      <c r="N33" s="194"/>
    </row>
    <row r="34" spans="1:14" hidden="1">
      <c r="A34" s="42">
        <v>23</v>
      </c>
      <c r="B34" s="2" t="s">
        <v>501</v>
      </c>
      <c r="C34" s="20" t="s">
        <v>502</v>
      </c>
      <c r="D34" s="2"/>
      <c r="E34" s="2"/>
      <c r="F34" s="5">
        <v>120000000</v>
      </c>
      <c r="G34" s="2" t="s">
        <v>92</v>
      </c>
      <c r="H34" s="19">
        <f>F34</f>
        <v>120000000</v>
      </c>
      <c r="I34" s="2"/>
      <c r="J34" s="5"/>
      <c r="K34" s="5"/>
      <c r="L34" s="5"/>
      <c r="M34" s="195"/>
      <c r="N34" s="196"/>
    </row>
    <row r="35" spans="1:14" hidden="1">
      <c r="A35" s="156" t="s">
        <v>101</v>
      </c>
      <c r="B35" s="156"/>
      <c r="C35" s="156"/>
      <c r="D35" s="156"/>
      <c r="E35" s="156"/>
      <c r="F35" s="156"/>
      <c r="G35" s="156"/>
      <c r="H35" s="156"/>
      <c r="I35" s="156"/>
      <c r="J35" s="5"/>
      <c r="K35" s="5"/>
      <c r="L35" s="5"/>
      <c r="M35" s="170"/>
      <c r="N35" s="171"/>
    </row>
    <row r="36" spans="1:14" hidden="1">
      <c r="A36" s="42">
        <v>24</v>
      </c>
      <c r="B36" s="2" t="s">
        <v>503</v>
      </c>
      <c r="C36" s="2" t="s">
        <v>504</v>
      </c>
      <c r="D36" s="2"/>
      <c r="E36" s="2"/>
      <c r="F36" s="5">
        <v>75000000</v>
      </c>
      <c r="G36" s="2" t="s">
        <v>184</v>
      </c>
      <c r="H36" s="2"/>
      <c r="I36" s="2"/>
      <c r="J36" s="5"/>
      <c r="K36" s="5"/>
      <c r="L36" s="5"/>
      <c r="M36" s="193"/>
      <c r="N36" s="194"/>
    </row>
    <row r="37" spans="1:14" hidden="1">
      <c r="A37" s="42">
        <v>25</v>
      </c>
      <c r="B37" s="2" t="s">
        <v>505</v>
      </c>
      <c r="C37" s="20" t="s">
        <v>506</v>
      </c>
      <c r="D37" s="2"/>
      <c r="E37" s="2"/>
      <c r="F37" s="5">
        <v>75000000</v>
      </c>
      <c r="G37" s="2" t="s">
        <v>184</v>
      </c>
      <c r="H37" s="19">
        <f>F37-59701326</f>
        <v>15298674</v>
      </c>
      <c r="I37" s="2"/>
      <c r="J37" s="5"/>
      <c r="K37" s="5"/>
      <c r="L37" s="5"/>
      <c r="M37" s="195"/>
      <c r="N37" s="196"/>
    </row>
    <row r="38" spans="1:14" hidden="1">
      <c r="A38" s="42">
        <v>26</v>
      </c>
      <c r="B38" s="2" t="s">
        <v>507</v>
      </c>
      <c r="C38" s="20" t="s">
        <v>508</v>
      </c>
      <c r="D38" s="2"/>
      <c r="E38" s="2"/>
      <c r="F38" s="5">
        <v>120000000</v>
      </c>
      <c r="G38" s="2" t="s">
        <v>184</v>
      </c>
      <c r="H38" s="19">
        <f>F38-68828494</f>
        <v>51171506</v>
      </c>
      <c r="I38" s="2"/>
      <c r="J38" s="5"/>
      <c r="K38" s="5"/>
      <c r="L38" s="5"/>
      <c r="M38" s="195"/>
      <c r="N38" s="196"/>
    </row>
    <row r="39" spans="1:14" hidden="1">
      <c r="A39" s="156" t="s">
        <v>101</v>
      </c>
      <c r="B39" s="156"/>
      <c r="C39" s="156"/>
      <c r="D39" s="156"/>
      <c r="E39" s="156"/>
      <c r="F39" s="156"/>
      <c r="G39" s="156"/>
      <c r="H39" s="156"/>
      <c r="I39" s="156"/>
      <c r="J39" s="5"/>
      <c r="K39" s="5"/>
      <c r="L39" s="5"/>
      <c r="M39" s="170"/>
      <c r="N39" s="171"/>
    </row>
    <row r="40" spans="1:14" hidden="1">
      <c r="A40" s="42">
        <v>27</v>
      </c>
      <c r="B40" s="2" t="s">
        <v>156</v>
      </c>
      <c r="C40" s="20" t="s">
        <v>157</v>
      </c>
      <c r="D40" s="2"/>
      <c r="E40" s="2"/>
      <c r="F40" s="5">
        <v>30000000</v>
      </c>
      <c r="G40" s="2" t="s">
        <v>187</v>
      </c>
      <c r="H40" s="19">
        <f>F40</f>
        <v>30000000</v>
      </c>
      <c r="I40" s="2"/>
      <c r="J40" s="5"/>
      <c r="K40" s="5"/>
      <c r="L40" s="5"/>
      <c r="M40" s="191"/>
      <c r="N40" s="2"/>
    </row>
    <row r="41" spans="1:14" hidden="1">
      <c r="A41" s="156" t="s">
        <v>101</v>
      </c>
      <c r="B41" s="156"/>
      <c r="C41" s="156"/>
      <c r="D41" s="156"/>
      <c r="E41" s="156"/>
      <c r="F41" s="156"/>
      <c r="G41" s="156"/>
      <c r="H41" s="156"/>
      <c r="I41" s="156"/>
      <c r="J41" s="5"/>
      <c r="K41" s="5"/>
      <c r="L41" s="5"/>
      <c r="M41" s="192"/>
      <c r="N41" s="2"/>
    </row>
    <row r="42" spans="1:14" hidden="1">
      <c r="A42" s="42">
        <v>28</v>
      </c>
      <c r="B42" s="2" t="s">
        <v>509</v>
      </c>
      <c r="C42" s="20" t="s">
        <v>510</v>
      </c>
      <c r="D42" s="2"/>
      <c r="E42" s="2"/>
      <c r="F42" s="5">
        <v>325000000</v>
      </c>
      <c r="G42" s="2" t="s">
        <v>511</v>
      </c>
      <c r="H42" s="19">
        <f>F42</f>
        <v>325000000</v>
      </c>
      <c r="I42" s="2"/>
      <c r="J42" s="5"/>
      <c r="K42" s="5"/>
      <c r="L42" s="5"/>
      <c r="M42" s="191"/>
      <c r="N42" s="2"/>
    </row>
    <row r="43" spans="1:14" hidden="1">
      <c r="A43" s="156" t="s">
        <v>101</v>
      </c>
      <c r="B43" s="156"/>
      <c r="C43" s="156"/>
      <c r="D43" s="156"/>
      <c r="E43" s="156"/>
      <c r="F43" s="156"/>
      <c r="G43" s="156"/>
      <c r="H43" s="156"/>
      <c r="I43" s="156"/>
      <c r="J43" s="5"/>
      <c r="K43" s="5"/>
      <c r="L43" s="5"/>
      <c r="M43" s="192"/>
      <c r="N43" s="2"/>
    </row>
    <row r="44" spans="1:14">
      <c r="A44" s="42">
        <v>3</v>
      </c>
      <c r="B44" s="2" t="s">
        <v>512</v>
      </c>
      <c r="C44" s="20" t="s">
        <v>513</v>
      </c>
      <c r="D44" s="2"/>
      <c r="E44" s="2"/>
      <c r="F44" s="5">
        <v>70000000</v>
      </c>
      <c r="G44" s="2" t="s">
        <v>186</v>
      </c>
      <c r="H44" s="19">
        <f>F44-37384093</f>
        <v>32615907</v>
      </c>
      <c r="I44" s="2"/>
      <c r="J44" s="5">
        <v>200000</v>
      </c>
      <c r="K44" s="5">
        <f>+J44*$O$5/100</f>
        <v>12000</v>
      </c>
      <c r="L44" s="5">
        <f>++J44-K44</f>
        <v>188000</v>
      </c>
      <c r="M44" s="172" t="s">
        <v>455</v>
      </c>
      <c r="N44" s="173"/>
    </row>
    <row r="45" spans="1:14">
      <c r="A45" s="156" t="s">
        <v>101</v>
      </c>
      <c r="B45" s="156"/>
      <c r="C45" s="156"/>
      <c r="D45" s="156"/>
      <c r="E45" s="156"/>
      <c r="F45" s="156"/>
      <c r="G45" s="156"/>
      <c r="H45" s="156"/>
      <c r="I45" s="156"/>
      <c r="J45" s="5"/>
      <c r="K45" s="5"/>
      <c r="L45" s="5"/>
      <c r="M45" s="185"/>
      <c r="N45" s="186"/>
    </row>
    <row r="46" spans="1:14" hidden="1">
      <c r="A46" s="42">
        <v>30</v>
      </c>
      <c r="B46" s="2" t="s">
        <v>514</v>
      </c>
      <c r="C46" s="20" t="s">
        <v>515</v>
      </c>
      <c r="D46" s="2"/>
      <c r="E46" s="2"/>
      <c r="F46" s="5">
        <v>300000000</v>
      </c>
      <c r="G46" s="2" t="s">
        <v>516</v>
      </c>
      <c r="H46" s="19">
        <f>F46</f>
        <v>300000000</v>
      </c>
      <c r="I46" s="2"/>
      <c r="J46" s="5"/>
      <c r="K46" s="5"/>
      <c r="L46" s="5"/>
      <c r="M46" s="193"/>
      <c r="N46" s="194"/>
    </row>
    <row r="47" spans="1:14" hidden="1">
      <c r="A47" s="42">
        <v>31</v>
      </c>
      <c r="B47" s="2" t="s">
        <v>517</v>
      </c>
      <c r="C47" s="20" t="s">
        <v>518</v>
      </c>
      <c r="D47" s="2"/>
      <c r="E47" s="2"/>
      <c r="F47" s="5">
        <v>200000000</v>
      </c>
      <c r="G47" s="2" t="s">
        <v>516</v>
      </c>
      <c r="H47" s="19">
        <f>F47</f>
        <v>200000000</v>
      </c>
      <c r="I47" s="2"/>
      <c r="J47" s="5"/>
      <c r="K47" s="5"/>
      <c r="L47" s="5"/>
      <c r="M47" s="195"/>
      <c r="N47" s="196"/>
    </row>
    <row r="48" spans="1:14" hidden="1">
      <c r="A48" s="42">
        <v>32</v>
      </c>
      <c r="B48" s="2" t="s">
        <v>519</v>
      </c>
      <c r="C48" s="20" t="s">
        <v>520</v>
      </c>
      <c r="D48" s="2"/>
      <c r="E48" s="2"/>
      <c r="F48" s="5">
        <v>50000000</v>
      </c>
      <c r="G48" s="2" t="s">
        <v>516</v>
      </c>
      <c r="H48" s="19">
        <f>F48</f>
        <v>50000000</v>
      </c>
      <c r="I48" s="2"/>
      <c r="J48" s="5"/>
      <c r="K48" s="5"/>
      <c r="L48" s="5"/>
      <c r="M48" s="195"/>
      <c r="N48" s="196"/>
    </row>
    <row r="49" spans="1:14" hidden="1">
      <c r="A49" s="42">
        <v>33</v>
      </c>
      <c r="B49" s="2" t="s">
        <v>521</v>
      </c>
      <c r="C49" s="20" t="s">
        <v>522</v>
      </c>
      <c r="D49" s="2"/>
      <c r="E49" s="2"/>
      <c r="F49" s="5">
        <v>250000000</v>
      </c>
      <c r="G49" s="2" t="s">
        <v>516</v>
      </c>
      <c r="H49" s="19">
        <f>F49</f>
        <v>250000000</v>
      </c>
      <c r="I49" s="2"/>
      <c r="J49" s="5"/>
      <c r="K49" s="5"/>
      <c r="L49" s="5"/>
      <c r="M49" s="195"/>
      <c r="N49" s="196"/>
    </row>
    <row r="50" spans="1:14" hidden="1">
      <c r="A50" s="156" t="s">
        <v>101</v>
      </c>
      <c r="B50" s="156"/>
      <c r="C50" s="156"/>
      <c r="D50" s="156"/>
      <c r="E50" s="156"/>
      <c r="F50" s="156"/>
      <c r="G50" s="156"/>
      <c r="H50" s="156"/>
      <c r="I50" s="156"/>
      <c r="J50" s="5"/>
      <c r="K50" s="5"/>
      <c r="L50" s="5"/>
      <c r="M50" s="170"/>
      <c r="N50" s="171"/>
    </row>
    <row r="51" spans="1:14">
      <c r="A51" s="157" t="s">
        <v>324</v>
      </c>
      <c r="B51" s="158"/>
      <c r="C51" s="158"/>
      <c r="D51" s="158"/>
      <c r="E51" s="158"/>
      <c r="F51" s="158"/>
      <c r="G51" s="158"/>
      <c r="H51" s="158"/>
      <c r="I51" s="159"/>
      <c r="J51" s="5">
        <f>+J44+J13+J6</f>
        <v>600000</v>
      </c>
      <c r="K51" s="5">
        <f>+K44+K13+K6</f>
        <v>36000</v>
      </c>
      <c r="L51" s="5">
        <f>+L44+L13+L6</f>
        <v>564000</v>
      </c>
    </row>
  </sheetData>
  <mergeCells count="27">
    <mergeCell ref="M13:N14"/>
    <mergeCell ref="A14:I14"/>
    <mergeCell ref="A51:I51"/>
    <mergeCell ref="M5:N5"/>
    <mergeCell ref="A2:N2"/>
    <mergeCell ref="M6:N7"/>
    <mergeCell ref="A7:I7"/>
    <mergeCell ref="M8:N12"/>
    <mergeCell ref="A12:I12"/>
    <mergeCell ref="M15:N16"/>
    <mergeCell ref="A16:I16"/>
    <mergeCell ref="M17:N18"/>
    <mergeCell ref="A18:I18"/>
    <mergeCell ref="M19:N32"/>
    <mergeCell ref="A32:I32"/>
    <mergeCell ref="M33:N35"/>
    <mergeCell ref="A35:I35"/>
    <mergeCell ref="M36:N39"/>
    <mergeCell ref="A39:I39"/>
    <mergeCell ref="M40:M41"/>
    <mergeCell ref="A41:I41"/>
    <mergeCell ref="M42:M43"/>
    <mergeCell ref="A43:I43"/>
    <mergeCell ref="A45:I45"/>
    <mergeCell ref="M46:N50"/>
    <mergeCell ref="A50:I50"/>
    <mergeCell ref="M44:N45"/>
  </mergeCells>
  <printOptions horizontalCentered="1"/>
  <pageMargins left="0.11811023622047245" right="0.11811023622047245" top="0.35433070866141736" bottom="0.19685039370078741" header="0.31496062992125984" footer="0.31496062992125984"/>
  <pageSetup paperSize="5" orientation="landscape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7"/>
  <sheetViews>
    <sheetView topLeftCell="D2" workbookViewId="0">
      <selection activeCell="M3" sqref="M3:N12"/>
    </sheetView>
  </sheetViews>
  <sheetFormatPr defaultRowHeight="15"/>
  <cols>
    <col min="1" max="1" width="5.28515625" style="34" customWidth="1"/>
    <col min="2" max="2" width="22" customWidth="1"/>
    <col min="3" max="3" width="16.7109375" customWidth="1"/>
    <col min="4" max="4" width="11" customWidth="1"/>
    <col min="5" max="5" width="9.140625" style="44"/>
    <col min="6" max="6" width="13.42578125" customWidth="1"/>
    <col min="7" max="7" width="25.140625" customWidth="1"/>
    <col min="8" max="8" width="12.5703125" style="8" bestFit="1" customWidth="1"/>
    <col min="9" max="9" width="11.5703125" bestFit="1" customWidth="1"/>
    <col min="10" max="10" width="11.5703125" style="8" bestFit="1" customWidth="1"/>
    <col min="11" max="11" width="9.140625" style="8"/>
    <col min="12" max="12" width="10.5703125" style="8" bestFit="1" customWidth="1"/>
  </cols>
  <sheetData>
    <row r="1" spans="1:15" ht="18.75">
      <c r="A1" s="182" t="s">
        <v>326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>
      <c r="A2" s="40" t="s">
        <v>111</v>
      </c>
      <c r="B2" s="5" t="s">
        <v>2</v>
      </c>
      <c r="C2" s="11" t="s">
        <v>3</v>
      </c>
      <c r="D2" s="5" t="s">
        <v>4</v>
      </c>
      <c r="E2" s="41" t="s">
        <v>5</v>
      </c>
      <c r="F2" s="7" t="s">
        <v>6</v>
      </c>
      <c r="G2" s="7" t="s">
        <v>7</v>
      </c>
      <c r="H2" s="4" t="s">
        <v>8</v>
      </c>
      <c r="I2" s="4" t="s">
        <v>94</v>
      </c>
      <c r="J2" s="6" t="s">
        <v>95</v>
      </c>
      <c r="K2" s="4" t="s">
        <v>96</v>
      </c>
      <c r="L2" s="4" t="s">
        <v>97</v>
      </c>
      <c r="M2" s="205" t="s">
        <v>390</v>
      </c>
      <c r="N2" s="206"/>
      <c r="O2">
        <v>3</v>
      </c>
    </row>
    <row r="3" spans="1:15" ht="15" hidden="1" customHeight="1">
      <c r="A3" s="42">
        <v>1</v>
      </c>
      <c r="B3" s="2" t="s">
        <v>327</v>
      </c>
      <c r="C3" s="2" t="s">
        <v>328</v>
      </c>
      <c r="D3" s="2" t="s">
        <v>11</v>
      </c>
      <c r="E3" s="43">
        <v>0.12</v>
      </c>
      <c r="F3" s="6">
        <v>15000000</v>
      </c>
      <c r="G3" s="2" t="s">
        <v>329</v>
      </c>
      <c r="H3" s="5">
        <v>15000000</v>
      </c>
      <c r="I3" s="2" t="s">
        <v>100</v>
      </c>
      <c r="J3" s="5"/>
      <c r="K3" s="5"/>
      <c r="L3" s="5"/>
      <c r="M3" s="164" t="s">
        <v>323</v>
      </c>
      <c r="N3" s="165"/>
    </row>
    <row r="4" spans="1:15" ht="15" hidden="1" customHeight="1">
      <c r="A4" s="42">
        <v>2</v>
      </c>
      <c r="B4" s="2" t="s">
        <v>330</v>
      </c>
      <c r="C4" s="2" t="s">
        <v>331</v>
      </c>
      <c r="D4" s="2" t="s">
        <v>11</v>
      </c>
      <c r="E4" s="43">
        <v>0.1</v>
      </c>
      <c r="F4" s="6">
        <v>170000000</v>
      </c>
      <c r="G4" s="2" t="s">
        <v>329</v>
      </c>
      <c r="H4" s="5">
        <v>170000000</v>
      </c>
      <c r="I4" s="2" t="s">
        <v>100</v>
      </c>
      <c r="J4" s="5"/>
      <c r="K4" s="5"/>
      <c r="L4" s="5"/>
      <c r="M4" s="166"/>
      <c r="N4" s="167"/>
    </row>
    <row r="5" spans="1:15">
      <c r="A5" s="42">
        <v>1</v>
      </c>
      <c r="B5" s="2" t="s">
        <v>332</v>
      </c>
      <c r="C5" s="2" t="s">
        <v>333</v>
      </c>
      <c r="D5" s="2" t="s">
        <v>11</v>
      </c>
      <c r="E5" s="43">
        <v>0.09</v>
      </c>
      <c r="F5" s="6">
        <v>295000000</v>
      </c>
      <c r="G5" s="2" t="s">
        <v>329</v>
      </c>
      <c r="H5" s="5">
        <v>295000000</v>
      </c>
      <c r="I5" s="2" t="s">
        <v>100</v>
      </c>
      <c r="J5" s="5">
        <v>1000000</v>
      </c>
      <c r="K5" s="5">
        <f>+J5*$O$2/100</f>
        <v>30000</v>
      </c>
      <c r="L5" s="5">
        <f>+J5-K5</f>
        <v>970000</v>
      </c>
      <c r="M5" s="166"/>
      <c r="N5" s="167"/>
    </row>
    <row r="6" spans="1:15" ht="15" hidden="1" customHeight="1">
      <c r="A6" s="42">
        <v>4</v>
      </c>
      <c r="B6" s="2" t="s">
        <v>334</v>
      </c>
      <c r="C6" s="2" t="s">
        <v>335</v>
      </c>
      <c r="D6" s="2" t="s">
        <v>11</v>
      </c>
      <c r="E6" s="43">
        <v>0.12</v>
      </c>
      <c r="F6" s="6">
        <v>170000000</v>
      </c>
      <c r="G6" s="2" t="s">
        <v>329</v>
      </c>
      <c r="H6" s="5">
        <v>170000000</v>
      </c>
      <c r="I6" s="2" t="s">
        <v>100</v>
      </c>
      <c r="J6" s="5"/>
      <c r="K6" s="5"/>
      <c r="L6" s="5"/>
      <c r="M6" s="166"/>
      <c r="N6" s="167"/>
    </row>
    <row r="7" spans="1:15">
      <c r="A7" s="42">
        <v>2</v>
      </c>
      <c r="B7" s="2" t="s">
        <v>16</v>
      </c>
      <c r="C7" s="2" t="s">
        <v>336</v>
      </c>
      <c r="D7" s="2" t="s">
        <v>11</v>
      </c>
      <c r="E7" s="43">
        <v>0.1</v>
      </c>
      <c r="F7" s="6">
        <v>265000000</v>
      </c>
      <c r="G7" s="2" t="s">
        <v>329</v>
      </c>
      <c r="H7" s="5">
        <v>265000000</v>
      </c>
      <c r="I7" s="2" t="s">
        <v>100</v>
      </c>
      <c r="J7" s="5">
        <v>800000</v>
      </c>
      <c r="K7" s="5">
        <f>+J7*$O$2/100</f>
        <v>24000</v>
      </c>
      <c r="L7" s="5">
        <f>+J7-K7</f>
        <v>776000</v>
      </c>
      <c r="M7" s="166"/>
      <c r="N7" s="167"/>
    </row>
    <row r="8" spans="1:15" ht="15" hidden="1" customHeight="1">
      <c r="A8" s="42">
        <v>6</v>
      </c>
      <c r="B8" s="2" t="s">
        <v>337</v>
      </c>
      <c r="C8" s="2" t="s">
        <v>338</v>
      </c>
      <c r="D8" s="2" t="s">
        <v>11</v>
      </c>
      <c r="E8" s="43">
        <v>0.12</v>
      </c>
      <c r="F8" s="6">
        <v>280000000</v>
      </c>
      <c r="G8" s="2" t="s">
        <v>329</v>
      </c>
      <c r="H8" s="5">
        <v>280000000</v>
      </c>
      <c r="I8" s="2" t="s">
        <v>100</v>
      </c>
      <c r="J8" s="5"/>
      <c r="K8" s="5"/>
      <c r="L8" s="5"/>
      <c r="M8" s="166"/>
      <c r="N8" s="167"/>
    </row>
    <row r="9" spans="1:15">
      <c r="A9" s="42">
        <v>3</v>
      </c>
      <c r="B9" s="2" t="s">
        <v>339</v>
      </c>
      <c r="C9" s="2" t="s">
        <v>340</v>
      </c>
      <c r="D9" s="2" t="s">
        <v>11</v>
      </c>
      <c r="E9" s="43">
        <v>0.09</v>
      </c>
      <c r="F9" s="6">
        <v>186000000</v>
      </c>
      <c r="G9" s="2" t="s">
        <v>329</v>
      </c>
      <c r="H9" s="5">
        <v>186000000</v>
      </c>
      <c r="I9" s="2" t="s">
        <v>100</v>
      </c>
      <c r="J9" s="5">
        <v>700000</v>
      </c>
      <c r="K9" s="5">
        <f>+J9*$O$2/100</f>
        <v>21000</v>
      </c>
      <c r="L9" s="5">
        <f>+J9-K9</f>
        <v>679000</v>
      </c>
      <c r="M9" s="166"/>
      <c r="N9" s="167"/>
    </row>
    <row r="10" spans="1:15" ht="15" hidden="1" customHeight="1">
      <c r="A10" s="42">
        <v>8</v>
      </c>
      <c r="B10" s="2" t="s">
        <v>341</v>
      </c>
      <c r="C10" s="2" t="s">
        <v>342</v>
      </c>
      <c r="D10" s="2" t="s">
        <v>11</v>
      </c>
      <c r="E10" s="43">
        <v>0.11</v>
      </c>
      <c r="F10" s="6">
        <v>116000000</v>
      </c>
      <c r="G10" s="2" t="s">
        <v>329</v>
      </c>
      <c r="H10" s="5">
        <f>116000000-88729840</f>
        <v>27270160</v>
      </c>
      <c r="I10" s="2" t="s">
        <v>99</v>
      </c>
      <c r="J10" s="5"/>
      <c r="K10" s="5"/>
      <c r="L10" s="5"/>
      <c r="M10" s="166"/>
      <c r="N10" s="167"/>
    </row>
    <row r="11" spans="1:15" ht="15" hidden="1" customHeight="1">
      <c r="A11" s="42">
        <v>9</v>
      </c>
      <c r="B11" s="2" t="s">
        <v>343</v>
      </c>
      <c r="C11" s="2" t="s">
        <v>344</v>
      </c>
      <c r="D11" s="2" t="s">
        <v>11</v>
      </c>
      <c r="E11" s="18">
        <v>0.115</v>
      </c>
      <c r="F11" s="6">
        <v>95000000</v>
      </c>
      <c r="G11" s="2" t="s">
        <v>329</v>
      </c>
      <c r="H11" s="6">
        <f>95000000-84613292</f>
        <v>10386708</v>
      </c>
      <c r="I11" s="2" t="s">
        <v>99</v>
      </c>
      <c r="J11" s="5"/>
      <c r="K11" s="5"/>
      <c r="L11" s="5"/>
      <c r="M11" s="166"/>
      <c r="N11" s="167"/>
    </row>
    <row r="12" spans="1:15">
      <c r="A12" s="156" t="s">
        <v>101</v>
      </c>
      <c r="B12" s="156"/>
      <c r="C12" s="156"/>
      <c r="D12" s="156"/>
      <c r="E12" s="156"/>
      <c r="F12" s="156"/>
      <c r="G12" s="156"/>
      <c r="H12" s="156"/>
      <c r="I12" s="156"/>
      <c r="J12" s="37">
        <f>+J9+J7+J5</f>
        <v>2500000</v>
      </c>
      <c r="K12" s="37">
        <f>+K9+K7+K5</f>
        <v>75000</v>
      </c>
      <c r="L12" s="37">
        <f>+L9+L7+L5</f>
        <v>2425000</v>
      </c>
      <c r="M12" s="168"/>
      <c r="N12" s="169"/>
    </row>
    <row r="13" spans="1:15" hidden="1">
      <c r="A13" s="42">
        <v>10</v>
      </c>
      <c r="B13" s="2" t="s">
        <v>345</v>
      </c>
      <c r="C13" s="2" t="s">
        <v>346</v>
      </c>
      <c r="D13" s="2" t="s">
        <v>11</v>
      </c>
      <c r="E13" s="43">
        <v>0.09</v>
      </c>
      <c r="F13" s="6">
        <v>360000000</v>
      </c>
      <c r="G13" s="2" t="s">
        <v>87</v>
      </c>
      <c r="H13" s="6">
        <v>360000000</v>
      </c>
      <c r="I13" s="2" t="s">
        <v>100</v>
      </c>
      <c r="J13" s="5"/>
      <c r="K13" s="5"/>
      <c r="L13" s="5"/>
      <c r="M13" s="199"/>
      <c r="N13" s="200"/>
    </row>
    <row r="14" spans="1:15" hidden="1">
      <c r="A14" s="156" t="s">
        <v>101</v>
      </c>
      <c r="B14" s="156"/>
      <c r="C14" s="156"/>
      <c r="D14" s="156"/>
      <c r="E14" s="156"/>
      <c r="F14" s="156"/>
      <c r="G14" s="156"/>
      <c r="H14" s="156"/>
      <c r="I14" s="156"/>
      <c r="J14" s="5"/>
      <c r="K14" s="5"/>
      <c r="L14" s="5"/>
      <c r="M14" s="201"/>
      <c r="N14" s="202"/>
    </row>
    <row r="15" spans="1:15" hidden="1">
      <c r="A15" s="42">
        <v>11</v>
      </c>
      <c r="B15" s="2" t="s">
        <v>347</v>
      </c>
      <c r="C15" s="2" t="s">
        <v>348</v>
      </c>
      <c r="D15" s="2" t="s">
        <v>11</v>
      </c>
      <c r="E15" s="43">
        <v>0.12</v>
      </c>
      <c r="F15" s="6">
        <v>70000000</v>
      </c>
      <c r="G15" s="2" t="s">
        <v>184</v>
      </c>
      <c r="H15" s="6">
        <f>70000000-17374309</f>
        <v>52625691</v>
      </c>
      <c r="I15" s="2" t="s">
        <v>99</v>
      </c>
      <c r="J15" s="5"/>
      <c r="K15" s="5"/>
      <c r="L15" s="5"/>
      <c r="M15" s="199"/>
      <c r="N15" s="200"/>
    </row>
    <row r="16" spans="1:15" hidden="1">
      <c r="A16" s="42">
        <v>12</v>
      </c>
      <c r="B16" s="2" t="s">
        <v>349</v>
      </c>
      <c r="C16" s="2" t="s">
        <v>350</v>
      </c>
      <c r="D16" s="2" t="s">
        <v>11</v>
      </c>
      <c r="E16" s="43">
        <v>0.11</v>
      </c>
      <c r="F16" s="6">
        <v>150000000</v>
      </c>
      <c r="G16" s="2" t="s">
        <v>184</v>
      </c>
      <c r="H16" s="6">
        <v>150000000</v>
      </c>
      <c r="I16" s="2" t="s">
        <v>100</v>
      </c>
      <c r="J16" s="5"/>
      <c r="K16" s="5"/>
      <c r="L16" s="5"/>
      <c r="M16" s="203"/>
      <c r="N16" s="204"/>
    </row>
    <row r="17" spans="1:14" hidden="1">
      <c r="A17" s="42">
        <v>13</v>
      </c>
      <c r="B17" s="2" t="s">
        <v>351</v>
      </c>
      <c r="C17" s="2" t="s">
        <v>352</v>
      </c>
      <c r="D17" s="2" t="s">
        <v>11</v>
      </c>
      <c r="E17" s="43">
        <v>0.12</v>
      </c>
      <c r="F17" s="6">
        <v>25000000</v>
      </c>
      <c r="G17" s="2" t="s">
        <v>184</v>
      </c>
      <c r="H17" s="6">
        <f>25000000-14240190</f>
        <v>10759810</v>
      </c>
      <c r="I17" s="2" t="s">
        <v>99</v>
      </c>
      <c r="J17" s="5"/>
      <c r="K17" s="5"/>
      <c r="L17" s="5"/>
      <c r="M17" s="203"/>
      <c r="N17" s="204"/>
    </row>
    <row r="18" spans="1:14" hidden="1">
      <c r="A18" s="42">
        <v>14</v>
      </c>
      <c r="B18" s="2" t="s">
        <v>353</v>
      </c>
      <c r="C18" s="2" t="s">
        <v>354</v>
      </c>
      <c r="D18" s="2" t="s">
        <v>11</v>
      </c>
      <c r="E18" s="43">
        <v>0.12</v>
      </c>
      <c r="F18" s="6">
        <v>70000000</v>
      </c>
      <c r="G18" s="2" t="s">
        <v>184</v>
      </c>
      <c r="H18" s="6">
        <f>70000000-45634532</f>
        <v>24365468</v>
      </c>
      <c r="I18" s="2" t="s">
        <v>99</v>
      </c>
      <c r="J18" s="5"/>
      <c r="K18" s="5"/>
      <c r="L18" s="5"/>
      <c r="M18" s="203"/>
      <c r="N18" s="204"/>
    </row>
    <row r="19" spans="1:14" hidden="1">
      <c r="A19" s="42">
        <v>15</v>
      </c>
      <c r="B19" s="2" t="s">
        <v>355</v>
      </c>
      <c r="C19" s="2" t="s">
        <v>356</v>
      </c>
      <c r="D19" s="2" t="s">
        <v>11</v>
      </c>
      <c r="E19" s="43">
        <v>0.12</v>
      </c>
      <c r="F19" s="6">
        <v>60000000</v>
      </c>
      <c r="G19" s="2" t="s">
        <v>184</v>
      </c>
      <c r="H19" s="6">
        <f>60000000-26055833</f>
        <v>33944167</v>
      </c>
      <c r="I19" s="2" t="s">
        <v>99</v>
      </c>
      <c r="J19" s="5"/>
      <c r="K19" s="5"/>
      <c r="L19" s="5"/>
      <c r="M19" s="203"/>
      <c r="N19" s="204"/>
    </row>
    <row r="20" spans="1:14" hidden="1">
      <c r="A20" s="156" t="s">
        <v>101</v>
      </c>
      <c r="B20" s="156"/>
      <c r="C20" s="156"/>
      <c r="D20" s="156"/>
      <c r="E20" s="156"/>
      <c r="F20" s="156"/>
      <c r="G20" s="156"/>
      <c r="H20" s="156"/>
      <c r="I20" s="156"/>
      <c r="J20" s="5"/>
      <c r="K20" s="5"/>
      <c r="L20" s="5"/>
      <c r="M20" s="201"/>
      <c r="N20" s="202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5"/>
      <c r="K21" s="5"/>
      <c r="L21" s="5"/>
      <c r="M21" s="46"/>
      <c r="N21" s="47"/>
    </row>
    <row r="22" spans="1:14">
      <c r="A22" s="42">
        <v>4</v>
      </c>
      <c r="B22" s="2" t="s">
        <v>357</v>
      </c>
      <c r="C22" s="2" t="s">
        <v>358</v>
      </c>
      <c r="D22" s="2" t="s">
        <v>11</v>
      </c>
      <c r="E22" s="43">
        <v>0.09</v>
      </c>
      <c r="F22" s="6">
        <v>30000000</v>
      </c>
      <c r="G22" s="2" t="s">
        <v>86</v>
      </c>
      <c r="H22" s="6">
        <v>30000000</v>
      </c>
      <c r="I22" s="2" t="s">
        <v>100</v>
      </c>
      <c r="J22" s="5">
        <v>100000</v>
      </c>
      <c r="K22" s="5">
        <f t="shared" ref="K22:K24" si="0">+J22*$O$2/100</f>
        <v>3000</v>
      </c>
      <c r="L22" s="5">
        <f t="shared" ref="L22:L24" si="1">+J22-K22</f>
        <v>97000</v>
      </c>
      <c r="M22" s="164" t="s">
        <v>389</v>
      </c>
      <c r="N22" s="165"/>
    </row>
    <row r="23" spans="1:14">
      <c r="A23" s="42">
        <v>5</v>
      </c>
      <c r="B23" s="2" t="s">
        <v>359</v>
      </c>
      <c r="C23" s="2" t="s">
        <v>360</v>
      </c>
      <c r="D23" s="2" t="s">
        <v>11</v>
      </c>
      <c r="E23" s="43">
        <v>0.09</v>
      </c>
      <c r="F23" s="6">
        <v>150000000</v>
      </c>
      <c r="G23" s="2" t="s">
        <v>86</v>
      </c>
      <c r="H23" s="6">
        <v>150000000</v>
      </c>
      <c r="I23" s="2" t="s">
        <v>100</v>
      </c>
      <c r="J23" s="5">
        <v>250000</v>
      </c>
      <c r="K23" s="5">
        <f t="shared" si="0"/>
        <v>7500</v>
      </c>
      <c r="L23" s="5">
        <f t="shared" si="1"/>
        <v>242500</v>
      </c>
      <c r="M23" s="166"/>
      <c r="N23" s="167"/>
    </row>
    <row r="24" spans="1:14">
      <c r="A24" s="42">
        <v>6</v>
      </c>
      <c r="B24" s="2" t="s">
        <v>361</v>
      </c>
      <c r="C24" s="2" t="s">
        <v>362</v>
      </c>
      <c r="D24" s="2" t="s">
        <v>11</v>
      </c>
      <c r="E24" s="43">
        <v>0.1</v>
      </c>
      <c r="F24" s="6">
        <v>90000000</v>
      </c>
      <c r="G24" s="2" t="s">
        <v>86</v>
      </c>
      <c r="H24" s="6">
        <v>90000000</v>
      </c>
      <c r="I24" s="2" t="s">
        <v>100</v>
      </c>
      <c r="J24" s="5">
        <v>150000</v>
      </c>
      <c r="K24" s="5">
        <f t="shared" si="0"/>
        <v>4500</v>
      </c>
      <c r="L24" s="5">
        <f t="shared" si="1"/>
        <v>145500</v>
      </c>
      <c r="M24" s="166"/>
      <c r="N24" s="167"/>
    </row>
    <row r="25" spans="1:14">
      <c r="A25" s="156" t="s">
        <v>101</v>
      </c>
      <c r="B25" s="156"/>
      <c r="C25" s="156"/>
      <c r="D25" s="156"/>
      <c r="E25" s="156"/>
      <c r="F25" s="156"/>
      <c r="G25" s="156"/>
      <c r="H25" s="156"/>
      <c r="I25" s="156"/>
      <c r="J25" s="37">
        <f>SUM(J22:J24)</f>
        <v>500000</v>
      </c>
      <c r="K25" s="37">
        <f>SUM(K22:K24)</f>
        <v>15000</v>
      </c>
      <c r="L25" s="37">
        <f>SUM(L22:L24)</f>
        <v>485000</v>
      </c>
      <c r="M25" s="168"/>
      <c r="N25" s="169"/>
    </row>
    <row r="26" spans="1:14" hidden="1">
      <c r="A26" s="42">
        <v>19</v>
      </c>
      <c r="B26" s="2" t="s">
        <v>363</v>
      </c>
      <c r="C26" s="2" t="s">
        <v>364</v>
      </c>
      <c r="D26" s="2" t="s">
        <v>11</v>
      </c>
      <c r="E26" s="43">
        <v>0.11</v>
      </c>
      <c r="F26" s="6">
        <v>30000000</v>
      </c>
      <c r="G26" s="2" t="s">
        <v>90</v>
      </c>
      <c r="H26" s="6">
        <f>30000000- 8002588</f>
        <v>21997412</v>
      </c>
      <c r="I26" s="2" t="s">
        <v>99</v>
      </c>
      <c r="J26" s="5"/>
      <c r="K26" s="5"/>
      <c r="L26" s="5"/>
      <c r="M26" s="199"/>
      <c r="N26" s="200"/>
    </row>
    <row r="27" spans="1:14" hidden="1">
      <c r="A27" s="42">
        <v>20</v>
      </c>
      <c r="B27" s="2" t="s">
        <v>365</v>
      </c>
      <c r="C27" s="2" t="s">
        <v>366</v>
      </c>
      <c r="D27" s="2" t="s">
        <v>11</v>
      </c>
      <c r="E27" s="43">
        <v>0.1</v>
      </c>
      <c r="F27" s="6">
        <v>175000000</v>
      </c>
      <c r="G27" s="2" t="s">
        <v>90</v>
      </c>
      <c r="H27" s="6">
        <v>175000000</v>
      </c>
      <c r="I27" s="2" t="s">
        <v>100</v>
      </c>
      <c r="J27" s="5"/>
      <c r="K27" s="5"/>
      <c r="L27" s="5"/>
      <c r="M27" s="203"/>
      <c r="N27" s="204"/>
    </row>
    <row r="28" spans="1:14" hidden="1">
      <c r="A28" s="42">
        <v>21</v>
      </c>
      <c r="B28" s="2" t="s">
        <v>367</v>
      </c>
      <c r="C28" s="2" t="s">
        <v>368</v>
      </c>
      <c r="D28" s="2" t="s">
        <v>11</v>
      </c>
      <c r="E28" s="43">
        <v>0.1</v>
      </c>
      <c r="F28" s="6">
        <v>175000000</v>
      </c>
      <c r="G28" s="2" t="s">
        <v>90</v>
      </c>
      <c r="H28" s="6">
        <v>175000000</v>
      </c>
      <c r="I28" s="2" t="s">
        <v>100</v>
      </c>
      <c r="J28" s="5"/>
      <c r="K28" s="5"/>
      <c r="L28" s="5"/>
      <c r="M28" s="203"/>
      <c r="N28" s="204"/>
    </row>
    <row r="29" spans="1:14" hidden="1">
      <c r="A29" s="42">
        <v>22</v>
      </c>
      <c r="B29" s="2" t="s">
        <v>369</v>
      </c>
      <c r="C29" s="2" t="s">
        <v>370</v>
      </c>
      <c r="D29" s="2" t="s">
        <v>11</v>
      </c>
      <c r="E29" s="43">
        <v>0.1</v>
      </c>
      <c r="F29" s="6">
        <v>53000000</v>
      </c>
      <c r="G29" s="2" t="s">
        <v>90</v>
      </c>
      <c r="H29" s="6">
        <v>53000000</v>
      </c>
      <c r="I29" s="2" t="s">
        <v>100</v>
      </c>
      <c r="J29" s="5"/>
      <c r="K29" s="5"/>
      <c r="L29" s="5"/>
      <c r="M29" s="203"/>
      <c r="N29" s="204"/>
    </row>
    <row r="30" spans="1:14" hidden="1">
      <c r="A30" s="42">
        <v>23</v>
      </c>
      <c r="B30" s="2" t="s">
        <v>371</v>
      </c>
      <c r="C30" s="2" t="s">
        <v>372</v>
      </c>
      <c r="D30" s="2" t="s">
        <v>11</v>
      </c>
      <c r="E30" s="43">
        <v>0.11</v>
      </c>
      <c r="F30" s="6">
        <v>100000000</v>
      </c>
      <c r="G30" s="2" t="s">
        <v>82</v>
      </c>
      <c r="H30" s="6">
        <f>100000000-20393274</f>
        <v>79606726</v>
      </c>
      <c r="I30" s="2" t="s">
        <v>99</v>
      </c>
      <c r="J30" s="5"/>
      <c r="K30" s="5"/>
      <c r="L30" s="5"/>
      <c r="M30" s="203"/>
      <c r="N30" s="204"/>
    </row>
    <row r="31" spans="1:14" hidden="1">
      <c r="A31" s="156" t="s">
        <v>101</v>
      </c>
      <c r="B31" s="156"/>
      <c r="C31" s="156"/>
      <c r="D31" s="156"/>
      <c r="E31" s="156"/>
      <c r="F31" s="156"/>
      <c r="G31" s="156"/>
      <c r="H31" s="156"/>
      <c r="I31" s="156"/>
      <c r="J31" s="5"/>
      <c r="K31" s="5"/>
      <c r="L31" s="5"/>
      <c r="M31" s="201"/>
      <c r="N31" s="202"/>
    </row>
    <row r="32" spans="1:14" hidden="1">
      <c r="A32" s="42">
        <v>24</v>
      </c>
      <c r="B32" s="2" t="s">
        <v>152</v>
      </c>
      <c r="C32" s="2" t="s">
        <v>373</v>
      </c>
      <c r="D32" s="2" t="s">
        <v>11</v>
      </c>
      <c r="E32" s="43">
        <v>0.11</v>
      </c>
      <c r="F32" s="6">
        <v>40000000</v>
      </c>
      <c r="G32" s="2" t="s">
        <v>81</v>
      </c>
      <c r="H32" s="6">
        <v>40000000</v>
      </c>
      <c r="I32" s="2" t="s">
        <v>100</v>
      </c>
      <c r="J32" s="5"/>
      <c r="K32" s="5"/>
      <c r="L32" s="5"/>
      <c r="M32" s="199"/>
      <c r="N32" s="200"/>
    </row>
    <row r="33" spans="1:14" hidden="1">
      <c r="A33" s="42">
        <v>25</v>
      </c>
      <c r="B33" s="2" t="s">
        <v>152</v>
      </c>
      <c r="C33" s="2" t="s">
        <v>374</v>
      </c>
      <c r="D33" s="2" t="s">
        <v>11</v>
      </c>
      <c r="E33" s="43">
        <v>0.11</v>
      </c>
      <c r="F33" s="6">
        <v>115000000</v>
      </c>
      <c r="G33" s="2" t="s">
        <v>81</v>
      </c>
      <c r="H33" s="6">
        <f>115000000-117342773</f>
        <v>-2342773</v>
      </c>
      <c r="I33" s="2" t="s">
        <v>99</v>
      </c>
      <c r="J33" s="5"/>
      <c r="K33" s="5"/>
      <c r="L33" s="5"/>
      <c r="M33" s="203"/>
      <c r="N33" s="204"/>
    </row>
    <row r="34" spans="1:14" hidden="1">
      <c r="A34" s="42"/>
      <c r="B34" s="2"/>
      <c r="C34" s="2"/>
      <c r="D34" s="2"/>
      <c r="E34" s="43"/>
      <c r="F34" s="6"/>
      <c r="G34" s="2"/>
      <c r="H34" s="6"/>
      <c r="I34" s="2"/>
      <c r="J34" s="5"/>
      <c r="K34" s="5"/>
      <c r="L34" s="5"/>
      <c r="M34" s="201"/>
      <c r="N34" s="202"/>
    </row>
    <row r="35" spans="1:14" hidden="1">
      <c r="A35" s="42">
        <v>26</v>
      </c>
      <c r="B35" s="2" t="s">
        <v>375</v>
      </c>
      <c r="C35" s="2" t="s">
        <v>376</v>
      </c>
      <c r="D35" s="2" t="s">
        <v>11</v>
      </c>
      <c r="E35" s="43">
        <v>0.1</v>
      </c>
      <c r="F35" s="6">
        <v>105000000</v>
      </c>
      <c r="G35" s="2" t="s">
        <v>306</v>
      </c>
      <c r="H35" s="6">
        <v>105000000</v>
      </c>
      <c r="I35" s="2" t="s">
        <v>100</v>
      </c>
      <c r="J35" s="5"/>
      <c r="K35" s="5"/>
      <c r="L35" s="5"/>
      <c r="M35" s="199"/>
      <c r="N35" s="200"/>
    </row>
    <row r="36" spans="1:14" hidden="1">
      <c r="A36" s="156" t="s">
        <v>101</v>
      </c>
      <c r="B36" s="156"/>
      <c r="C36" s="156"/>
      <c r="D36" s="156"/>
      <c r="E36" s="156"/>
      <c r="F36" s="156"/>
      <c r="G36" s="156"/>
      <c r="H36" s="156"/>
      <c r="I36" s="156"/>
      <c r="J36" s="5"/>
      <c r="K36" s="5"/>
      <c r="L36" s="5"/>
      <c r="M36" s="201"/>
      <c r="N36" s="202"/>
    </row>
    <row r="37" spans="1:14">
      <c r="A37" s="35"/>
      <c r="B37" s="35"/>
      <c r="C37" s="35"/>
      <c r="D37" s="35"/>
      <c r="E37" s="35"/>
      <c r="F37" s="35"/>
      <c r="G37" s="35"/>
      <c r="H37" s="35"/>
      <c r="I37" s="35"/>
      <c r="J37" s="5"/>
      <c r="K37" s="5"/>
      <c r="L37" s="5"/>
      <c r="M37" s="46"/>
      <c r="N37" s="47"/>
    </row>
    <row r="38" spans="1:14">
      <c r="A38" s="42">
        <v>7</v>
      </c>
      <c r="B38" s="2" t="s">
        <v>377</v>
      </c>
      <c r="C38" s="2" t="s">
        <v>378</v>
      </c>
      <c r="D38" s="2" t="s">
        <v>11</v>
      </c>
      <c r="E38" s="43">
        <v>0.11</v>
      </c>
      <c r="F38" s="6">
        <v>30000000</v>
      </c>
      <c r="G38" s="2" t="s">
        <v>186</v>
      </c>
      <c r="H38" s="6">
        <f>30000000-8118455</f>
        <v>21881545</v>
      </c>
      <c r="I38" s="2" t="s">
        <v>99</v>
      </c>
      <c r="J38" s="5">
        <v>150000</v>
      </c>
      <c r="K38" s="5">
        <f t="shared" ref="K38:K40" si="2">+J38*$O$2/100</f>
        <v>4500</v>
      </c>
      <c r="L38" s="5">
        <f t="shared" ref="L38:L40" si="3">+J38-K38</f>
        <v>145500</v>
      </c>
      <c r="M38" s="164" t="s">
        <v>315</v>
      </c>
      <c r="N38" s="165"/>
    </row>
    <row r="39" spans="1:14">
      <c r="A39" s="42">
        <v>8</v>
      </c>
      <c r="B39" s="2" t="s">
        <v>379</v>
      </c>
      <c r="C39" s="2" t="s">
        <v>380</v>
      </c>
      <c r="D39" s="2" t="s">
        <v>11</v>
      </c>
      <c r="E39" s="43">
        <v>0.11</v>
      </c>
      <c r="F39" s="6">
        <v>55000000</v>
      </c>
      <c r="G39" s="2" t="s">
        <v>186</v>
      </c>
      <c r="H39" s="6">
        <f>55000000-21333567</f>
        <v>33666433</v>
      </c>
      <c r="I39" s="2" t="s">
        <v>99</v>
      </c>
      <c r="J39" s="5">
        <v>150000</v>
      </c>
      <c r="K39" s="5">
        <f t="shared" si="2"/>
        <v>4500</v>
      </c>
      <c r="L39" s="5">
        <f t="shared" si="3"/>
        <v>145500</v>
      </c>
      <c r="M39" s="166"/>
      <c r="N39" s="167"/>
    </row>
    <row r="40" spans="1:14">
      <c r="A40" s="42">
        <v>9</v>
      </c>
      <c r="B40" s="2" t="s">
        <v>381</v>
      </c>
      <c r="C40" s="2" t="s">
        <v>382</v>
      </c>
      <c r="D40" s="2" t="s">
        <v>11</v>
      </c>
      <c r="E40" s="43">
        <v>0.11</v>
      </c>
      <c r="F40" s="6">
        <v>70000000</v>
      </c>
      <c r="G40" s="2" t="s">
        <v>186</v>
      </c>
      <c r="H40" s="6">
        <f>70000000-28579758</f>
        <v>41420242</v>
      </c>
      <c r="I40" s="2" t="s">
        <v>99</v>
      </c>
      <c r="J40" s="5">
        <v>200000</v>
      </c>
      <c r="K40" s="5">
        <f t="shared" si="2"/>
        <v>6000</v>
      </c>
      <c r="L40" s="5">
        <f t="shared" si="3"/>
        <v>194000</v>
      </c>
      <c r="M40" s="166"/>
      <c r="N40" s="167"/>
    </row>
    <row r="41" spans="1:14">
      <c r="A41" s="156" t="s">
        <v>101</v>
      </c>
      <c r="B41" s="156"/>
      <c r="C41" s="156"/>
      <c r="D41" s="156"/>
      <c r="E41" s="156"/>
      <c r="F41" s="156"/>
      <c r="G41" s="156"/>
      <c r="H41" s="156"/>
      <c r="I41" s="156"/>
      <c r="J41" s="37">
        <f>SUM(J38:J40)</f>
        <v>500000</v>
      </c>
      <c r="K41" s="37">
        <f>SUM(K38:K40)</f>
        <v>15000</v>
      </c>
      <c r="L41" s="37">
        <f>SUM(L38:L40)</f>
        <v>485000</v>
      </c>
      <c r="M41" s="168"/>
      <c r="N41" s="169"/>
    </row>
    <row r="42" spans="1:14" hidden="1">
      <c r="A42" s="42">
        <v>30</v>
      </c>
      <c r="B42" s="2" t="s">
        <v>383</v>
      </c>
      <c r="C42" s="2" t="s">
        <v>384</v>
      </c>
      <c r="D42" s="2" t="s">
        <v>11</v>
      </c>
      <c r="E42" s="43">
        <v>0.1</v>
      </c>
      <c r="F42" s="6">
        <v>375000000</v>
      </c>
      <c r="G42" s="2" t="s">
        <v>385</v>
      </c>
      <c r="H42" s="6">
        <v>375000000</v>
      </c>
      <c r="I42" s="2" t="s">
        <v>100</v>
      </c>
      <c r="J42" s="5"/>
      <c r="K42" s="5"/>
      <c r="L42" s="5"/>
      <c r="M42" s="193"/>
      <c r="N42" s="194"/>
    </row>
    <row r="43" spans="1:14" hidden="1">
      <c r="A43" s="156" t="s">
        <v>101</v>
      </c>
      <c r="B43" s="156"/>
      <c r="C43" s="156"/>
      <c r="D43" s="156"/>
      <c r="E43" s="156"/>
      <c r="F43" s="156"/>
      <c r="G43" s="156"/>
      <c r="H43" s="156"/>
      <c r="I43" s="156"/>
      <c r="J43" s="5"/>
      <c r="K43" s="5"/>
      <c r="L43" s="5"/>
      <c r="M43" s="170"/>
      <c r="N43" s="171"/>
    </row>
    <row r="44" spans="1:14" hidden="1">
      <c r="A44" s="42">
        <v>31</v>
      </c>
      <c r="B44" s="2" t="s">
        <v>386</v>
      </c>
      <c r="C44" s="2" t="s">
        <v>387</v>
      </c>
      <c r="D44" s="2" t="s">
        <v>11</v>
      </c>
      <c r="E44" s="43">
        <v>0.11</v>
      </c>
      <c r="F44" s="6">
        <v>200000000</v>
      </c>
      <c r="G44" s="2" t="s">
        <v>388</v>
      </c>
      <c r="H44" s="6">
        <f>200000000-138268607</f>
        <v>61731393</v>
      </c>
      <c r="I44" s="2" t="s">
        <v>99</v>
      </c>
      <c r="J44" s="5"/>
      <c r="K44" s="5"/>
      <c r="L44" s="5"/>
      <c r="M44" s="193"/>
      <c r="N44" s="194"/>
    </row>
    <row r="45" spans="1:14">
      <c r="A45" s="42"/>
      <c r="B45" s="2"/>
      <c r="C45" s="2"/>
      <c r="D45" s="2"/>
      <c r="E45" s="43"/>
      <c r="F45" s="6"/>
      <c r="G45" s="2"/>
      <c r="H45" s="6"/>
      <c r="I45" s="2"/>
      <c r="J45" s="5"/>
      <c r="K45" s="5"/>
      <c r="L45" s="5"/>
      <c r="M45" s="195"/>
      <c r="N45" s="196"/>
    </row>
    <row r="46" spans="1:14">
      <c r="A46" s="156" t="s">
        <v>101</v>
      </c>
      <c r="B46" s="156"/>
      <c r="C46" s="156"/>
      <c r="D46" s="156"/>
      <c r="E46" s="156"/>
      <c r="F46" s="156"/>
      <c r="G46" s="156"/>
      <c r="H46" s="156"/>
      <c r="I46" s="156"/>
      <c r="J46" s="37">
        <f>+J41+J25+J12</f>
        <v>3500000</v>
      </c>
      <c r="K46" s="37">
        <f>+K41+K25+K12</f>
        <v>105000</v>
      </c>
      <c r="L46" s="37">
        <f>+L41+L25+L12</f>
        <v>3395000</v>
      </c>
      <c r="M46" s="170"/>
      <c r="N46" s="171"/>
    </row>
    <row r="47" spans="1:14">
      <c r="H47" s="45"/>
    </row>
  </sheetData>
  <mergeCells count="21">
    <mergeCell ref="M38:N41"/>
    <mergeCell ref="A41:I41"/>
    <mergeCell ref="M42:N43"/>
    <mergeCell ref="A43:I43"/>
    <mergeCell ref="M44:N46"/>
    <mergeCell ref="A46:I46"/>
    <mergeCell ref="M35:N36"/>
    <mergeCell ref="A36:I36"/>
    <mergeCell ref="A1:N1"/>
    <mergeCell ref="M3:N12"/>
    <mergeCell ref="A12:I12"/>
    <mergeCell ref="M13:N14"/>
    <mergeCell ref="A14:I14"/>
    <mergeCell ref="M15:N20"/>
    <mergeCell ref="A20:I20"/>
    <mergeCell ref="M2:N2"/>
    <mergeCell ref="M22:N25"/>
    <mergeCell ref="A25:I25"/>
    <mergeCell ref="M26:N31"/>
    <mergeCell ref="A31:I31"/>
    <mergeCell ref="M32:N34"/>
  </mergeCells>
  <pageMargins left="0.31496062992125984" right="0.31496062992125984" top="0.74803149606299213" bottom="0.74803149606299213" header="0.31496062992125984" footer="0.31496062992125984"/>
  <pageSetup paperSize="5" scale="8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8"/>
  <sheetViews>
    <sheetView topLeftCell="A25" workbookViewId="0">
      <selection activeCell="F16" sqref="F16"/>
    </sheetView>
  </sheetViews>
  <sheetFormatPr defaultRowHeight="15"/>
  <cols>
    <col min="1" max="1" width="5.42578125" customWidth="1"/>
    <col min="2" max="2" width="28.7109375" bestFit="1" customWidth="1"/>
    <col min="3" max="3" width="11.42578125" style="14" bestFit="1" customWidth="1"/>
    <col min="4" max="4" width="12" customWidth="1"/>
    <col min="5" max="5" width="12" style="10" customWidth="1"/>
    <col min="6" max="6" width="12.5703125" bestFit="1" customWidth="1"/>
    <col min="7" max="7" width="28.140625" bestFit="1" customWidth="1"/>
    <col min="8" max="8" width="14.7109375" customWidth="1"/>
  </cols>
  <sheetData>
    <row r="1" spans="1:10" ht="18.7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>
      <c r="A2" s="5" t="s">
        <v>1</v>
      </c>
      <c r="B2" s="5" t="s">
        <v>2</v>
      </c>
      <c r="C2" s="11" t="s">
        <v>3</v>
      </c>
      <c r="D2" s="5" t="s">
        <v>4</v>
      </c>
      <c r="E2" s="3" t="s">
        <v>5</v>
      </c>
      <c r="F2" s="7" t="s">
        <v>6</v>
      </c>
      <c r="G2" s="7" t="s">
        <v>7</v>
      </c>
      <c r="H2" s="4" t="s">
        <v>8</v>
      </c>
      <c r="I2" s="1"/>
    </row>
    <row r="3" spans="1:10">
      <c r="A3" s="8">
        <v>9</v>
      </c>
      <c r="B3" s="8" t="s">
        <v>26</v>
      </c>
      <c r="C3" s="13" t="s">
        <v>27</v>
      </c>
      <c r="D3" s="8" t="s">
        <v>11</v>
      </c>
      <c r="E3" s="10">
        <v>0.11</v>
      </c>
      <c r="F3" s="8">
        <v>90000000</v>
      </c>
      <c r="G3" s="8" t="s">
        <v>84</v>
      </c>
      <c r="H3" s="8">
        <f>F3-5284942</f>
        <v>84715058</v>
      </c>
      <c r="I3" s="8"/>
      <c r="J3" s="8"/>
    </row>
    <row r="4" spans="1:10">
      <c r="A4" s="8">
        <v>25</v>
      </c>
      <c r="B4" s="8" t="s">
        <v>58</v>
      </c>
      <c r="C4" s="13" t="s">
        <v>59</v>
      </c>
      <c r="D4" s="8" t="s">
        <v>11</v>
      </c>
      <c r="E4" s="10">
        <v>0.11</v>
      </c>
      <c r="F4" s="8">
        <v>110000000</v>
      </c>
      <c r="G4" s="8" t="s">
        <v>91</v>
      </c>
      <c r="H4" s="8">
        <f>F4-94920505</f>
        <v>15079495</v>
      </c>
      <c r="I4" s="8"/>
      <c r="J4" s="8"/>
    </row>
    <row r="5" spans="1:10">
      <c r="A5" s="8">
        <v>24</v>
      </c>
      <c r="B5" s="8" t="s">
        <v>56</v>
      </c>
      <c r="C5" s="13" t="s">
        <v>57</v>
      </c>
      <c r="D5" s="8" t="s">
        <v>11</v>
      </c>
      <c r="E5" s="10">
        <v>0.11</v>
      </c>
      <c r="F5" s="8">
        <v>150000000</v>
      </c>
      <c r="G5" s="8" t="s">
        <v>90</v>
      </c>
      <c r="H5" s="8">
        <f>F5-101442116</f>
        <v>48557884</v>
      </c>
      <c r="I5" s="8"/>
      <c r="J5" s="8"/>
    </row>
    <row r="6" spans="1:10">
      <c r="A6" s="8">
        <v>7</v>
      </c>
      <c r="B6" s="8" t="s">
        <v>22</v>
      </c>
      <c r="C6" s="13" t="s">
        <v>23</v>
      </c>
      <c r="D6" s="8" t="s">
        <v>11</v>
      </c>
      <c r="E6" s="10">
        <v>0.11</v>
      </c>
      <c r="F6" s="8">
        <v>205000000</v>
      </c>
      <c r="G6" s="8" t="s">
        <v>82</v>
      </c>
      <c r="H6" s="8">
        <f>F6-157768877</f>
        <v>47231123</v>
      </c>
      <c r="I6" s="8"/>
      <c r="J6" s="8"/>
    </row>
    <row r="7" spans="1:10">
      <c r="A7" s="8">
        <v>32</v>
      </c>
      <c r="B7" s="8" t="s">
        <v>72</v>
      </c>
      <c r="C7" s="13" t="s">
        <v>73</v>
      </c>
      <c r="D7" s="8" t="s">
        <v>11</v>
      </c>
      <c r="E7" s="10">
        <v>0.11</v>
      </c>
      <c r="F7" s="8">
        <v>35000000</v>
      </c>
      <c r="G7" s="8" t="s">
        <v>93</v>
      </c>
      <c r="H7" s="8">
        <f>F7</f>
        <v>35000000</v>
      </c>
      <c r="I7" s="8"/>
      <c r="J7" s="8"/>
    </row>
    <row r="8" spans="1:10">
      <c r="A8" s="8">
        <v>15</v>
      </c>
      <c r="B8" s="8" t="s">
        <v>38</v>
      </c>
      <c r="C8" s="13" t="s">
        <v>39</v>
      </c>
      <c r="D8" s="8" t="s">
        <v>11</v>
      </c>
      <c r="E8" s="10">
        <v>0.1</v>
      </c>
      <c r="F8" s="8">
        <v>65000000</v>
      </c>
      <c r="G8" s="8" t="s">
        <v>86</v>
      </c>
      <c r="H8" s="8">
        <f>F8</f>
        <v>65000000</v>
      </c>
      <c r="I8" s="8"/>
      <c r="J8" s="8"/>
    </row>
    <row r="9" spans="1:10">
      <c r="A9" s="8">
        <v>35</v>
      </c>
      <c r="B9" s="8" t="s">
        <v>78</v>
      </c>
      <c r="C9" s="13" t="s">
        <v>79</v>
      </c>
      <c r="D9" s="8" t="s">
        <v>11</v>
      </c>
      <c r="E9" s="9">
        <v>0.105</v>
      </c>
      <c r="F9" s="8">
        <v>30000000</v>
      </c>
      <c r="G9" s="8" t="s">
        <v>86</v>
      </c>
      <c r="H9" s="8">
        <f>F9</f>
        <v>30000000</v>
      </c>
      <c r="I9" s="8"/>
      <c r="J9" s="8"/>
    </row>
    <row r="10" spans="1:10">
      <c r="A10" s="8">
        <v>2</v>
      </c>
      <c r="B10" s="8" t="s">
        <v>12</v>
      </c>
      <c r="C10" s="12" t="s">
        <v>15</v>
      </c>
      <c r="D10" s="8" t="s">
        <v>11</v>
      </c>
      <c r="E10" s="10">
        <v>0.1</v>
      </c>
      <c r="F10" s="8">
        <v>100000000</v>
      </c>
      <c r="G10" s="8" t="s">
        <v>81</v>
      </c>
      <c r="H10" s="8">
        <f>F10-10778342</f>
        <v>89221658</v>
      </c>
      <c r="I10" s="8"/>
      <c r="J10" s="8"/>
    </row>
    <row r="11" spans="1:10">
      <c r="A11" s="8">
        <v>10</v>
      </c>
      <c r="B11" s="8" t="s">
        <v>28</v>
      </c>
      <c r="C11" s="13" t="s">
        <v>29</v>
      </c>
      <c r="D11" s="8" t="s">
        <v>11</v>
      </c>
      <c r="E11" s="9">
        <v>0.105</v>
      </c>
      <c r="F11" s="8">
        <v>30000000</v>
      </c>
      <c r="G11" s="8" t="s">
        <v>85</v>
      </c>
      <c r="H11" s="8">
        <f>F11</f>
        <v>30000000</v>
      </c>
      <c r="I11" s="8"/>
      <c r="J11" s="8"/>
    </row>
    <row r="12" spans="1:10">
      <c r="A12" s="8">
        <v>17</v>
      </c>
      <c r="B12" s="8" t="s">
        <v>42</v>
      </c>
      <c r="C12" s="13" t="s">
        <v>43</v>
      </c>
      <c r="D12" s="8" t="s">
        <v>11</v>
      </c>
      <c r="E12" s="10">
        <v>0.11</v>
      </c>
      <c r="F12" s="8">
        <v>130000000</v>
      </c>
      <c r="G12" s="8" t="s">
        <v>87</v>
      </c>
      <c r="H12" s="8">
        <f>F12-54499946</f>
        <v>75500054</v>
      </c>
      <c r="I12" s="8"/>
      <c r="J12" s="8"/>
    </row>
    <row r="13" spans="1:10">
      <c r="A13" s="8">
        <v>27</v>
      </c>
      <c r="B13" s="8" t="s">
        <v>62</v>
      </c>
      <c r="C13" s="13" t="s">
        <v>63</v>
      </c>
      <c r="D13" s="8" t="s">
        <v>11</v>
      </c>
      <c r="E13" s="10">
        <v>0.09</v>
      </c>
      <c r="F13" s="8">
        <v>280000000</v>
      </c>
      <c r="G13" s="8" t="s">
        <v>87</v>
      </c>
      <c r="H13" s="8">
        <f>F13</f>
        <v>280000000</v>
      </c>
      <c r="I13" s="8"/>
      <c r="J13" s="8"/>
    </row>
    <row r="14" spans="1:10">
      <c r="A14" s="8">
        <v>1</v>
      </c>
      <c r="B14" s="8" t="s">
        <v>9</v>
      </c>
      <c r="C14" s="12" t="s">
        <v>10</v>
      </c>
      <c r="D14" s="8" t="s">
        <v>11</v>
      </c>
      <c r="E14" s="10">
        <v>0.12</v>
      </c>
      <c r="F14" s="8">
        <v>15000000</v>
      </c>
      <c r="G14" s="8" t="s">
        <v>80</v>
      </c>
      <c r="H14" s="8">
        <f>F14</f>
        <v>15000000</v>
      </c>
      <c r="I14" s="8"/>
      <c r="J14" s="8"/>
    </row>
    <row r="15" spans="1:10">
      <c r="A15" s="8">
        <v>3</v>
      </c>
      <c r="B15" s="8" t="s">
        <v>14</v>
      </c>
      <c r="C15" s="12" t="s">
        <v>13</v>
      </c>
      <c r="D15" s="8" t="s">
        <v>11</v>
      </c>
      <c r="E15" s="10">
        <v>0.12</v>
      </c>
      <c r="F15" s="8">
        <v>140000000</v>
      </c>
      <c r="G15" s="8" t="s">
        <v>80</v>
      </c>
      <c r="H15" s="8">
        <f>F15-130416849</f>
        <v>9583151</v>
      </c>
      <c r="I15" s="8"/>
      <c r="J15" s="8"/>
    </row>
    <row r="16" spans="1:10">
      <c r="A16" s="8">
        <v>4</v>
      </c>
      <c r="B16" s="8" t="s">
        <v>16</v>
      </c>
      <c r="C16" s="13" t="s">
        <v>17</v>
      </c>
      <c r="D16" s="8" t="s">
        <v>11</v>
      </c>
      <c r="E16" s="10">
        <v>0.12</v>
      </c>
      <c r="F16" s="8">
        <v>72000000</v>
      </c>
      <c r="G16" s="8" t="s">
        <v>80</v>
      </c>
      <c r="H16" s="8">
        <f>F16-18055568</f>
        <v>53944432</v>
      </c>
      <c r="I16" s="8"/>
      <c r="J16" s="8"/>
    </row>
    <row r="17" spans="1:10">
      <c r="A17" s="8">
        <v>5</v>
      </c>
      <c r="B17" s="8" t="s">
        <v>18</v>
      </c>
      <c r="C17" s="13" t="s">
        <v>20</v>
      </c>
      <c r="D17" s="8" t="s">
        <v>11</v>
      </c>
      <c r="E17" s="10">
        <v>0.12</v>
      </c>
      <c r="F17" s="8">
        <v>65000000</v>
      </c>
      <c r="G17" s="8" t="s">
        <v>80</v>
      </c>
      <c r="H17" s="8">
        <f>F17-32052581</f>
        <v>32947419</v>
      </c>
      <c r="I17" s="8"/>
      <c r="J17" s="8"/>
    </row>
    <row r="18" spans="1:10">
      <c r="A18" s="8">
        <v>6</v>
      </c>
      <c r="B18" s="8" t="s">
        <v>19</v>
      </c>
      <c r="C18" s="13" t="s">
        <v>21</v>
      </c>
      <c r="D18" s="8" t="s">
        <v>11</v>
      </c>
      <c r="E18" s="10">
        <v>0.11</v>
      </c>
      <c r="F18" s="8">
        <v>230000000</v>
      </c>
      <c r="G18" s="8" t="s">
        <v>80</v>
      </c>
      <c r="H18" s="8">
        <f>F18</f>
        <v>230000000</v>
      </c>
      <c r="I18" s="8"/>
      <c r="J18" s="8"/>
    </row>
    <row r="19" spans="1:10">
      <c r="A19" s="8">
        <v>11</v>
      </c>
      <c r="B19" s="8" t="s">
        <v>30</v>
      </c>
      <c r="C19" s="13" t="s">
        <v>31</v>
      </c>
      <c r="D19" s="8" t="s">
        <v>11</v>
      </c>
      <c r="E19" s="10">
        <v>0.12</v>
      </c>
      <c r="F19" s="8">
        <v>85000000</v>
      </c>
      <c r="G19" s="8" t="s">
        <v>80</v>
      </c>
      <c r="H19" s="8">
        <f>F19-52859152</f>
        <v>32140848</v>
      </c>
      <c r="I19" s="8"/>
      <c r="J19" s="8"/>
    </row>
    <row r="20" spans="1:10">
      <c r="A20" s="8">
        <v>12</v>
      </c>
      <c r="B20" s="8" t="s">
        <v>32</v>
      </c>
      <c r="C20" s="13" t="s">
        <v>33</v>
      </c>
      <c r="D20" s="8" t="s">
        <v>11</v>
      </c>
      <c r="E20" s="10">
        <v>0.12</v>
      </c>
      <c r="F20" s="8">
        <v>50000000</v>
      </c>
      <c r="G20" s="8" t="s">
        <v>80</v>
      </c>
      <c r="H20" s="8">
        <f>F20-9691596</f>
        <v>40308404</v>
      </c>
      <c r="I20" s="8"/>
      <c r="J20" s="8"/>
    </row>
    <row r="21" spans="1:10">
      <c r="A21" s="8">
        <v>13</v>
      </c>
      <c r="B21" s="8" t="s">
        <v>34</v>
      </c>
      <c r="C21" s="13" t="s">
        <v>35</v>
      </c>
      <c r="D21" s="8" t="s">
        <v>11</v>
      </c>
      <c r="E21" s="10">
        <v>0.12</v>
      </c>
      <c r="F21" s="8">
        <v>143000000</v>
      </c>
      <c r="G21" s="8" t="s">
        <v>80</v>
      </c>
      <c r="H21" s="8">
        <f>F21-124338359</f>
        <v>18661641</v>
      </c>
      <c r="I21" s="8"/>
      <c r="J21" s="8"/>
    </row>
    <row r="22" spans="1:10">
      <c r="A22" s="8">
        <v>14</v>
      </c>
      <c r="B22" s="8" t="s">
        <v>36</v>
      </c>
      <c r="C22" s="13" t="s">
        <v>37</v>
      </c>
      <c r="D22" s="8" t="s">
        <v>11</v>
      </c>
      <c r="E22" s="10">
        <v>0.12</v>
      </c>
      <c r="F22" s="8">
        <v>165000000</v>
      </c>
      <c r="G22" s="8" t="s">
        <v>80</v>
      </c>
      <c r="H22" s="8">
        <f>F22-127918327</f>
        <v>37081673</v>
      </c>
      <c r="I22" s="8"/>
      <c r="J22" s="8"/>
    </row>
    <row r="23" spans="1:10">
      <c r="A23" s="8">
        <v>16</v>
      </c>
      <c r="B23" s="8" t="s">
        <v>40</v>
      </c>
      <c r="C23" s="13" t="s">
        <v>41</v>
      </c>
      <c r="D23" s="8" t="s">
        <v>11</v>
      </c>
      <c r="E23" s="10">
        <v>0.12</v>
      </c>
      <c r="F23" s="8">
        <v>45000000</v>
      </c>
      <c r="G23" s="8" t="s">
        <v>80</v>
      </c>
      <c r="H23" s="8">
        <f>F23</f>
        <v>45000000</v>
      </c>
      <c r="I23" s="8"/>
      <c r="J23" s="8"/>
    </row>
    <row r="24" spans="1:10">
      <c r="A24" s="8">
        <v>18</v>
      </c>
      <c r="B24" s="8" t="s">
        <v>44</v>
      </c>
      <c r="C24" s="13" t="s">
        <v>45</v>
      </c>
      <c r="D24" s="8" t="s">
        <v>11</v>
      </c>
      <c r="E24" s="10">
        <v>0.12</v>
      </c>
      <c r="F24" s="8">
        <v>90000000</v>
      </c>
      <c r="G24" s="8" t="s">
        <v>80</v>
      </c>
      <c r="H24" s="8">
        <f>F24-45505695</f>
        <v>44494305</v>
      </c>
      <c r="I24" s="8"/>
      <c r="J24" s="8"/>
    </row>
    <row r="25" spans="1:10">
      <c r="A25" s="8">
        <v>21</v>
      </c>
      <c r="B25" s="8" t="s">
        <v>50</v>
      </c>
      <c r="C25" s="13" t="s">
        <v>51</v>
      </c>
      <c r="D25" s="8" t="s">
        <v>11</v>
      </c>
      <c r="E25" s="10">
        <v>0.12</v>
      </c>
      <c r="F25" s="8">
        <v>15000000</v>
      </c>
      <c r="G25" s="8" t="s">
        <v>80</v>
      </c>
      <c r="H25" s="8">
        <f>F25</f>
        <v>15000000</v>
      </c>
      <c r="I25" s="8"/>
      <c r="J25" s="8"/>
    </row>
    <row r="26" spans="1:10">
      <c r="A26" s="8">
        <v>22</v>
      </c>
      <c r="B26" s="8" t="s">
        <v>52</v>
      </c>
      <c r="C26" s="13" t="s">
        <v>53</v>
      </c>
      <c r="D26" s="8" t="s">
        <v>11</v>
      </c>
      <c r="E26" s="10">
        <v>0.12</v>
      </c>
      <c r="F26" s="8">
        <v>260000000</v>
      </c>
      <c r="G26" s="8" t="s">
        <v>80</v>
      </c>
      <c r="H26" s="8">
        <f>F26-96755040</f>
        <v>163244960</v>
      </c>
      <c r="I26" s="8"/>
      <c r="J26" s="8"/>
    </row>
    <row r="27" spans="1:10">
      <c r="A27" s="8">
        <v>23</v>
      </c>
      <c r="B27" s="8" t="s">
        <v>54</v>
      </c>
      <c r="C27" s="13" t="s">
        <v>55</v>
      </c>
      <c r="D27" s="8" t="s">
        <v>11</v>
      </c>
      <c r="E27" s="10">
        <v>0.12</v>
      </c>
      <c r="F27" s="8">
        <v>8000000</v>
      </c>
      <c r="G27" s="8" t="s">
        <v>80</v>
      </c>
      <c r="H27" s="8">
        <f>F27</f>
        <v>8000000</v>
      </c>
      <c r="I27" s="8"/>
      <c r="J27" s="8"/>
    </row>
    <row r="28" spans="1:10">
      <c r="A28" s="8">
        <v>26</v>
      </c>
      <c r="B28" s="8" t="s">
        <v>60</v>
      </c>
      <c r="C28" s="13" t="s">
        <v>61</v>
      </c>
      <c r="D28" s="8" t="s">
        <v>11</v>
      </c>
      <c r="E28" s="10">
        <v>0.12</v>
      </c>
      <c r="F28" s="8">
        <v>200000000</v>
      </c>
      <c r="G28" s="8" t="s">
        <v>80</v>
      </c>
      <c r="H28" s="8">
        <f>F28</f>
        <v>200000000</v>
      </c>
      <c r="I28" s="8"/>
      <c r="J28" s="8"/>
    </row>
    <row r="29" spans="1:10">
      <c r="A29" s="8">
        <v>28</v>
      </c>
      <c r="B29" s="8" t="s">
        <v>64</v>
      </c>
      <c r="C29" s="13" t="s">
        <v>65</v>
      </c>
      <c r="D29" s="8" t="s">
        <v>11</v>
      </c>
      <c r="E29" s="10">
        <v>0.12</v>
      </c>
      <c r="F29" s="8">
        <v>10000000</v>
      </c>
      <c r="G29" s="8" t="s">
        <v>80</v>
      </c>
      <c r="H29" s="8">
        <f>F29</f>
        <v>10000000</v>
      </c>
      <c r="I29" s="8"/>
      <c r="J29" s="8"/>
    </row>
    <row r="30" spans="1:10">
      <c r="A30" s="8">
        <v>29</v>
      </c>
      <c r="B30" s="8" t="s">
        <v>66</v>
      </c>
      <c r="C30" s="13" t="s">
        <v>67</v>
      </c>
      <c r="D30" s="8" t="s">
        <v>11</v>
      </c>
      <c r="E30" s="10">
        <v>0.12</v>
      </c>
      <c r="F30" s="8">
        <v>120000000</v>
      </c>
      <c r="G30" s="8" t="s">
        <v>80</v>
      </c>
      <c r="H30" s="8">
        <f>F30-102777198</f>
        <v>17222802</v>
      </c>
      <c r="I30" s="8"/>
      <c r="J30" s="8"/>
    </row>
    <row r="31" spans="1:10">
      <c r="A31" s="8">
        <v>30</v>
      </c>
      <c r="B31" s="8" t="s">
        <v>68</v>
      </c>
      <c r="C31" s="13" t="s">
        <v>69</v>
      </c>
      <c r="D31" s="8" t="s">
        <v>11</v>
      </c>
      <c r="E31" s="10">
        <v>0.11</v>
      </c>
      <c r="F31" s="8">
        <v>150000000</v>
      </c>
      <c r="G31" s="8" t="s">
        <v>80</v>
      </c>
      <c r="H31" s="8">
        <f>F31-127342306</f>
        <v>22657694</v>
      </c>
      <c r="I31" s="8"/>
      <c r="J31" s="8"/>
    </row>
    <row r="32" spans="1:10">
      <c r="A32" s="8">
        <v>33</v>
      </c>
      <c r="B32" s="8" t="s">
        <v>74</v>
      </c>
      <c r="C32" s="13" t="s">
        <v>75</v>
      </c>
      <c r="D32" s="8" t="s">
        <v>11</v>
      </c>
      <c r="E32" s="10">
        <v>0.12</v>
      </c>
      <c r="F32" s="8">
        <v>95000000</v>
      </c>
      <c r="G32" s="8" t="s">
        <v>80</v>
      </c>
      <c r="H32" s="8">
        <f>F32</f>
        <v>95000000</v>
      </c>
      <c r="I32" s="8"/>
      <c r="J32" s="8"/>
    </row>
    <row r="33" spans="1:10">
      <c r="A33" s="8">
        <v>31</v>
      </c>
      <c r="B33" s="8" t="s">
        <v>70</v>
      </c>
      <c r="C33" s="13" t="s">
        <v>71</v>
      </c>
      <c r="D33" s="8" t="s">
        <v>11</v>
      </c>
      <c r="E33" s="10">
        <v>0.12</v>
      </c>
      <c r="F33" s="8">
        <v>45000000</v>
      </c>
      <c r="G33" s="8" t="s">
        <v>92</v>
      </c>
      <c r="H33" s="8">
        <f>F33</f>
        <v>45000000</v>
      </c>
      <c r="I33" s="8"/>
      <c r="J33" s="8"/>
    </row>
    <row r="34" spans="1:10">
      <c r="A34" s="8">
        <v>34</v>
      </c>
      <c r="B34" s="8" t="s">
        <v>76</v>
      </c>
      <c r="C34" s="13" t="s">
        <v>77</v>
      </c>
      <c r="D34" s="8" t="s">
        <v>11</v>
      </c>
      <c r="E34" s="10">
        <v>0.12</v>
      </c>
      <c r="F34" s="8">
        <v>200000000</v>
      </c>
      <c r="G34" s="8" t="s">
        <v>92</v>
      </c>
      <c r="H34" s="8">
        <f>F34</f>
        <v>200000000</v>
      </c>
      <c r="I34" s="8"/>
      <c r="J34" s="8"/>
    </row>
    <row r="35" spans="1:10">
      <c r="A35" s="8">
        <v>8</v>
      </c>
      <c r="B35" s="8" t="s">
        <v>24</v>
      </c>
      <c r="C35" s="13" t="s">
        <v>25</v>
      </c>
      <c r="D35" s="8" t="s">
        <v>11</v>
      </c>
      <c r="E35" s="10">
        <v>0.09</v>
      </c>
      <c r="F35" s="8">
        <v>45000000</v>
      </c>
      <c r="G35" s="8" t="s">
        <v>83</v>
      </c>
      <c r="H35" s="8">
        <f>F35-38609315</f>
        <v>6390685</v>
      </c>
      <c r="I35" s="8"/>
      <c r="J35" s="8"/>
    </row>
    <row r="36" spans="1:10">
      <c r="A36" s="8">
        <v>19</v>
      </c>
      <c r="B36" s="8" t="s">
        <v>46</v>
      </c>
      <c r="C36" s="13" t="s">
        <v>47</v>
      </c>
      <c r="D36" s="8" t="s">
        <v>11</v>
      </c>
      <c r="E36" s="10">
        <v>0.11</v>
      </c>
      <c r="F36" s="8">
        <v>70000000</v>
      </c>
      <c r="G36" s="8" t="s">
        <v>88</v>
      </c>
      <c r="H36" s="8">
        <f>F36</f>
        <v>70000000</v>
      </c>
      <c r="I36" s="8"/>
      <c r="J36" s="8"/>
    </row>
    <row r="37" spans="1:10">
      <c r="A37" s="8">
        <v>20</v>
      </c>
      <c r="B37" s="8" t="s">
        <v>48</v>
      </c>
      <c r="C37" s="13" t="s">
        <v>49</v>
      </c>
      <c r="D37" s="8" t="s">
        <v>11</v>
      </c>
      <c r="E37" s="10">
        <v>0.11</v>
      </c>
      <c r="F37" s="8">
        <v>60000000</v>
      </c>
      <c r="G37" s="8" t="s">
        <v>89</v>
      </c>
      <c r="H37" s="8">
        <f>F37</f>
        <v>60000000</v>
      </c>
      <c r="I37" s="8"/>
      <c r="J37" s="8"/>
    </row>
    <row r="38" spans="1:10">
      <c r="H38" s="15">
        <f>SUM(H3:H37)</f>
        <v>2271983286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AGUSTUS 2021</vt:lpstr>
      <vt:lpstr>0312</vt:lpstr>
      <vt:lpstr>JANUARI 21</vt:lpstr>
      <vt:lpstr>DESEMBER</vt:lpstr>
      <vt:lpstr>November</vt:lpstr>
      <vt:lpstr>OKTOBER</vt:lpstr>
      <vt:lpstr>SEPTEMBER</vt:lpstr>
      <vt:lpstr>JULI</vt:lpstr>
      <vt:lpstr>Sheet1</vt:lpstr>
      <vt:lpstr>AGUSTUS</vt:lpstr>
      <vt:lpstr>Sheet2</vt:lpstr>
      <vt:lpstr>Sheet4</vt:lpstr>
      <vt:lpstr>Sheet3</vt:lpstr>
      <vt:lpstr>FEB-MEI</vt:lpstr>
      <vt:lpstr>JUNI</vt:lpstr>
      <vt:lpstr>AGUSTUS!Print_Area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zulfa.salsabila</dc:creator>
  <cp:lastModifiedBy>zulfa.salsabila</cp:lastModifiedBy>
  <cp:lastPrinted>2021-09-01T04:41:31Z</cp:lastPrinted>
  <dcterms:created xsi:type="dcterms:W3CDTF">2020-03-31T02:09:43Z</dcterms:created>
  <dcterms:modified xsi:type="dcterms:W3CDTF">2021-09-01T04:44:51Z</dcterms:modified>
</cp:coreProperties>
</file>