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715" yWindow="-90" windowWidth="11520" windowHeight="8895"/>
  </bookViews>
  <sheets>
    <sheet name="KOLEK-KAP" sheetId="1" r:id="rId1"/>
    <sheet name="Sheet2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R37" i="1" l="1"/>
  <c r="R39" i="1"/>
  <c r="Q37" i="1"/>
  <c r="Q39" i="1" s="1"/>
  <c r="R38" i="1"/>
  <c r="Q38" i="1"/>
  <c r="R11" i="1" l="1"/>
  <c r="R34" i="1"/>
  <c r="R20" i="1" l="1"/>
  <c r="R18" i="1"/>
  <c r="R32" i="1"/>
  <c r="R22" i="1"/>
  <c r="R26" i="1"/>
  <c r="R17" i="1"/>
  <c r="R31" i="1"/>
  <c r="R30" i="1"/>
  <c r="R28" i="1"/>
  <c r="R10" i="1"/>
  <c r="R13" i="1"/>
  <c r="R23" i="1"/>
  <c r="R24" i="1"/>
  <c r="O12" i="1" l="1"/>
  <c r="O19" i="1"/>
  <c r="O21" i="1"/>
  <c r="P12" i="1"/>
  <c r="P19" i="1"/>
  <c r="P21" i="1"/>
  <c r="F34" i="1"/>
  <c r="X52" i="1" l="1"/>
  <c r="L34" i="1" l="1"/>
  <c r="N33" i="1"/>
  <c r="Q33" i="1"/>
  <c r="K34" i="1"/>
  <c r="M33" i="1"/>
  <c r="J34" i="1"/>
  <c r="I34" i="1"/>
  <c r="H34" i="1"/>
  <c r="G34" i="1"/>
  <c r="E34" i="1"/>
  <c r="D34" i="1"/>
  <c r="C34" i="1"/>
  <c r="O33" i="1" l="1"/>
  <c r="P33" i="1"/>
  <c r="AH16" i="1"/>
  <c r="AH17" i="1"/>
  <c r="AH18" i="1"/>
  <c r="AG16" i="1"/>
  <c r="AG17" i="1"/>
  <c r="AG18" i="1"/>
  <c r="AF49" i="1"/>
  <c r="AA44" i="1"/>
  <c r="AH43" i="1"/>
  <c r="AH39" i="1"/>
  <c r="AH30" i="1"/>
  <c r="AG30" i="1"/>
  <c r="AH29" i="1"/>
  <c r="AG29" i="1"/>
  <c r="AH23" i="1"/>
  <c r="AG23" i="1"/>
  <c r="AH22" i="1"/>
  <c r="AG22" i="1"/>
  <c r="AH12" i="1"/>
  <c r="AG12" i="1"/>
  <c r="AH8" i="1"/>
  <c r="AH10" i="1" l="1"/>
  <c r="AH15" i="1"/>
  <c r="AG10" i="1"/>
  <c r="AG15" i="1"/>
  <c r="Q20" i="1"/>
  <c r="N20" i="1"/>
  <c r="M20" i="1"/>
  <c r="N29" i="1"/>
  <c r="N30" i="1"/>
  <c r="N31" i="1"/>
  <c r="N32" i="1"/>
  <c r="M29" i="1"/>
  <c r="M30" i="1"/>
  <c r="M31" i="1"/>
  <c r="M32" i="1"/>
  <c r="M28" i="1"/>
  <c r="L48" i="2"/>
  <c r="G43" i="2"/>
  <c r="N42" i="2"/>
  <c r="N38" i="2"/>
  <c r="N30" i="2"/>
  <c r="M30" i="2"/>
  <c r="N29" i="2"/>
  <c r="M29" i="2"/>
  <c r="L24" i="2"/>
  <c r="K24" i="2"/>
  <c r="J24" i="2"/>
  <c r="I24" i="2"/>
  <c r="H24" i="2"/>
  <c r="G24" i="2"/>
  <c r="F24" i="2"/>
  <c r="E24" i="2"/>
  <c r="D24" i="2"/>
  <c r="C24" i="2"/>
  <c r="N23" i="2"/>
  <c r="M23" i="2"/>
  <c r="N22" i="2"/>
  <c r="M22" i="2"/>
  <c r="L21" i="2"/>
  <c r="K21" i="2"/>
  <c r="J21" i="2"/>
  <c r="I21" i="2"/>
  <c r="H21" i="2"/>
  <c r="G21" i="2"/>
  <c r="F21" i="2"/>
  <c r="E21" i="2"/>
  <c r="D21" i="2"/>
  <c r="C21" i="2"/>
  <c r="L18" i="2"/>
  <c r="K18" i="2"/>
  <c r="J18" i="2"/>
  <c r="I18" i="2"/>
  <c r="H18" i="2"/>
  <c r="G18" i="2"/>
  <c r="F18" i="2"/>
  <c r="E18" i="2"/>
  <c r="D18" i="2"/>
  <c r="N18" i="2" s="1"/>
  <c r="C18" i="2"/>
  <c r="M18" i="2" s="1"/>
  <c r="L17" i="2"/>
  <c r="K17" i="2"/>
  <c r="J17" i="2"/>
  <c r="I17" i="2"/>
  <c r="H17" i="2"/>
  <c r="G17" i="2"/>
  <c r="F17" i="2"/>
  <c r="E17" i="2"/>
  <c r="D17" i="2"/>
  <c r="N17" i="2" s="1"/>
  <c r="C17" i="2"/>
  <c r="M17" i="2" s="1"/>
  <c r="L16" i="2"/>
  <c r="K16" i="2"/>
  <c r="J16" i="2"/>
  <c r="I16" i="2"/>
  <c r="H16" i="2"/>
  <c r="G16" i="2"/>
  <c r="F16" i="2"/>
  <c r="E16" i="2"/>
  <c r="D16" i="2"/>
  <c r="N16" i="2" s="1"/>
  <c r="C16" i="2"/>
  <c r="M16" i="2" s="1"/>
  <c r="L15" i="2"/>
  <c r="K15" i="2"/>
  <c r="J15" i="2"/>
  <c r="I15" i="2"/>
  <c r="I26" i="2" s="1"/>
  <c r="I36" i="2" s="1"/>
  <c r="H15" i="2"/>
  <c r="G15" i="2"/>
  <c r="G26" i="2" s="1"/>
  <c r="G36" i="2" s="1"/>
  <c r="F15" i="2"/>
  <c r="E15" i="2"/>
  <c r="D15" i="2"/>
  <c r="C15" i="2"/>
  <c r="L12" i="2"/>
  <c r="K12" i="2"/>
  <c r="J12" i="2"/>
  <c r="I12" i="2"/>
  <c r="H12" i="2"/>
  <c r="G12" i="2"/>
  <c r="F12" i="2"/>
  <c r="E12" i="2"/>
  <c r="D12" i="2"/>
  <c r="N12" i="2" s="1"/>
  <c r="C12" i="2"/>
  <c r="M12" i="2" s="1"/>
  <c r="L10" i="2"/>
  <c r="K10" i="2"/>
  <c r="K26" i="2" s="1"/>
  <c r="K36" i="2" s="1"/>
  <c r="J10" i="2"/>
  <c r="I10" i="2"/>
  <c r="H10" i="2"/>
  <c r="G10" i="2"/>
  <c r="F10" i="2"/>
  <c r="E10" i="2"/>
  <c r="D10" i="2"/>
  <c r="N10" i="2" s="1"/>
  <c r="C10" i="2"/>
  <c r="M10" i="2" s="1"/>
  <c r="N8" i="2"/>
  <c r="A3" i="2"/>
  <c r="A2" i="2"/>
  <c r="O32" i="1" l="1"/>
  <c r="P32" i="1"/>
  <c r="O31" i="1"/>
  <c r="P31" i="1"/>
  <c r="O30" i="1"/>
  <c r="P30" i="1"/>
  <c r="O29" i="1"/>
  <c r="P29" i="1"/>
  <c r="P20" i="1"/>
  <c r="O20" i="1"/>
  <c r="F26" i="2"/>
  <c r="F36" i="2" s="1"/>
  <c r="H26" i="2"/>
  <c r="H36" i="2" s="1"/>
  <c r="L26" i="2"/>
  <c r="L36" i="2" s="1"/>
  <c r="L39" i="2" s="1"/>
  <c r="L40" i="2" s="1"/>
  <c r="L45" i="2" s="1"/>
  <c r="J26" i="2"/>
  <c r="J36" i="2" s="1"/>
  <c r="J39" i="2" s="1"/>
  <c r="J40" i="2" s="1"/>
  <c r="J45" i="2" s="1"/>
  <c r="E26" i="2"/>
  <c r="E36" i="2" s="1"/>
  <c r="M24" i="2"/>
  <c r="C26" i="2"/>
  <c r="C36" i="2" s="1"/>
  <c r="N21" i="2"/>
  <c r="N24" i="2"/>
  <c r="D26" i="2"/>
  <c r="M21" i="2"/>
  <c r="N15" i="2"/>
  <c r="M15" i="2"/>
  <c r="D39" i="1"/>
  <c r="N26" i="2" l="1"/>
  <c r="N36" i="2" s="1"/>
  <c r="N39" i="2" s="1"/>
  <c r="F51" i="2"/>
  <c r="M26" i="2"/>
  <c r="M36" i="2" s="1"/>
  <c r="D36" i="2"/>
  <c r="D39" i="2" s="1"/>
  <c r="D40" i="2" s="1"/>
  <c r="D45" i="2" s="1"/>
  <c r="D51" i="2"/>
  <c r="H39" i="2"/>
  <c r="H40" i="2" s="1"/>
  <c r="F39" i="2"/>
  <c r="F40" i="2" s="1"/>
  <c r="H68" i="1"/>
  <c r="D68" i="1"/>
  <c r="E63" i="1"/>
  <c r="D63" i="1"/>
  <c r="N49" i="1" s="1"/>
  <c r="N48" i="1" s="1"/>
  <c r="N47" i="1"/>
  <c r="J45" i="1"/>
  <c r="H45" i="1"/>
  <c r="F45" i="1"/>
  <c r="D45" i="1"/>
  <c r="N43" i="1"/>
  <c r="M10" i="1"/>
  <c r="M16" i="1"/>
  <c r="E50" i="2" l="1"/>
  <c r="C50" i="2"/>
  <c r="E51" i="2"/>
  <c r="N40" i="2"/>
  <c r="D41" i="2" s="1"/>
  <c r="D42" i="2" s="1"/>
  <c r="D43" i="2" s="1"/>
  <c r="H45" i="2"/>
  <c r="F52" i="2" s="1"/>
  <c r="E52" i="2" s="1"/>
  <c r="F45" i="2"/>
  <c r="N45" i="2" s="1"/>
  <c r="C51" i="2"/>
  <c r="Q32" i="1"/>
  <c r="Q31" i="1"/>
  <c r="Q30" i="1"/>
  <c r="Q29" i="1"/>
  <c r="Q28" i="1"/>
  <c r="N28" i="1"/>
  <c r="Q27" i="1"/>
  <c r="N27" i="1"/>
  <c r="M27" i="1"/>
  <c r="Q26" i="1"/>
  <c r="N26" i="1"/>
  <c r="M26" i="1"/>
  <c r="Q25" i="1"/>
  <c r="N25" i="1"/>
  <c r="M25" i="1"/>
  <c r="Q24" i="1"/>
  <c r="N24" i="1"/>
  <c r="M24" i="1"/>
  <c r="Q23" i="1"/>
  <c r="N23" i="1"/>
  <c r="M23" i="1"/>
  <c r="Q22" i="1"/>
  <c r="N22" i="1"/>
  <c r="M22" i="1"/>
  <c r="Q21" i="1"/>
  <c r="N21" i="1"/>
  <c r="Q19" i="1"/>
  <c r="N19" i="1"/>
  <c r="M19" i="1"/>
  <c r="Q18" i="1"/>
  <c r="N18" i="1"/>
  <c r="M18" i="1"/>
  <c r="Q17" i="1"/>
  <c r="N17" i="1"/>
  <c r="M17" i="1"/>
  <c r="Q16" i="1"/>
  <c r="N16" i="1"/>
  <c r="Q15" i="1"/>
  <c r="N15" i="1"/>
  <c r="M15" i="1"/>
  <c r="Q14" i="1"/>
  <c r="N14" i="1"/>
  <c r="M14" i="1"/>
  <c r="Q13" i="1"/>
  <c r="N13" i="1"/>
  <c r="M13" i="1"/>
  <c r="Q12" i="1"/>
  <c r="N12" i="1"/>
  <c r="M12" i="1"/>
  <c r="Q11" i="1"/>
  <c r="N11" i="1"/>
  <c r="M11" i="1"/>
  <c r="A10" i="1"/>
  <c r="A11" i="1" s="1"/>
  <c r="A12" i="1" s="1"/>
  <c r="M9" i="1"/>
  <c r="P14" i="1" l="1"/>
  <c r="O14" i="1"/>
  <c r="O28" i="1"/>
  <c r="P28" i="1"/>
  <c r="O27" i="1"/>
  <c r="P27" i="1"/>
  <c r="O26" i="1"/>
  <c r="P26" i="1"/>
  <c r="O25" i="1"/>
  <c r="P25" i="1"/>
  <c r="O24" i="1"/>
  <c r="P24" i="1"/>
  <c r="O23" i="1"/>
  <c r="P23" i="1"/>
  <c r="O22" i="1"/>
  <c r="P22" i="1"/>
  <c r="O18" i="1"/>
  <c r="P18" i="1"/>
  <c r="O17" i="1"/>
  <c r="P17" i="1"/>
  <c r="O16" i="1"/>
  <c r="P16" i="1"/>
  <c r="O15" i="1"/>
  <c r="P15" i="1"/>
  <c r="P13" i="1"/>
  <c r="O13" i="1"/>
  <c r="O11" i="1"/>
  <c r="P11" i="1"/>
  <c r="M34" i="1"/>
  <c r="J41" i="2"/>
  <c r="J42" i="2" s="1"/>
  <c r="J43" i="2" s="1"/>
  <c r="A13" i="1"/>
  <c r="A14" i="1" s="1"/>
  <c r="A15" i="1" s="1"/>
  <c r="A16" i="1" s="1"/>
  <c r="A17" i="1" s="1"/>
  <c r="A18" i="1" s="1"/>
  <c r="A19" i="1" s="1"/>
  <c r="L41" i="2"/>
  <c r="L42" i="2" s="1"/>
  <c r="L43" i="2" s="1"/>
  <c r="F41" i="2"/>
  <c r="F42" i="2" s="1"/>
  <c r="F43" i="2" s="1"/>
  <c r="N43" i="2"/>
  <c r="H41" i="2"/>
  <c r="H42" i="2" s="1"/>
  <c r="H43" i="2" s="1"/>
  <c r="M21" i="1"/>
  <c r="Q10" i="1"/>
  <c r="Q34" i="1" s="1"/>
  <c r="D41" i="1"/>
  <c r="D44" i="1" s="1"/>
  <c r="F39" i="1"/>
  <c r="F41" i="1" s="1"/>
  <c r="F44" i="1" s="1"/>
  <c r="H39" i="1"/>
  <c r="H41" i="1" s="1"/>
  <c r="H44" i="1" s="1"/>
  <c r="J39" i="1"/>
  <c r="J41" i="1" s="1"/>
  <c r="J44" i="1" s="1"/>
  <c r="L39" i="1"/>
  <c r="L41" i="1" s="1"/>
  <c r="L44" i="1" s="1"/>
  <c r="L45" i="1" s="1"/>
  <c r="N45" i="1" s="1"/>
  <c r="D46" i="1" s="1"/>
  <c r="N10" i="1"/>
  <c r="O10" i="1" l="1"/>
  <c r="P10" i="1"/>
  <c r="N34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N41" i="2"/>
  <c r="D52" i="2"/>
  <c r="C52" i="2" s="1"/>
  <c r="J46" i="1"/>
  <c r="J48" i="1" s="1"/>
  <c r="J49" i="1" s="1"/>
  <c r="J50" i="1" s="1"/>
  <c r="L46" i="1"/>
  <c r="L48" i="1" s="1"/>
  <c r="L49" i="1" s="1"/>
  <c r="L50" i="1" s="1"/>
  <c r="N50" i="1"/>
  <c r="H46" i="1"/>
  <c r="H48" i="1" s="1"/>
  <c r="H49" i="1" s="1"/>
  <c r="H50" i="1" s="1"/>
  <c r="F46" i="1"/>
  <c r="F48" i="1" s="1"/>
  <c r="F49" i="1" s="1"/>
  <c r="F50" i="1" s="1"/>
  <c r="N44" i="1"/>
  <c r="D48" i="1"/>
  <c r="D49" i="1" s="1"/>
  <c r="D50" i="1" s="1"/>
  <c r="F66" i="1" s="1"/>
  <c r="O34" i="1" l="1"/>
  <c r="P34" i="1"/>
  <c r="N39" i="1"/>
  <c r="N41" i="1" s="1"/>
  <c r="N52" i="1" s="1"/>
  <c r="J52" i="1"/>
  <c r="J53" i="1"/>
  <c r="N46" i="1"/>
  <c r="F67" i="1"/>
  <c r="F68" i="1" s="1"/>
  <c r="AG21" i="1"/>
  <c r="W26" i="1"/>
  <c r="W37" i="1" s="1"/>
  <c r="AH21" i="1"/>
  <c r="X26" i="1"/>
  <c r="N53" i="1" l="1"/>
  <c r="X37" i="1"/>
  <c r="X40" i="1" s="1"/>
  <c r="X41" i="1" s="1"/>
  <c r="X46" i="1" l="1"/>
  <c r="Y26" i="1"/>
  <c r="Y37" i="1" s="1"/>
  <c r="Z26" i="1"/>
  <c r="Z37" i="1" s="1"/>
  <c r="Z40" i="1" l="1"/>
  <c r="Z41" i="1" s="1"/>
  <c r="Z46" i="1" l="1"/>
  <c r="AA26" i="1"/>
  <c r="AA37" i="1" s="1"/>
  <c r="AB26" i="1"/>
  <c r="AB37" i="1" l="1"/>
  <c r="AB40" i="1" l="1"/>
  <c r="AB41" i="1" s="1"/>
  <c r="AB46" i="1" l="1"/>
  <c r="AC26" i="1"/>
  <c r="AC37" i="1" s="1"/>
  <c r="AD26" i="1"/>
  <c r="AD37" i="1" s="1"/>
  <c r="AD40" i="1" l="1"/>
  <c r="AD41" i="1" s="1"/>
  <c r="AD46" i="1" l="1"/>
  <c r="AG24" i="1"/>
  <c r="AE26" i="1"/>
  <c r="AE37" i="1" s="1"/>
  <c r="AH24" i="1"/>
  <c r="AF26" i="1"/>
  <c r="Z52" i="1" s="1"/>
  <c r="AG26" i="1" l="1"/>
  <c r="AG37" i="1" s="1"/>
  <c r="AF37" i="1"/>
  <c r="AH26" i="1"/>
  <c r="AH37" i="1" l="1"/>
  <c r="AH40" i="1" s="1"/>
  <c r="AF40" i="1"/>
  <c r="AF41" i="1" s="1"/>
  <c r="W51" i="1"/>
  <c r="Y51" i="1"/>
  <c r="Y52" i="1"/>
  <c r="W52" i="1" l="1"/>
  <c r="AF46" i="1"/>
  <c r="AH41" i="1"/>
  <c r="Z42" i="1" l="1"/>
  <c r="Z43" i="1" s="1"/>
  <c r="Z44" i="1" s="1"/>
  <c r="AH44" i="1"/>
  <c r="AB42" i="1"/>
  <c r="AB43" i="1" s="1"/>
  <c r="AD42" i="1"/>
  <c r="AD43" i="1" s="1"/>
  <c r="AD44" i="1" s="1"/>
  <c r="X42" i="1"/>
  <c r="AF42" i="1"/>
  <c r="AF43" i="1" s="1"/>
  <c r="AF44" i="1" s="1"/>
  <c r="AH46" i="1"/>
  <c r="Z53" i="1"/>
  <c r="Y53" i="1" s="1"/>
  <c r="AH42" i="1" l="1"/>
  <c r="X43" i="1"/>
  <c r="X44" i="1" s="1"/>
  <c r="AB44" i="1"/>
  <c r="X53" i="1"/>
  <c r="W53" i="1" s="1"/>
  <c r="U3" i="1"/>
  <c r="U2" i="1"/>
</calcChain>
</file>

<file path=xl/sharedStrings.xml><?xml version="1.0" encoding="utf-8"?>
<sst xmlns="http://schemas.openxmlformats.org/spreadsheetml/2006/main" count="350" uniqueCount="122">
  <si>
    <t>LAPORAN KOLEKTIBILITAS KREDIT KONTRAKTUAL</t>
  </si>
  <si>
    <t>KUALITAS AKTIVA PRODUKTIF PT. BANK BPD JATENG</t>
  </si>
  <si>
    <t xml:space="preserve"> </t>
  </si>
  <si>
    <t>K O L E K T I B I L I T A S</t>
  </si>
  <si>
    <t>TOTAL KREDIT</t>
  </si>
  <si>
    <t>TK</t>
  </si>
  <si>
    <t xml:space="preserve">           NPL</t>
  </si>
  <si>
    <t>NO</t>
  </si>
  <si>
    <t>URAIAN</t>
  </si>
  <si>
    <t>KOLEKTIBUILITAS</t>
  </si>
  <si>
    <t>NO.</t>
  </si>
  <si>
    <t>L</t>
  </si>
  <si>
    <t>DPK</t>
  </si>
  <si>
    <t>KL</t>
  </si>
  <si>
    <t>D</t>
  </si>
  <si>
    <t>M</t>
  </si>
  <si>
    <t>TUNGGAKAN</t>
  </si>
  <si>
    <t>JUMLAH</t>
  </si>
  <si>
    <t>NSB</t>
  </si>
  <si>
    <t>NOMINAL</t>
  </si>
  <si>
    <t>%</t>
  </si>
  <si>
    <t>BUNGA</t>
  </si>
  <si>
    <t xml:space="preserve"> PENEMPATAN PADA BANK LAIN</t>
  </si>
  <si>
    <t>AMORTISASI PENDPT &amp; BEBAN</t>
  </si>
  <si>
    <t>KREDIT MIKRO / KR004</t>
  </si>
  <si>
    <t xml:space="preserve"> SURAT - SURAT BERHARGA</t>
  </si>
  <si>
    <t xml:space="preserve">KWU KESRA / KR020 </t>
  </si>
  <si>
    <t xml:space="preserve"> KREDIT YANG DIBERIKAN</t>
  </si>
  <si>
    <t>KREDIT KUR MIKRO / KR120</t>
  </si>
  <si>
    <t xml:space="preserve"> A. PIHAK TERKAIT DNG BANK</t>
  </si>
  <si>
    <t xml:space="preserve">     - KUK</t>
  </si>
  <si>
    <t xml:space="preserve">     - KREDIT PROPERTI</t>
  </si>
  <si>
    <t>KREDIT KPR/KR048</t>
  </si>
  <si>
    <t xml:space="preserve">     - KREDIT YG DIRESTRUKTURISASI</t>
  </si>
  <si>
    <t>KREDIT KUR KECIL/122</t>
  </si>
  <si>
    <t xml:space="preserve">     - KREDIT LAINNYA</t>
  </si>
  <si>
    <t>KREDIT KUR KECIL/123</t>
  </si>
  <si>
    <t>KWU TERUSAN KWU/KR115</t>
  </si>
  <si>
    <t xml:space="preserve"> B. PIHAK LAIN</t>
  </si>
  <si>
    <t>PLO PROFESI/KR107</t>
  </si>
  <si>
    <t>PLO PENSIUNAN/KR106</t>
  </si>
  <si>
    <t>PLO TERUSAN/KR105</t>
  </si>
  <si>
    <t>PLO VERTIKAL/KR103</t>
  </si>
  <si>
    <t>PLO SWASTA /KR091</t>
  </si>
  <si>
    <t>PLO PEG. BANK/KR090</t>
  </si>
  <si>
    <t>SUB TOTAL</t>
  </si>
  <si>
    <t>PERSONAL LOAN/KR032</t>
  </si>
  <si>
    <t>KREDIT MULTIGUNA/KR036</t>
  </si>
  <si>
    <t xml:space="preserve"> PENYERTAAN</t>
  </si>
  <si>
    <t>KUP/ KR039</t>
  </si>
  <si>
    <t xml:space="preserve"> A. PADA PERUSAHAAN KEUANGAN</t>
  </si>
  <si>
    <t>KUP/ KR044</t>
  </si>
  <si>
    <t xml:space="preserve"> B. DLM RANGKA RESTRUKTURISASI KRD</t>
  </si>
  <si>
    <t>MITRA JATENG/KR118</t>
  </si>
  <si>
    <t xml:space="preserve"> TAGIHAN LAINNYA</t>
  </si>
  <si>
    <t xml:space="preserve"> KOMITMEN DAN KONTIJENSI</t>
  </si>
  <si>
    <t>TOTAL</t>
  </si>
  <si>
    <t>Krd yg tdk direstruk</t>
  </si>
  <si>
    <t>Rp.</t>
  </si>
  <si>
    <t>Kredit yg direstruk</t>
  </si>
  <si>
    <t xml:space="preserve"> AGUNAN SEBAGAI FAKTOR PENGURANG</t>
  </si>
  <si>
    <t xml:space="preserve"> AKTIVA PRODUKTIF - AGUNAN - CASH C</t>
  </si>
  <si>
    <t xml:space="preserve"> PPAP YG WAJIB DIBENTUK / PPAPWD</t>
  </si>
  <si>
    <t>Agunan sbg Faktor</t>
  </si>
  <si>
    <t>% PPAP YG WAJIB DIBENTUK</t>
  </si>
  <si>
    <t>Aktiva Produktif - Agunan</t>
  </si>
  <si>
    <t xml:space="preserve"> PPAP YANG TELAH DIBENTUK</t>
  </si>
  <si>
    <t>PPAP yg Wajib Dibentuk/PPAPWD</t>
  </si>
  <si>
    <t xml:space="preserve"> LEBIH / KURANG</t>
  </si>
  <si>
    <t>% PPAP yg Wajib Dibentuk</t>
  </si>
  <si>
    <t xml:space="preserve"> PROSENTASE KUK THD TOTAL KRD</t>
  </si>
  <si>
    <t>PPAP Riil dng Krd yg di Rest</t>
  </si>
  <si>
    <t>PPAP YANG TELAH DIBENTUK KREDIT</t>
  </si>
  <si>
    <t>PPAP Riil tanpa Krd di Rest</t>
  </si>
  <si>
    <t>Total PPAP Yang Dibentuk/PPAPYD</t>
  </si>
  <si>
    <t>U  R  A  I  A  N</t>
  </si>
  <si>
    <t>KAP</t>
  </si>
  <si>
    <t>KREDIT</t>
  </si>
  <si>
    <t>KOREKSI LBU</t>
  </si>
  <si>
    <t>NPL KREDIT</t>
  </si>
  <si>
    <t>:</t>
  </si>
  <si>
    <t>NPL (AP)</t>
  </si>
  <si>
    <t>KUALITAS AKTIVA PRODUKTIF/  TK. KREDIT</t>
  </si>
  <si>
    <t>PT. BANK PEMBANGUNAN DAERAH</t>
  </si>
  <si>
    <t>PENEMPATAN</t>
  </si>
  <si>
    <t>TK KREDIT</t>
  </si>
  <si>
    <t>TK (AP) KAP</t>
  </si>
  <si>
    <t>NON PERFORMING LOAN GROSS</t>
  </si>
  <si>
    <t>JAWA TENGAH</t>
  </si>
  <si>
    <t>Cad. Umum</t>
  </si>
  <si>
    <t>NON PERFORMING LOAN NETTO</t>
  </si>
  <si>
    <t>Capem Nusukan Surakarta</t>
  </si>
  <si>
    <t>TIDAK DIRESTRUK</t>
  </si>
  <si>
    <t>Cad. Umum (L)/1080301/16211</t>
  </si>
  <si>
    <t>Cad. Khusus (Kolek)/1080302/16212</t>
  </si>
  <si>
    <t>RESTRUKRISASI</t>
  </si>
  <si>
    <t>Cad. Umum (L)/1080303</t>
  </si>
  <si>
    <t>BAYU PRIYO SULISTYO</t>
  </si>
  <si>
    <t>Cad. Khusus (Kolek)/1080304</t>
  </si>
  <si>
    <t>Pincapem</t>
  </si>
  <si>
    <t>REK ADMINISTRASI</t>
  </si>
  <si>
    <t>Cad. Umum(BG+Valas)</t>
  </si>
  <si>
    <t xml:space="preserve"> SETORAN PPAP</t>
  </si>
  <si>
    <t>+/- ppap</t>
  </si>
  <si>
    <t>BIAYA PPAP</t>
  </si>
  <si>
    <t>Cad. Umum (L)/1080301</t>
  </si>
  <si>
    <t>Cad. Khusus (Kolek)/1080302</t>
  </si>
  <si>
    <t>Setoran Biaya PPAP</t>
  </si>
  <si>
    <t>PT. BANK JATENG CAPEM GADING</t>
  </si>
  <si>
    <t>KUMK /KR014</t>
  </si>
  <si>
    <t>KREDIT EXTRA CAS COL / KR081</t>
  </si>
  <si>
    <t>KREDIT EXTRA CAS COL / KR082</t>
  </si>
  <si>
    <t>KREDIT MITRA JATENG /KR 125</t>
  </si>
  <si>
    <t>Capem Gading Surakarta</t>
  </si>
  <si>
    <t>DARUS RUDIYANTO</t>
  </si>
  <si>
    <t xml:space="preserve"> Surakarta,  05 Oktober 2020</t>
  </si>
  <si>
    <t>PLO PENSIUNAN ASABRI/KR128</t>
  </si>
  <si>
    <t xml:space="preserve">KREDIT RC </t>
  </si>
  <si>
    <t>PRODUKTIF</t>
  </si>
  <si>
    <t>KONSUMTIF</t>
  </si>
  <si>
    <t>NOA</t>
  </si>
  <si>
    <t>BULAN : AGUSTUS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</si>
</sst>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[$-409]d\-mmm\-yy;@"/>
    <numFmt numFmtId="167" formatCode="[$-409]d\-mmm\-yyyy;@"/>
    <numFmt numFmtId="168" formatCode="#,##0.00;[Red]#,##0.00"/>
    <numFmt numFmtId="169" formatCode="0.00;[Red]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lgerian"/>
      <family val="5"/>
    </font>
    <font>
      <u/>
      <sz val="10"/>
      <color theme="10"/>
      <name val="Arial"/>
      <family val="2"/>
    </font>
    <font>
      <sz val="10"/>
      <color rgb="FF7030A0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8"/>
      <name val="Arial"/>
      <family val="2"/>
    </font>
    <font>
      <u/>
      <sz val="9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5">
    <xf numFmtId="0" fontId="0" fillId="0" borderId="0" xfId="0"/>
    <xf numFmtId="0" fontId="3" fillId="0" borderId="0" xfId="0" applyFont="1"/>
    <xf numFmtId="41" fontId="3" fillId="0" borderId="0" xfId="0" applyNumberFormat="1" applyFont="1"/>
    <xf numFmtId="41" fontId="0" fillId="0" borderId="0" xfId="2" applyFont="1"/>
    <xf numFmtId="0" fontId="5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10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/>
    <xf numFmtId="0" fontId="3" fillId="0" borderId="19" xfId="0" applyFont="1" applyBorder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0" xfId="0" applyFont="1" applyBorder="1"/>
    <xf numFmtId="0" fontId="3" fillId="0" borderId="29" xfId="0" applyFont="1" applyBorder="1"/>
    <xf numFmtId="41" fontId="3" fillId="0" borderId="21" xfId="2" applyFont="1" applyBorder="1"/>
    <xf numFmtId="0" fontId="0" fillId="0" borderId="22" xfId="0" applyBorder="1" applyAlignment="1">
      <alignment horizontal="center"/>
    </xf>
    <xf numFmtId="0" fontId="0" fillId="0" borderId="14" xfId="0" applyBorder="1"/>
    <xf numFmtId="164" fontId="0" fillId="0" borderId="14" xfId="1" applyNumberFormat="1" applyFont="1" applyBorder="1"/>
    <xf numFmtId="164" fontId="0" fillId="0" borderId="29" xfId="1" applyNumberFormat="1" applyFont="1" applyBorder="1"/>
    <xf numFmtId="0" fontId="2" fillId="0" borderId="14" xfId="0" applyFont="1" applyBorder="1"/>
    <xf numFmtId="41" fontId="2" fillId="0" borderId="14" xfId="2" applyFont="1" applyBorder="1" applyAlignment="1">
      <alignment horizontal="center"/>
    </xf>
    <xf numFmtId="41" fontId="3" fillId="0" borderId="14" xfId="2" applyFont="1" applyBorder="1"/>
    <xf numFmtId="41" fontId="3" fillId="10" borderId="14" xfId="2" applyFont="1" applyFill="1" applyBorder="1"/>
    <xf numFmtId="43" fontId="3" fillId="0" borderId="14" xfId="1" applyFont="1" applyBorder="1"/>
    <xf numFmtId="165" fontId="3" fillId="0" borderId="14" xfId="2" applyNumberFormat="1" applyFont="1" applyBorder="1"/>
    <xf numFmtId="41" fontId="3" fillId="0" borderId="29" xfId="0" applyNumberFormat="1" applyFont="1" applyBorder="1"/>
    <xf numFmtId="41" fontId="3" fillId="2" borderId="21" xfId="2" applyFont="1" applyFill="1" applyBorder="1"/>
    <xf numFmtId="0" fontId="0" fillId="0" borderId="30" xfId="0" applyBorder="1" applyAlignment="1">
      <alignment horizontal="center"/>
    </xf>
    <xf numFmtId="0" fontId="0" fillId="0" borderId="31" xfId="0" applyBorder="1"/>
    <xf numFmtId="164" fontId="0" fillId="0" borderId="31" xfId="1" applyNumberFormat="1" applyFont="1" applyBorder="1"/>
    <xf numFmtId="164" fontId="0" fillId="0" borderId="32" xfId="1" applyNumberFormat="1" applyFont="1" applyBorder="1"/>
    <xf numFmtId="164" fontId="0" fillId="0" borderId="33" xfId="1" applyNumberFormat="1" applyFont="1" applyBorder="1"/>
    <xf numFmtId="0" fontId="0" fillId="0" borderId="14" xfId="0" applyFill="1" applyBorder="1"/>
    <xf numFmtId="41" fontId="2" fillId="2" borderId="14" xfId="2" applyFont="1" applyFill="1" applyBorder="1" applyAlignment="1">
      <alignment horizontal="center"/>
    </xf>
    <xf numFmtId="41" fontId="2" fillId="2" borderId="14" xfId="2" applyFont="1" applyFill="1" applyBorder="1"/>
    <xf numFmtId="41" fontId="3" fillId="2" borderId="14" xfId="2" applyFont="1" applyFill="1" applyBorder="1"/>
    <xf numFmtId="41" fontId="3" fillId="2" borderId="14" xfId="2" applyFont="1" applyFill="1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0" fontId="2" fillId="0" borderId="14" xfId="0" applyFont="1" applyFill="1" applyBorder="1"/>
    <xf numFmtId="0" fontId="0" fillId="0" borderId="14" xfId="0" applyFont="1" applyFill="1" applyBorder="1"/>
    <xf numFmtId="41" fontId="2" fillId="0" borderId="14" xfId="2" applyFont="1" applyFill="1" applyBorder="1"/>
    <xf numFmtId="164" fontId="0" fillId="0" borderId="37" xfId="1" applyNumberFormat="1" applyFont="1" applyBorder="1"/>
    <xf numFmtId="164" fontId="7" fillId="0" borderId="35" xfId="3" applyNumberFormat="1" applyFont="1" applyBorder="1"/>
    <xf numFmtId="164" fontId="8" fillId="0" borderId="35" xfId="3" applyNumberFormat="1" applyFont="1" applyBorder="1"/>
    <xf numFmtId="164" fontId="7" fillId="0" borderId="35" xfId="1" applyNumberFormat="1" applyFont="1" applyBorder="1"/>
    <xf numFmtId="164" fontId="7" fillId="0" borderId="36" xfId="1" applyNumberFormat="1" applyFont="1" applyBorder="1"/>
    <xf numFmtId="0" fontId="0" fillId="0" borderId="38" xfId="0" applyBorder="1" applyAlignment="1">
      <alignment horizontal="center"/>
    </xf>
    <xf numFmtId="0" fontId="0" fillId="0" borderId="39" xfId="0" applyBorder="1"/>
    <xf numFmtId="164" fontId="0" fillId="0" borderId="39" xfId="1" applyNumberFormat="1" applyFont="1" applyBorder="1"/>
    <xf numFmtId="164" fontId="0" fillId="0" borderId="40" xfId="1" applyNumberFormat="1" applyFont="1" applyBorder="1"/>
    <xf numFmtId="164" fontId="0" fillId="0" borderId="41" xfId="1" applyNumberFormat="1" applyFont="1" applyBorder="1"/>
    <xf numFmtId="0" fontId="9" fillId="0" borderId="4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164" fontId="9" fillId="0" borderId="25" xfId="1" applyNumberFormat="1" applyFont="1" applyBorder="1" applyAlignment="1">
      <alignment horizontal="center" vertical="center" wrapText="1"/>
    </xf>
    <xf numFmtId="164" fontId="9" fillId="0" borderId="43" xfId="1" applyNumberFormat="1" applyFont="1" applyBorder="1" applyAlignment="1">
      <alignment horizontal="center" vertical="center" wrapText="1"/>
    </xf>
    <xf numFmtId="0" fontId="3" fillId="0" borderId="14" xfId="0" applyFont="1" applyFill="1" applyBorder="1"/>
    <xf numFmtId="0" fontId="3" fillId="0" borderId="44" xfId="0" applyFont="1" applyBorder="1"/>
    <xf numFmtId="0" fontId="3" fillId="0" borderId="45" xfId="0" applyFont="1" applyBorder="1"/>
    <xf numFmtId="41" fontId="3" fillId="2" borderId="45" xfId="0" applyNumberFormat="1" applyFont="1" applyFill="1" applyBorder="1"/>
    <xf numFmtId="41" fontId="3" fillId="0" borderId="45" xfId="0" applyNumberFormat="1" applyFont="1" applyBorder="1"/>
    <xf numFmtId="41" fontId="3" fillId="0" borderId="45" xfId="0" applyNumberFormat="1" applyFont="1" applyFill="1" applyBorder="1"/>
    <xf numFmtId="41" fontId="3" fillId="0" borderId="46" xfId="0" applyNumberFormat="1" applyFont="1" applyBorder="1"/>
    <xf numFmtId="41" fontId="3" fillId="0" borderId="47" xfId="0" applyNumberFormat="1" applyFont="1" applyBorder="1"/>
    <xf numFmtId="41" fontId="0" fillId="0" borderId="0" xfId="0" applyNumberFormat="1" applyFont="1" applyBorder="1"/>
    <xf numFmtId="41" fontId="3" fillId="0" borderId="0" xfId="0" applyNumberFormat="1" applyFont="1" applyBorder="1"/>
    <xf numFmtId="41" fontId="3" fillId="0" borderId="0" xfId="2" applyFont="1" applyBorder="1"/>
    <xf numFmtId="164" fontId="2" fillId="0" borderId="35" xfId="1" applyNumberFormat="1" applyFont="1" applyBorder="1"/>
    <xf numFmtId="0" fontId="4" fillId="0" borderId="15" xfId="0" applyFont="1" applyBorder="1"/>
    <xf numFmtId="0" fontId="4" fillId="0" borderId="25" xfId="0" applyFont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41" fontId="3" fillId="0" borderId="49" xfId="0" applyNumberFormat="1" applyFont="1" applyBorder="1"/>
    <xf numFmtId="164" fontId="0" fillId="0" borderId="50" xfId="1" applyNumberFormat="1" applyFont="1" applyBorder="1"/>
    <xf numFmtId="164" fontId="0" fillId="0" borderId="51" xfId="1" applyNumberFormat="1" applyFont="1" applyBorder="1"/>
    <xf numFmtId="41" fontId="3" fillId="0" borderId="0" xfId="2" applyFont="1"/>
    <xf numFmtId="164" fontId="0" fillId="0" borderId="52" xfId="1" applyNumberFormat="1" applyFont="1" applyBorder="1"/>
    <xf numFmtId="0" fontId="3" fillId="0" borderId="15" xfId="0" applyFont="1" applyBorder="1"/>
    <xf numFmtId="0" fontId="3" fillId="0" borderId="25" xfId="0" applyFont="1" applyBorder="1"/>
    <xf numFmtId="41" fontId="3" fillId="0" borderId="16" xfId="0" applyNumberFormat="1" applyFont="1" applyBorder="1"/>
    <xf numFmtId="0" fontId="3" fillId="0" borderId="26" xfId="0" applyFont="1" applyBorder="1"/>
    <xf numFmtId="41" fontId="3" fillId="0" borderId="26" xfId="0" applyNumberFormat="1" applyFont="1" applyBorder="1"/>
    <xf numFmtId="41" fontId="3" fillId="0" borderId="16" xfId="0" applyNumberFormat="1" applyFont="1" applyBorder="1" applyAlignment="1"/>
    <xf numFmtId="41" fontId="3" fillId="0" borderId="49" xfId="2" applyFont="1" applyBorder="1"/>
    <xf numFmtId="43" fontId="0" fillId="0" borderId="35" xfId="1" applyNumberFormat="1" applyFont="1" applyBorder="1"/>
    <xf numFmtId="43" fontId="0" fillId="0" borderId="37" xfId="1" applyNumberFormat="1" applyFont="1" applyBorder="1"/>
    <xf numFmtId="43" fontId="0" fillId="0" borderId="36" xfId="1" applyNumberFormat="1" applyFont="1" applyBorder="1"/>
    <xf numFmtId="164" fontId="0" fillId="0" borderId="53" xfId="1" applyNumberFormat="1" applyFont="1" applyBorder="1"/>
    <xf numFmtId="43" fontId="0" fillId="0" borderId="0" xfId="0" applyNumberFormat="1"/>
    <xf numFmtId="0" fontId="11" fillId="0" borderId="14" xfId="0" applyFont="1" applyBorder="1"/>
    <xf numFmtId="43" fontId="3" fillId="0" borderId="0" xfId="0" applyNumberFormat="1" applyFont="1"/>
    <xf numFmtId="0" fontId="0" fillId="0" borderId="42" xfId="0" applyBorder="1" applyAlignment="1">
      <alignment horizontal="center"/>
    </xf>
    <xf numFmtId="0" fontId="0" fillId="0" borderId="25" xfId="0" applyBorder="1"/>
    <xf numFmtId="164" fontId="4" fillId="0" borderId="26" xfId="1" applyNumberFormat="1" applyFont="1" applyBorder="1"/>
    <xf numFmtId="164" fontId="4" fillId="0" borderId="25" xfId="1" applyNumberFormat="1" applyFont="1" applyBorder="1"/>
    <xf numFmtId="164" fontId="4" fillId="0" borderId="16" xfId="1" applyNumberFormat="1" applyFont="1" applyBorder="1"/>
    <xf numFmtId="164" fontId="4" fillId="0" borderId="43" xfId="1" applyNumberFormat="1" applyFont="1" applyBorder="1"/>
    <xf numFmtId="165" fontId="3" fillId="0" borderId="49" xfId="2" applyNumberFormat="1" applyFont="1" applyBorder="1"/>
    <xf numFmtId="41" fontId="3" fillId="0" borderId="48" xfId="2" applyFont="1" applyBorder="1"/>
    <xf numFmtId="165" fontId="3" fillId="0" borderId="0" xfId="2" applyNumberFormat="1" applyFont="1" applyBorder="1"/>
    <xf numFmtId="0" fontId="0" fillId="0" borderId="54" xfId="0" applyBorder="1" applyAlignment="1">
      <alignment horizontal="center"/>
    </xf>
    <xf numFmtId="43" fontId="0" fillId="0" borderId="33" xfId="1" applyNumberFormat="1" applyFont="1" applyBorder="1"/>
    <xf numFmtId="0" fontId="0" fillId="0" borderId="55" xfId="0" applyBorder="1" applyAlignment="1">
      <alignment horizontal="center"/>
    </xf>
    <xf numFmtId="0" fontId="0" fillId="0" borderId="56" xfId="0" applyBorder="1"/>
    <xf numFmtId="41" fontId="0" fillId="0" borderId="57" xfId="2" applyFont="1" applyBorder="1"/>
    <xf numFmtId="41" fontId="4" fillId="0" borderId="56" xfId="2" applyFont="1" applyBorder="1"/>
    <xf numFmtId="41" fontId="4" fillId="0" borderId="58" xfId="2" applyFont="1" applyBorder="1"/>
    <xf numFmtId="41" fontId="4" fillId="0" borderId="57" xfId="2" applyFont="1" applyBorder="1"/>
    <xf numFmtId="164" fontId="4" fillId="0" borderId="59" xfId="1" applyNumberFormat="1" applyFont="1" applyBorder="1"/>
    <xf numFmtId="41" fontId="3" fillId="0" borderId="49" xfId="2" applyNumberFormat="1" applyFont="1" applyBorder="1"/>
    <xf numFmtId="41" fontId="3" fillId="0" borderId="49" xfId="2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41" fontId="0" fillId="0" borderId="0" xfId="2" applyFont="1" applyBorder="1"/>
    <xf numFmtId="165" fontId="4" fillId="0" borderId="0" xfId="2" applyNumberFormat="1" applyFont="1" applyBorder="1"/>
    <xf numFmtId="41" fontId="4" fillId="0" borderId="0" xfId="2" applyFont="1" applyBorder="1"/>
    <xf numFmtId="164" fontId="4" fillId="0" borderId="0" xfId="1" applyNumberFormat="1" applyFont="1" applyBorder="1"/>
    <xf numFmtId="0" fontId="0" fillId="0" borderId="0" xfId="0" applyAlignment="1">
      <alignment horizontal="center"/>
    </xf>
    <xf numFmtId="0" fontId="0" fillId="0" borderId="60" xfId="0" applyBorder="1"/>
    <xf numFmtId="41" fontId="0" fillId="0" borderId="60" xfId="2" applyFont="1" applyBorder="1"/>
    <xf numFmtId="41" fontId="3" fillId="0" borderId="16" xfId="2" applyFont="1" applyBorder="1"/>
    <xf numFmtId="41" fontId="3" fillId="0" borderId="15" xfId="2" applyFont="1" applyBorder="1"/>
    <xf numFmtId="41" fontId="3" fillId="0" borderId="26" xfId="2" applyFont="1" applyBorder="1"/>
    <xf numFmtId="0" fontId="0" fillId="0" borderId="14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6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9" xfId="0" applyFont="1" applyBorder="1"/>
    <xf numFmtId="0" fontId="12" fillId="0" borderId="16" xfId="0" applyFont="1" applyBorder="1" applyAlignment="1">
      <alignment horizontal="center"/>
    </xf>
    <xf numFmtId="43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0" xfId="0" applyFont="1"/>
    <xf numFmtId="43" fontId="2" fillId="0" borderId="0" xfId="0" applyNumberFormat="1" applyFont="1" applyAlignment="1"/>
    <xf numFmtId="0" fontId="3" fillId="0" borderId="0" xfId="0" applyNumberFormat="1" applyFont="1"/>
    <xf numFmtId="41" fontId="3" fillId="0" borderId="0" xfId="2" applyFont="1" applyFill="1" applyBorder="1"/>
    <xf numFmtId="165" fontId="3" fillId="0" borderId="0" xfId="0" applyNumberFormat="1" applyFont="1"/>
    <xf numFmtId="0" fontId="0" fillId="0" borderId="61" xfId="0" applyBorder="1"/>
    <xf numFmtId="168" fontId="0" fillId="0" borderId="0" xfId="2" applyNumberFormat="1" applyFont="1" applyBorder="1" applyAlignment="1">
      <alignment horizontal="center"/>
    </xf>
    <xf numFmtId="164" fontId="0" fillId="0" borderId="61" xfId="0" applyNumberFormat="1" applyBorder="1"/>
    <xf numFmtId="169" fontId="4" fillId="0" borderId="0" xfId="0" applyNumberFormat="1" applyFont="1" applyBorder="1" applyAlignment="1">
      <alignment horizontal="center"/>
    </xf>
    <xf numFmtId="41" fontId="0" fillId="0" borderId="61" xfId="2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9" fillId="15" borderId="48" xfId="0" applyFont="1" applyFill="1" applyBorder="1" applyAlignment="1">
      <alignment horizontal="left"/>
    </xf>
    <xf numFmtId="164" fontId="0" fillId="0" borderId="14" xfId="0" applyNumberFormat="1" applyBorder="1"/>
    <xf numFmtId="41" fontId="3" fillId="0" borderId="49" xfId="0" applyNumberFormat="1" applyFont="1" applyBorder="1" applyAlignment="1">
      <alignment horizontal="right"/>
    </xf>
    <xf numFmtId="0" fontId="0" fillId="0" borderId="19" xfId="0" applyBorder="1"/>
    <xf numFmtId="168" fontId="0" fillId="0" borderId="60" xfId="2" applyNumberFormat="1" applyFont="1" applyBorder="1" applyAlignment="1">
      <alignment horizontal="center"/>
    </xf>
    <xf numFmtId="164" fontId="0" fillId="0" borderId="19" xfId="0" applyNumberFormat="1" applyBorder="1"/>
    <xf numFmtId="169" fontId="0" fillId="0" borderId="60" xfId="2" applyNumberFormat="1" applyFont="1" applyBorder="1" applyAlignment="1">
      <alignment horizontal="center"/>
    </xf>
    <xf numFmtId="0" fontId="12" fillId="15" borderId="48" xfId="0" applyFont="1" applyFill="1" applyBorder="1" applyAlignment="1">
      <alignment horizontal="left"/>
    </xf>
    <xf numFmtId="0" fontId="3" fillId="0" borderId="49" xfId="0" applyFont="1" applyBorder="1" applyAlignment="1">
      <alignment horizontal="right"/>
    </xf>
    <xf numFmtId="0" fontId="2" fillId="0" borderId="0" xfId="0" applyFont="1"/>
    <xf numFmtId="0" fontId="13" fillId="0" borderId="0" xfId="0" applyFont="1"/>
    <xf numFmtId="43" fontId="9" fillId="0" borderId="0" xfId="0" applyNumberFormat="1" applyFont="1"/>
    <xf numFmtId="0" fontId="11" fillId="0" borderId="0" xfId="0" applyFont="1" applyAlignment="1">
      <alignment horizontal="center"/>
    </xf>
    <xf numFmtId="0" fontId="3" fillId="0" borderId="16" xfId="0" applyFont="1" applyBorder="1"/>
    <xf numFmtId="41" fontId="3" fillId="10" borderId="16" xfId="2" applyFont="1" applyFill="1" applyBorder="1" applyAlignment="1">
      <alignment horizontal="right"/>
    </xf>
    <xf numFmtId="41" fontId="3" fillId="0" borderId="15" xfId="2" applyFont="1" applyBorder="1" applyAlignment="1">
      <alignment horizontal="center"/>
    </xf>
    <xf numFmtId="41" fontId="3" fillId="0" borderId="16" xfId="2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41" fontId="3" fillId="0" borderId="16" xfId="2" applyFont="1" applyBorder="1" applyAlignment="1">
      <alignment horizontal="right"/>
    </xf>
    <xf numFmtId="0" fontId="12" fillId="15" borderId="48" xfId="0" applyFont="1" applyFill="1" applyBorder="1" applyAlignment="1"/>
    <xf numFmtId="0" fontId="15" fillId="0" borderId="0" xfId="0" quotePrefix="1" applyFont="1" applyBorder="1" applyAlignment="1">
      <alignment horizontal="center"/>
    </xf>
    <xf numFmtId="164" fontId="3" fillId="0" borderId="49" xfId="1" applyNumberFormat="1" applyFont="1" applyBorder="1" applyAlignment="1">
      <alignment horizontal="right"/>
    </xf>
    <xf numFmtId="164" fontId="0" fillId="0" borderId="0" xfId="1" applyNumberFormat="1" applyFont="1"/>
    <xf numFmtId="41" fontId="3" fillId="0" borderId="60" xfId="0" applyNumberFormat="1" applyFont="1" applyBorder="1"/>
    <xf numFmtId="164" fontId="0" fillId="0" borderId="60" xfId="1" applyNumberFormat="1" applyFont="1" applyBorder="1"/>
    <xf numFmtId="164" fontId="3" fillId="0" borderId="16" xfId="1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Fill="1" applyBorder="1" applyAlignment="1"/>
    <xf numFmtId="0" fontId="16" fillId="0" borderId="0" xfId="0" applyFont="1" applyAlignment="1"/>
    <xf numFmtId="164" fontId="0" fillId="0" borderId="0" xfId="0" applyNumberFormat="1"/>
    <xf numFmtId="41" fontId="16" fillId="0" borderId="0" xfId="2" applyFont="1" applyAlignment="1"/>
    <xf numFmtId="0" fontId="11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3" fillId="0" borderId="45" xfId="1" applyFont="1" applyBorder="1"/>
    <xf numFmtId="165" fontId="3" fillId="0" borderId="45" xfId="2" applyNumberFormat="1" applyFont="1" applyBorder="1"/>
    <xf numFmtId="0" fontId="2" fillId="0" borderId="0" xfId="0" applyFont="1" applyBorder="1"/>
    <xf numFmtId="41" fontId="2" fillId="0" borderId="0" xfId="0" applyNumberFormat="1" applyFont="1"/>
    <xf numFmtId="41" fontId="3" fillId="0" borderId="25" xfId="0" applyNumberFormat="1" applyFont="1" applyBorder="1"/>
    <xf numFmtId="0" fontId="2" fillId="9" borderId="25" xfId="0" applyFont="1" applyFill="1" applyBorder="1"/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3" borderId="15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43" fontId="2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3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1" fontId="10" fillId="3" borderId="15" xfId="0" applyNumberFormat="1" applyFont="1" applyFill="1" applyBorder="1" applyAlignment="1">
      <alignment horizontal="center"/>
    </xf>
    <xf numFmtId="41" fontId="10" fillId="3" borderId="16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xioo\Desktop\LAPORAN%202020\A-LAPORAN%20COLLEC%20+%20KAP%20PHKM%20FEB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'14 Neraca"/>
      <sheetName val="Des'14 Wajar"/>
      <sheetName val="Des'14 Kont"/>
      <sheetName val="Des'15 Neraca"/>
      <sheetName val="Des'15 Wajar"/>
      <sheetName val="Des'15 Kont"/>
      <sheetName val="Jan'16 Neraca"/>
      <sheetName val="Jan'16 Wajar"/>
      <sheetName val="Jan'16 Kont"/>
      <sheetName val="Peb'16 Neraca"/>
      <sheetName val="Peb'16 Wajar"/>
      <sheetName val="Peb'16 Kont"/>
      <sheetName val="Mart'16 Neraca"/>
      <sheetName val="Mart'16 Wajar"/>
      <sheetName val="Mart'16 Kont"/>
      <sheetName val="April'16 Neraca"/>
      <sheetName val="April'16 Wajar"/>
      <sheetName val="April'16 Kont"/>
      <sheetName val="Mei'16 Neraca"/>
      <sheetName val="Mei'16 Wajar"/>
      <sheetName val="Mei'16 Kont"/>
      <sheetName val="Juni'16 Neraca"/>
      <sheetName val="Juni'16 Wajar"/>
      <sheetName val="Juni'16 Kont"/>
      <sheetName val="Juli'16 Neraca"/>
      <sheetName val="Juli'16 Wajar"/>
      <sheetName val="Juli'16 Kont"/>
      <sheetName val="Agst'16 Neraca"/>
      <sheetName val="Agst'16 Wajar"/>
      <sheetName val="Agst'16 Kont"/>
      <sheetName val="Sept'16 Neraca"/>
      <sheetName val="Sept'16 Wajar"/>
      <sheetName val="Sept'16 Kont"/>
      <sheetName val="Okt'16 Neraca"/>
      <sheetName val="Okt'16 Wajar"/>
      <sheetName val="Okt'16 Kont"/>
      <sheetName val="Nop'16 Neraca"/>
      <sheetName val="Nop'16 Wajar"/>
      <sheetName val="Nop'16 Kont"/>
      <sheetName val="Des'16 Neraca"/>
      <sheetName val="Des'16 Wajar"/>
      <sheetName val="Des'16 Kont"/>
      <sheetName val="Jan'17 Neraca"/>
      <sheetName val="Jan'17 Wajar"/>
      <sheetName val="Jan'17 Kont"/>
      <sheetName val="Feb'17 Neraca"/>
      <sheetName val="Feb'17 Wajar"/>
      <sheetName val="Feb'17 Kont"/>
      <sheetName val="Mart'17 Neraca"/>
      <sheetName val="Mart'17 Wajar"/>
      <sheetName val="Mart'17 Kont"/>
      <sheetName val="Mei'17 Neraca"/>
      <sheetName val="Mei'17 Wajar"/>
      <sheetName val="Mei'17 Kont"/>
      <sheetName val="Juni'17 Neraca"/>
      <sheetName val="Juni'17 Wajar"/>
      <sheetName val="Juni'17 Kont"/>
      <sheetName val="Juli'17 Neraca"/>
      <sheetName val="Juli'17 Wajar"/>
      <sheetName val="Juli'17 Kont"/>
      <sheetName val="Agts'17 Neraca"/>
      <sheetName val="Agts'17 Wajar"/>
      <sheetName val="Agtsi'17 Kont"/>
      <sheetName val="Sept'17 Neraca"/>
      <sheetName val="Sept'17 Wajar"/>
      <sheetName val="Sept'17 Kont"/>
      <sheetName val="Okt'17 Neraca"/>
      <sheetName val="Okt'17 Wajar"/>
      <sheetName val="Okt'17 Kont"/>
      <sheetName val="Nop'17 Neraca"/>
      <sheetName val="Nop'17 Wajar"/>
      <sheetName val="Nop'17 Kont"/>
      <sheetName val="Des'17 Neraca"/>
      <sheetName val="Des'17 Wajar"/>
      <sheetName val="Des'17 Kont"/>
      <sheetName val="Jan'18 Neraca"/>
      <sheetName val="Jan'18 Wajar"/>
      <sheetName val="Jan'18 Kont"/>
      <sheetName val="Feb'18 Neraca"/>
      <sheetName val="Feb'18 Wajar"/>
      <sheetName val="Feb'18 Kont"/>
      <sheetName val="Mrt'18 Neraca"/>
      <sheetName val="Mrt'18 Wajar"/>
      <sheetName val="Mrt'18 Kont"/>
      <sheetName val="April'18 Neraca"/>
      <sheetName val="April'18 Wajar"/>
      <sheetName val="April'18 Kont"/>
      <sheetName val="Mei'18 Neraca"/>
      <sheetName val="Mei'18 Wajar"/>
      <sheetName val="Mei'18 Kont"/>
      <sheetName val="Juni'18 Neraca"/>
      <sheetName val="Juni'18 Wajar"/>
      <sheetName val="Juni'18 Kont"/>
      <sheetName val="Juli'18 Neraca"/>
      <sheetName val="Juli'18 Wajar"/>
      <sheetName val="Juli'18 Kont"/>
      <sheetName val="Agust'18 Neraca"/>
      <sheetName val="Agust'18 Wajar"/>
      <sheetName val="Agust'18 Kont"/>
      <sheetName val="Sept'18 Neraca"/>
      <sheetName val="Sept'18 Wajar"/>
      <sheetName val="Sept'18 Kont"/>
      <sheetName val="Oct'18 Neraca"/>
      <sheetName val="Oct'18 Wajar"/>
      <sheetName val="Oct'18 Kont"/>
      <sheetName val="Nop'18 Neraca"/>
      <sheetName val="Nop'18 Wajar"/>
      <sheetName val="Nop'18 Kont"/>
      <sheetName val="Des'18 Neraca"/>
      <sheetName val="Des'18 Wajar"/>
      <sheetName val="Des'18 Kont"/>
      <sheetName val="Jan'19 Neraca"/>
      <sheetName val="Jan'19 Wajar"/>
      <sheetName val="Jan'19 Kont"/>
      <sheetName val="Feb'19 Neraca"/>
      <sheetName val="Feb'19 Wajar"/>
      <sheetName val="Feb'19 Kont"/>
      <sheetName val="Mart'19 Neraca"/>
      <sheetName val="Mart'19 Wajar"/>
      <sheetName val="Mart'19 Kont"/>
      <sheetName val="April'19 Neraca"/>
      <sheetName val="April'19 Wajar"/>
      <sheetName val="April'19 Kont"/>
      <sheetName val="Mei'19 Neraca"/>
      <sheetName val="Mei'19 Wajar"/>
      <sheetName val="Mei'19 Kont"/>
      <sheetName val="Juni'19 Neraca"/>
      <sheetName val="Juni'19 Wajar"/>
      <sheetName val="Juni'19 Kont"/>
      <sheetName val="Juli'19 Neraca"/>
      <sheetName val="Juli'19 Wajar"/>
      <sheetName val="Juli'19 Kont"/>
      <sheetName val="Agst'19 Neraca"/>
      <sheetName val="Agst'19 Wajar"/>
      <sheetName val="Agst'19 Kont"/>
      <sheetName val="Sept'19 Neraca"/>
      <sheetName val="Sept'19 Wajar"/>
      <sheetName val="Sept'19 Kont"/>
      <sheetName val="Okt'19 Neraca"/>
      <sheetName val="Okt'19 Wajar"/>
      <sheetName val="Okt'19 Kont"/>
      <sheetName val="Nop'19 Neraca"/>
      <sheetName val="Nop'19 Wajar"/>
      <sheetName val="Nop'19 Kont"/>
      <sheetName val="Jan'20 Neraca"/>
      <sheetName val="Jan'20 Wajar"/>
      <sheetName val="Jan'20 Kont"/>
      <sheetName val="Feb'20 Neraca"/>
      <sheetName val="JAN 2020"/>
      <sheetName val="Sheet1"/>
      <sheetName val="FEB 2020"/>
      <sheetName val="PH-KM"/>
    </sheetNames>
    <sheetDataSet>
      <sheetData sheetId="0" refreshError="1">
        <row r="10"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2"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5"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=@SUM(C21:C28)" TargetMode="External"/><Relationship Id="rId13" Type="http://schemas.openxmlformats.org/officeDocument/2006/relationships/hyperlink" Target="mailto:=@SUM(C14:C20)+@SUM(C29:C31)" TargetMode="External"/><Relationship Id="rId18" Type="http://schemas.openxmlformats.org/officeDocument/2006/relationships/hyperlink" Target="mailto:=@SUM(C21:C28)" TargetMode="External"/><Relationship Id="rId3" Type="http://schemas.openxmlformats.org/officeDocument/2006/relationships/hyperlink" Target="mailto:=@SUM(C21:C28)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=@SUM(C14:C20)+@SUM(C29:C31)" TargetMode="External"/><Relationship Id="rId12" Type="http://schemas.openxmlformats.org/officeDocument/2006/relationships/hyperlink" Target="mailto:=@SUM(C21:C28)" TargetMode="External"/><Relationship Id="rId17" Type="http://schemas.openxmlformats.org/officeDocument/2006/relationships/hyperlink" Target="mailto:=@SUM(C14:C20)+@SUM(C29:C31)" TargetMode="External"/><Relationship Id="rId2" Type="http://schemas.openxmlformats.org/officeDocument/2006/relationships/hyperlink" Target="mailto:=@SUM(C21:C28)" TargetMode="External"/><Relationship Id="rId16" Type="http://schemas.openxmlformats.org/officeDocument/2006/relationships/hyperlink" Target="mailto:=@SUM(C21:C28)" TargetMode="External"/><Relationship Id="rId20" Type="http://schemas.openxmlformats.org/officeDocument/2006/relationships/hyperlink" Target="mailto:=@SUM(C21:C28)" TargetMode="External"/><Relationship Id="rId1" Type="http://schemas.openxmlformats.org/officeDocument/2006/relationships/hyperlink" Target="mailto:=@SUM(C14:C20)+@SUM(C29:C31)" TargetMode="External"/><Relationship Id="rId6" Type="http://schemas.openxmlformats.org/officeDocument/2006/relationships/hyperlink" Target="mailto:=@SUM(C21:C28)" TargetMode="External"/><Relationship Id="rId11" Type="http://schemas.openxmlformats.org/officeDocument/2006/relationships/hyperlink" Target="mailto:=@SUM(C14:C20)+@SUM(C29:C31)" TargetMode="External"/><Relationship Id="rId5" Type="http://schemas.openxmlformats.org/officeDocument/2006/relationships/hyperlink" Target="mailto:=@SUM(C14:C20)+@SUM(C29:C31)" TargetMode="External"/><Relationship Id="rId15" Type="http://schemas.openxmlformats.org/officeDocument/2006/relationships/hyperlink" Target="mailto:=@SUM(C14:C20)+@SUM(C29:C31)" TargetMode="External"/><Relationship Id="rId10" Type="http://schemas.openxmlformats.org/officeDocument/2006/relationships/hyperlink" Target="mailto:=@SUM(C21:C28)" TargetMode="External"/><Relationship Id="rId19" Type="http://schemas.openxmlformats.org/officeDocument/2006/relationships/hyperlink" Target="mailto:=@SUM(C14:C20)+@SUM(C29:C31)" TargetMode="External"/><Relationship Id="rId4" Type="http://schemas.openxmlformats.org/officeDocument/2006/relationships/hyperlink" Target="mailto:=@SUM(C21:C28)" TargetMode="External"/><Relationship Id="rId9" Type="http://schemas.openxmlformats.org/officeDocument/2006/relationships/hyperlink" Target="mailto:=@SUM(C14:C20)+@SUM(C29:C31)" TargetMode="External"/><Relationship Id="rId14" Type="http://schemas.openxmlformats.org/officeDocument/2006/relationships/hyperlink" Target="mailto:=@SUM(C21:C28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=@SUM(C21:C28)" TargetMode="External"/><Relationship Id="rId13" Type="http://schemas.openxmlformats.org/officeDocument/2006/relationships/hyperlink" Target="mailto:=@SUM(C14:C20)+@SUM(C29:C31)" TargetMode="External"/><Relationship Id="rId18" Type="http://schemas.openxmlformats.org/officeDocument/2006/relationships/hyperlink" Target="mailto:=@SUM(C21:C28)" TargetMode="External"/><Relationship Id="rId3" Type="http://schemas.openxmlformats.org/officeDocument/2006/relationships/hyperlink" Target="mailto:=@SUM(C21:C28)" TargetMode="External"/><Relationship Id="rId7" Type="http://schemas.openxmlformats.org/officeDocument/2006/relationships/hyperlink" Target="mailto:=@SUM(C14:C20)+@SUM(C29:C31)" TargetMode="External"/><Relationship Id="rId12" Type="http://schemas.openxmlformats.org/officeDocument/2006/relationships/hyperlink" Target="mailto:=@SUM(C21:C28)" TargetMode="External"/><Relationship Id="rId17" Type="http://schemas.openxmlformats.org/officeDocument/2006/relationships/hyperlink" Target="mailto:=@SUM(C14:C20)+@SUM(C29:C31)" TargetMode="External"/><Relationship Id="rId2" Type="http://schemas.openxmlformats.org/officeDocument/2006/relationships/hyperlink" Target="mailto:=@SUM(C21:C28)" TargetMode="External"/><Relationship Id="rId16" Type="http://schemas.openxmlformats.org/officeDocument/2006/relationships/hyperlink" Target="mailto:=@SUM(C21:C28)" TargetMode="External"/><Relationship Id="rId20" Type="http://schemas.openxmlformats.org/officeDocument/2006/relationships/hyperlink" Target="mailto:=@SUM(C21:C28)" TargetMode="External"/><Relationship Id="rId1" Type="http://schemas.openxmlformats.org/officeDocument/2006/relationships/hyperlink" Target="mailto:=@SUM(C14:C20)+@SUM(C29:C31)" TargetMode="External"/><Relationship Id="rId6" Type="http://schemas.openxmlformats.org/officeDocument/2006/relationships/hyperlink" Target="mailto:=@SUM(C21:C28)" TargetMode="External"/><Relationship Id="rId11" Type="http://schemas.openxmlformats.org/officeDocument/2006/relationships/hyperlink" Target="mailto:=@SUM(C14:C20)+@SUM(C29:C31)" TargetMode="External"/><Relationship Id="rId5" Type="http://schemas.openxmlformats.org/officeDocument/2006/relationships/hyperlink" Target="mailto:=@SUM(C14:C20)+@SUM(C29:C31)" TargetMode="External"/><Relationship Id="rId15" Type="http://schemas.openxmlformats.org/officeDocument/2006/relationships/hyperlink" Target="mailto:=@SUM(C14:C20)+@SUM(C29:C31)" TargetMode="External"/><Relationship Id="rId10" Type="http://schemas.openxmlformats.org/officeDocument/2006/relationships/hyperlink" Target="mailto:=@SUM(C21:C28)" TargetMode="External"/><Relationship Id="rId19" Type="http://schemas.openxmlformats.org/officeDocument/2006/relationships/hyperlink" Target="mailto:=@SUM(C14:C20)+@SUM(C29:C31)" TargetMode="External"/><Relationship Id="rId4" Type="http://schemas.openxmlformats.org/officeDocument/2006/relationships/hyperlink" Target="mailto:=@SUM(C21:C28)" TargetMode="External"/><Relationship Id="rId9" Type="http://schemas.openxmlformats.org/officeDocument/2006/relationships/hyperlink" Target="mailto:=@SUM(C14:C20)+@SUM(C29:C31)" TargetMode="External"/><Relationship Id="rId14" Type="http://schemas.openxmlformats.org/officeDocument/2006/relationships/hyperlink" Target="mailto:=@SUM(C21:C2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tabSelected="1" workbookViewId="0">
      <selection activeCell="A4" sqref="A4"/>
    </sheetView>
  </sheetViews>
  <sheetFormatPr defaultRowHeight="15" x14ac:dyDescent="0.25"/>
  <cols>
    <col min="1" max="1" width="4.28515625" customWidth="1"/>
    <col min="2" max="2" width="30" customWidth="1"/>
    <col min="3" max="3" width="7" customWidth="1"/>
    <col min="4" max="4" width="15.7109375" customWidth="1"/>
    <col min="5" max="5" width="4.7109375" customWidth="1"/>
    <col min="6" max="6" width="14.28515625" customWidth="1"/>
    <col min="7" max="7" width="5" customWidth="1"/>
    <col min="8" max="8" width="12.28515625" customWidth="1"/>
    <col min="9" max="9" width="5" customWidth="1"/>
    <col min="10" max="10" width="12.28515625" customWidth="1"/>
    <col min="11" max="11" width="5" customWidth="1"/>
    <col min="12" max="12" width="15" customWidth="1"/>
    <col min="13" max="13" width="10" customWidth="1"/>
    <col min="14" max="14" width="16.7109375" customWidth="1"/>
    <col min="15" max="15" width="9.140625" customWidth="1"/>
    <col min="16" max="16" width="8.140625" customWidth="1"/>
    <col min="17" max="17" width="14" customWidth="1"/>
    <col min="18" max="18" width="16" bestFit="1" customWidth="1"/>
    <col min="20" max="20" width="6.7109375" customWidth="1"/>
    <col min="21" max="21" width="4.7109375" customWidth="1"/>
    <col min="22" max="22" width="37.85546875" customWidth="1"/>
    <col min="23" max="23" width="11.7109375" customWidth="1"/>
    <col min="24" max="24" width="17.7109375" customWidth="1"/>
    <col min="25" max="25" width="11.7109375" customWidth="1"/>
    <col min="26" max="26" width="15.7109375" customWidth="1"/>
    <col min="27" max="27" width="11.7109375" customWidth="1"/>
    <col min="28" max="28" width="13.7109375" customWidth="1"/>
    <col min="29" max="29" width="11.7109375" customWidth="1"/>
    <col min="30" max="30" width="15.7109375" customWidth="1"/>
    <col min="31" max="31" width="11.7109375" customWidth="1"/>
    <col min="32" max="32" width="15.85546875" customWidth="1"/>
    <col min="33" max="33" width="11.7109375" customWidth="1"/>
    <col min="34" max="34" width="16.7109375" customWidth="1"/>
  </cols>
  <sheetData>
    <row r="1" spans="1:34" x14ac:dyDescent="0.25">
      <c r="A1" s="242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U1" s="219" t="s">
        <v>1</v>
      </c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</row>
    <row r="2" spans="1:34" x14ac:dyDescent="0.25">
      <c r="A2" s="251" t="s">
        <v>108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U2" s="219" t="str">
        <f ca="1">'KOLEK-KAP'!U2</f>
        <v>PT. BANK JATENG CAPEM GADING</v>
      </c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</row>
    <row r="3" spans="1:34" x14ac:dyDescent="0.25">
      <c r="A3" s="242" t="s">
        <v>121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U3" s="219" t="str">
        <f ca="1">+'KOLEK-KAP'!U3</f>
        <v>BULAN : MEI  2020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</row>
    <row r="4" spans="1:34" ht="15.75" thickBot="1" x14ac:dyDescent="0.3">
      <c r="B4" s="1"/>
      <c r="C4" s="1"/>
      <c r="D4" s="2"/>
      <c r="E4" s="1"/>
      <c r="F4" s="1"/>
      <c r="G4" s="1"/>
      <c r="H4" s="1"/>
      <c r="I4" s="1"/>
      <c r="J4" s="1"/>
      <c r="K4" s="1"/>
      <c r="L4" s="3"/>
      <c r="M4" s="1"/>
      <c r="N4" s="2"/>
      <c r="O4" s="1"/>
      <c r="P4" s="1"/>
      <c r="Q4" s="2"/>
      <c r="R4" s="4"/>
      <c r="U4" s="5"/>
      <c r="V4" s="6"/>
      <c r="W4" s="6" t="s">
        <v>2</v>
      </c>
      <c r="X4" s="6" t="s">
        <v>2</v>
      </c>
      <c r="Y4" s="6"/>
      <c r="Z4" s="6"/>
      <c r="AA4" s="6"/>
      <c r="AB4" s="6"/>
      <c r="AC4" s="6"/>
      <c r="AD4" s="6"/>
      <c r="AE4" s="6"/>
      <c r="AF4" s="7" t="s">
        <v>2</v>
      </c>
      <c r="AG4" s="8" t="s">
        <v>2</v>
      </c>
      <c r="AH4" s="9" t="s">
        <v>2</v>
      </c>
    </row>
    <row r="5" spans="1:34" x14ac:dyDescent="0.25">
      <c r="A5" s="10"/>
      <c r="B5" s="11"/>
      <c r="C5" s="262" t="s">
        <v>3</v>
      </c>
      <c r="D5" s="263"/>
      <c r="E5" s="263"/>
      <c r="F5" s="263"/>
      <c r="G5" s="263"/>
      <c r="H5" s="263"/>
      <c r="I5" s="263"/>
      <c r="J5" s="263"/>
      <c r="K5" s="263"/>
      <c r="L5" s="264"/>
      <c r="M5" s="265" t="s">
        <v>4</v>
      </c>
      <c r="N5" s="266"/>
      <c r="O5" s="269" t="s">
        <v>5</v>
      </c>
      <c r="P5" s="271" t="s">
        <v>6</v>
      </c>
      <c r="Q5" s="272"/>
      <c r="R5" s="12" t="s">
        <v>2</v>
      </c>
      <c r="U5" s="220" t="s">
        <v>7</v>
      </c>
      <c r="V5" s="223" t="s">
        <v>8</v>
      </c>
      <c r="W5" s="226" t="s">
        <v>9</v>
      </c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8"/>
    </row>
    <row r="6" spans="1:34" x14ac:dyDescent="0.25">
      <c r="A6" s="13" t="s">
        <v>10</v>
      </c>
      <c r="B6" s="14" t="s">
        <v>8</v>
      </c>
      <c r="C6" s="252" t="s">
        <v>11</v>
      </c>
      <c r="D6" s="253"/>
      <c r="E6" s="254" t="s">
        <v>12</v>
      </c>
      <c r="F6" s="255"/>
      <c r="G6" s="256" t="s">
        <v>13</v>
      </c>
      <c r="H6" s="257"/>
      <c r="I6" s="258" t="s">
        <v>14</v>
      </c>
      <c r="J6" s="259"/>
      <c r="K6" s="260" t="s">
        <v>15</v>
      </c>
      <c r="L6" s="261"/>
      <c r="M6" s="267"/>
      <c r="N6" s="268"/>
      <c r="O6" s="270"/>
      <c r="P6" s="273"/>
      <c r="Q6" s="274"/>
      <c r="R6" s="15" t="s">
        <v>16</v>
      </c>
      <c r="U6" s="221"/>
      <c r="V6" s="224"/>
      <c r="W6" s="229" t="s">
        <v>11</v>
      </c>
      <c r="X6" s="230"/>
      <c r="Y6" s="231" t="s">
        <v>12</v>
      </c>
      <c r="Z6" s="232"/>
      <c r="AA6" s="233" t="s">
        <v>13</v>
      </c>
      <c r="AB6" s="234"/>
      <c r="AC6" s="235" t="s">
        <v>14</v>
      </c>
      <c r="AD6" s="236"/>
      <c r="AE6" s="237" t="s">
        <v>15</v>
      </c>
      <c r="AF6" s="238"/>
      <c r="AG6" s="239" t="s">
        <v>17</v>
      </c>
      <c r="AH6" s="240"/>
    </row>
    <row r="7" spans="1:34" x14ac:dyDescent="0.25">
      <c r="A7" s="16"/>
      <c r="B7" s="17"/>
      <c r="C7" s="18" t="s">
        <v>18</v>
      </c>
      <c r="D7" s="19" t="s">
        <v>19</v>
      </c>
      <c r="E7" s="18" t="s">
        <v>18</v>
      </c>
      <c r="F7" s="19" t="s">
        <v>19</v>
      </c>
      <c r="G7" s="18" t="s">
        <v>18</v>
      </c>
      <c r="H7" s="19" t="s">
        <v>19</v>
      </c>
      <c r="I7" s="18" t="s">
        <v>18</v>
      </c>
      <c r="J7" s="19" t="s">
        <v>19</v>
      </c>
      <c r="K7" s="18" t="s">
        <v>18</v>
      </c>
      <c r="L7" s="19" t="s">
        <v>19</v>
      </c>
      <c r="M7" s="18" t="s">
        <v>18</v>
      </c>
      <c r="N7" s="18" t="s">
        <v>19</v>
      </c>
      <c r="O7" s="18" t="s">
        <v>20</v>
      </c>
      <c r="P7" s="18" t="s">
        <v>20</v>
      </c>
      <c r="Q7" s="20" t="s">
        <v>19</v>
      </c>
      <c r="R7" s="21" t="s">
        <v>21</v>
      </c>
      <c r="U7" s="222"/>
      <c r="V7" s="225"/>
      <c r="W7" s="211" t="s">
        <v>18</v>
      </c>
      <c r="X7" s="23" t="s">
        <v>19</v>
      </c>
      <c r="Y7" s="211" t="s">
        <v>18</v>
      </c>
      <c r="Z7" s="23" t="s">
        <v>19</v>
      </c>
      <c r="AA7" s="211" t="s">
        <v>18</v>
      </c>
      <c r="AB7" s="23" t="s">
        <v>19</v>
      </c>
      <c r="AC7" s="211" t="s">
        <v>18</v>
      </c>
      <c r="AD7" s="23" t="s">
        <v>19</v>
      </c>
      <c r="AE7" s="211" t="s">
        <v>18</v>
      </c>
      <c r="AF7" s="23" t="s">
        <v>19</v>
      </c>
      <c r="AG7" s="211" t="s">
        <v>18</v>
      </c>
      <c r="AH7" s="24" t="s">
        <v>19</v>
      </c>
    </row>
    <row r="8" spans="1:34" x14ac:dyDescent="0.25">
      <c r="A8" s="13"/>
      <c r="B8" s="25"/>
      <c r="C8" s="25"/>
      <c r="D8" s="26"/>
      <c r="E8" s="25"/>
      <c r="F8" s="26"/>
      <c r="G8" s="25"/>
      <c r="H8" s="26"/>
      <c r="I8" s="25"/>
      <c r="J8" s="26"/>
      <c r="K8" s="25"/>
      <c r="L8" s="26"/>
      <c r="M8" s="25"/>
      <c r="N8" s="25"/>
      <c r="O8" s="25"/>
      <c r="P8" s="25"/>
      <c r="Q8" s="27"/>
      <c r="R8" s="28"/>
      <c r="U8" s="29">
        <v>1</v>
      </c>
      <c r="V8" s="30" t="s">
        <v>22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2">
        <f>+X8+Z8+AB8+AD8+AF8</f>
        <v>0</v>
      </c>
    </row>
    <row r="9" spans="1:34" ht="15" customHeight="1" x14ac:dyDescent="0.25">
      <c r="A9" s="13">
        <v>1</v>
      </c>
      <c r="B9" s="33" t="s">
        <v>23</v>
      </c>
      <c r="C9" s="34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f>+C9+E9+G9+I9+K9</f>
        <v>0</v>
      </c>
      <c r="N9" s="36">
        <v>376435275</v>
      </c>
      <c r="O9" s="37">
        <v>0</v>
      </c>
      <c r="P9" s="38">
        <v>0</v>
      </c>
      <c r="Q9" s="39">
        <v>0</v>
      </c>
      <c r="R9" s="40">
        <v>0</v>
      </c>
      <c r="U9" s="41"/>
      <c r="V9" s="42"/>
      <c r="W9" s="43"/>
      <c r="X9" s="44"/>
      <c r="Y9" s="43"/>
      <c r="Z9" s="44"/>
      <c r="AA9" s="43"/>
      <c r="AB9" s="44"/>
      <c r="AC9" s="43"/>
      <c r="AD9" s="44"/>
      <c r="AE9" s="43"/>
      <c r="AF9" s="44"/>
      <c r="AG9" s="43"/>
      <c r="AH9" s="45"/>
    </row>
    <row r="10" spans="1:34" x14ac:dyDescent="0.25">
      <c r="A10" s="13">
        <f>+A9+1</f>
        <v>2</v>
      </c>
      <c r="B10" s="46" t="s">
        <v>24</v>
      </c>
      <c r="C10" s="47">
        <v>39</v>
      </c>
      <c r="D10" s="48">
        <v>841058800</v>
      </c>
      <c r="E10" s="49">
        <v>7</v>
      </c>
      <c r="F10" s="49">
        <v>185285699</v>
      </c>
      <c r="G10" s="49">
        <v>0</v>
      </c>
      <c r="H10" s="49">
        <v>0</v>
      </c>
      <c r="I10" s="50">
        <v>0</v>
      </c>
      <c r="J10" s="49">
        <v>0</v>
      </c>
      <c r="K10" s="49">
        <v>3</v>
      </c>
      <c r="L10" s="49">
        <v>36655755</v>
      </c>
      <c r="M10" s="35">
        <f>C10+E10+G10+I10+K10</f>
        <v>49</v>
      </c>
      <c r="N10" s="48">
        <f t="shared" ref="N10:N28" si="0">+D10+F10+H10+J10+L10</f>
        <v>1063000254</v>
      </c>
      <c r="O10" s="37">
        <f>IF(N10=0,0,((F10*0.25)+(H10*0.5)+(J10*0.75)+(L10*1))/N10*100)</f>
        <v>7.8059416672538253</v>
      </c>
      <c r="P10" s="38">
        <f>IF(N10=0,0,(H10+J10+L10)/N10*100)</f>
        <v>3.4483298439550518</v>
      </c>
      <c r="Q10" s="39">
        <f t="shared" ref="Q10:Q33" si="1">H10+J10+L10</f>
        <v>36655755</v>
      </c>
      <c r="R10" s="40">
        <f>1518086+8261970+2048460</f>
        <v>11828516</v>
      </c>
      <c r="U10" s="51">
        <v>2</v>
      </c>
      <c r="V10" s="52" t="s">
        <v>25</v>
      </c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  <c r="AG10" s="53">
        <f>+W10+Y10+AA10+AC10+AE10</f>
        <v>0</v>
      </c>
      <c r="AH10" s="54">
        <f>+X10+Z10+AB10+AD10+AF10</f>
        <v>0</v>
      </c>
    </row>
    <row r="11" spans="1:34" x14ac:dyDescent="0.25">
      <c r="A11" s="13">
        <f t="shared" ref="A11:A22" si="2">+A10+1</f>
        <v>3</v>
      </c>
      <c r="B11" s="46" t="s">
        <v>109</v>
      </c>
      <c r="C11" s="47">
        <v>0</v>
      </c>
      <c r="D11" s="48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1</v>
      </c>
      <c r="L11" s="49">
        <v>27551790</v>
      </c>
      <c r="M11" s="35">
        <f t="shared" ref="M11:M28" si="3">+C11+E11+G11+I11+K11</f>
        <v>1</v>
      </c>
      <c r="N11" s="48">
        <f t="shared" si="0"/>
        <v>27551790</v>
      </c>
      <c r="O11" s="37">
        <f t="shared" ref="O11:O34" si="4">IF(N11=0,0,((F11*0.25)+(H11*0.5)+(J11*0.75)+(L11*1))/N11*100)</f>
        <v>100</v>
      </c>
      <c r="P11" s="38">
        <f t="shared" ref="P11:P34" si="5">IF(N11=0,0,(H11+J11+L11)/N11*100)</f>
        <v>100</v>
      </c>
      <c r="Q11" s="39">
        <f t="shared" si="1"/>
        <v>27551790</v>
      </c>
      <c r="R11" s="40">
        <f>2571763</f>
        <v>2571763</v>
      </c>
      <c r="U11" s="51"/>
      <c r="V11" s="52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4"/>
    </row>
    <row r="12" spans="1:34" x14ac:dyDescent="0.25">
      <c r="A12" s="13">
        <f t="shared" si="2"/>
        <v>4</v>
      </c>
      <c r="B12" s="55" t="s">
        <v>26</v>
      </c>
      <c r="C12" s="47">
        <v>0</v>
      </c>
      <c r="D12" s="48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35">
        <f t="shared" si="3"/>
        <v>0</v>
      </c>
      <c r="N12" s="48">
        <f t="shared" si="0"/>
        <v>0</v>
      </c>
      <c r="O12" s="37">
        <f t="shared" si="4"/>
        <v>0</v>
      </c>
      <c r="P12" s="38">
        <f t="shared" si="5"/>
        <v>0</v>
      </c>
      <c r="Q12" s="39">
        <f t="shared" si="1"/>
        <v>0</v>
      </c>
      <c r="R12" s="40">
        <v>0</v>
      </c>
      <c r="U12" s="51">
        <v>3</v>
      </c>
      <c r="V12" s="52" t="s">
        <v>27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f>+W12+Y12+AA12+AC12+AE12</f>
        <v>0</v>
      </c>
      <c r="AH12" s="54">
        <f>+X12+Z12+AB12+AD12+AF12</f>
        <v>0</v>
      </c>
    </row>
    <row r="13" spans="1:34" x14ac:dyDescent="0.25">
      <c r="A13" s="13">
        <f t="shared" si="2"/>
        <v>5</v>
      </c>
      <c r="B13" s="46" t="s">
        <v>28</v>
      </c>
      <c r="C13" s="47">
        <v>66</v>
      </c>
      <c r="D13" s="48">
        <v>1854356322</v>
      </c>
      <c r="E13" s="49">
        <v>3</v>
      </c>
      <c r="F13" s="49">
        <v>49401403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35">
        <f t="shared" si="3"/>
        <v>69</v>
      </c>
      <c r="N13" s="48">
        <f t="shared" si="0"/>
        <v>1903757725</v>
      </c>
      <c r="O13" s="37">
        <f t="shared" si="4"/>
        <v>0.64873542404141793</v>
      </c>
      <c r="P13" s="38">
        <f t="shared" si="5"/>
        <v>0</v>
      </c>
      <c r="Q13" s="39">
        <f t="shared" si="1"/>
        <v>0</v>
      </c>
      <c r="R13" s="40">
        <f>62714</f>
        <v>62714</v>
      </c>
      <c r="U13" s="51"/>
      <c r="V13" s="52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4"/>
    </row>
    <row r="14" spans="1:34" x14ac:dyDescent="0.25">
      <c r="A14" s="13">
        <f t="shared" si="2"/>
        <v>6</v>
      </c>
      <c r="B14" s="46" t="s">
        <v>110</v>
      </c>
      <c r="C14" s="47">
        <v>1</v>
      </c>
      <c r="D14" s="48">
        <v>2800000000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35">
        <f t="shared" si="3"/>
        <v>1</v>
      </c>
      <c r="N14" s="48">
        <f t="shared" si="0"/>
        <v>2800000000</v>
      </c>
      <c r="O14" s="37">
        <f t="shared" si="4"/>
        <v>0</v>
      </c>
      <c r="P14" s="38">
        <f t="shared" si="5"/>
        <v>0</v>
      </c>
      <c r="Q14" s="39">
        <f t="shared" si="1"/>
        <v>0</v>
      </c>
      <c r="R14" s="40">
        <v>0</v>
      </c>
      <c r="U14" s="51"/>
      <c r="V14" s="52" t="s">
        <v>29</v>
      </c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4"/>
    </row>
    <row r="15" spans="1:34" x14ac:dyDescent="0.25">
      <c r="A15" s="13">
        <f t="shared" si="2"/>
        <v>7</v>
      </c>
      <c r="B15" s="46" t="s">
        <v>111</v>
      </c>
      <c r="C15" s="47">
        <v>1</v>
      </c>
      <c r="D15" s="48">
        <v>20287958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35">
        <f t="shared" si="3"/>
        <v>1</v>
      </c>
      <c r="N15" s="48">
        <f t="shared" si="0"/>
        <v>20287958</v>
      </c>
      <c r="O15" s="37">
        <f t="shared" si="4"/>
        <v>0</v>
      </c>
      <c r="P15" s="38">
        <f t="shared" si="5"/>
        <v>0</v>
      </c>
      <c r="Q15" s="39">
        <f t="shared" si="1"/>
        <v>0</v>
      </c>
      <c r="R15" s="40">
        <v>0</v>
      </c>
      <c r="U15" s="51"/>
      <c r="V15" s="52" t="s">
        <v>30</v>
      </c>
      <c r="W15" s="53">
        <v>0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  <c r="AG15" s="53">
        <f t="shared" ref="AG15:AH18" si="6">+W15+Y15+AA15+AC15+AE15</f>
        <v>0</v>
      </c>
      <c r="AH15" s="54">
        <f t="shared" si="6"/>
        <v>0</v>
      </c>
    </row>
    <row r="16" spans="1:34" x14ac:dyDescent="0.25">
      <c r="A16" s="13">
        <f t="shared" si="2"/>
        <v>8</v>
      </c>
      <c r="B16" s="46" t="s">
        <v>117</v>
      </c>
      <c r="C16" s="47">
        <v>2</v>
      </c>
      <c r="D16" s="48">
        <v>2801562154</v>
      </c>
      <c r="E16" s="49">
        <v>1</v>
      </c>
      <c r="F16" s="49">
        <v>500000000</v>
      </c>
      <c r="G16" s="49">
        <v>0</v>
      </c>
      <c r="H16" s="49">
        <v>0</v>
      </c>
      <c r="I16" s="49">
        <v>0</v>
      </c>
      <c r="J16" s="49">
        <v>0</v>
      </c>
      <c r="K16" s="49">
        <v>3</v>
      </c>
      <c r="L16" s="49">
        <v>2821500000</v>
      </c>
      <c r="M16" s="35">
        <f t="shared" si="3"/>
        <v>6</v>
      </c>
      <c r="N16" s="48">
        <f t="shared" si="0"/>
        <v>6123062154</v>
      </c>
      <c r="O16" s="37">
        <f t="shared" si="4"/>
        <v>48.121347226161113</v>
      </c>
      <c r="P16" s="38">
        <f t="shared" si="5"/>
        <v>46.079885015650291</v>
      </c>
      <c r="Q16" s="39">
        <f t="shared" si="1"/>
        <v>2821500000</v>
      </c>
      <c r="R16" s="40">
        <v>0</v>
      </c>
      <c r="U16" s="51"/>
      <c r="V16" s="52" t="s">
        <v>31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f t="shared" si="6"/>
        <v>0</v>
      </c>
      <c r="AH16" s="54">
        <f t="shared" si="6"/>
        <v>0</v>
      </c>
    </row>
    <row r="17" spans="1:34" x14ac:dyDescent="0.25">
      <c r="A17" s="13">
        <f t="shared" si="2"/>
        <v>9</v>
      </c>
      <c r="B17" s="56" t="s">
        <v>32</v>
      </c>
      <c r="C17" s="47">
        <v>9</v>
      </c>
      <c r="D17" s="48">
        <v>1822046280</v>
      </c>
      <c r="E17" s="49">
        <v>2</v>
      </c>
      <c r="F17" s="49">
        <v>385256170</v>
      </c>
      <c r="G17" s="49">
        <v>0</v>
      </c>
      <c r="H17" s="49">
        <v>0</v>
      </c>
      <c r="I17" s="49">
        <v>0</v>
      </c>
      <c r="J17" s="49">
        <v>0</v>
      </c>
      <c r="K17" s="49">
        <v>1</v>
      </c>
      <c r="L17" s="49">
        <v>94925640</v>
      </c>
      <c r="M17" s="35">
        <f t="shared" si="3"/>
        <v>12</v>
      </c>
      <c r="N17" s="48">
        <f t="shared" si="0"/>
        <v>2302228090</v>
      </c>
      <c r="O17" s="37">
        <f t="shared" si="4"/>
        <v>8.306721794016509</v>
      </c>
      <c r="P17" s="38">
        <f t="shared" si="5"/>
        <v>4.1232074446628788</v>
      </c>
      <c r="Q17" s="39">
        <f t="shared" si="1"/>
        <v>94925640</v>
      </c>
      <c r="R17" s="40">
        <f>1610992+24017710</f>
        <v>25628702</v>
      </c>
      <c r="U17" s="51"/>
      <c r="V17" s="52" t="s">
        <v>33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  <c r="AE17" s="53">
        <v>0</v>
      </c>
      <c r="AF17" s="53">
        <v>0</v>
      </c>
      <c r="AG17" s="53">
        <f t="shared" si="6"/>
        <v>0</v>
      </c>
      <c r="AH17" s="54">
        <f t="shared" si="6"/>
        <v>0</v>
      </c>
    </row>
    <row r="18" spans="1:34" x14ac:dyDescent="0.25">
      <c r="A18" s="13">
        <f t="shared" si="2"/>
        <v>10</v>
      </c>
      <c r="B18" s="46" t="s">
        <v>34</v>
      </c>
      <c r="C18" s="47">
        <v>174</v>
      </c>
      <c r="D18" s="48">
        <v>35351886233</v>
      </c>
      <c r="E18" s="49">
        <v>2</v>
      </c>
      <c r="F18" s="49">
        <v>246703744</v>
      </c>
      <c r="G18" s="49">
        <v>0</v>
      </c>
      <c r="H18" s="49">
        <v>0</v>
      </c>
      <c r="I18" s="49">
        <v>1</v>
      </c>
      <c r="J18" s="49">
        <v>17002030</v>
      </c>
      <c r="K18" s="49">
        <v>2</v>
      </c>
      <c r="L18" s="49">
        <v>32247287</v>
      </c>
      <c r="M18" s="35">
        <f t="shared" si="3"/>
        <v>179</v>
      </c>
      <c r="N18" s="57">
        <f t="shared" si="0"/>
        <v>35647839294</v>
      </c>
      <c r="O18" s="37">
        <f t="shared" si="4"/>
        <v>0.29924603457790716</v>
      </c>
      <c r="P18" s="38">
        <f t="shared" si="5"/>
        <v>0.1381551251783423</v>
      </c>
      <c r="Q18" s="39">
        <f t="shared" si="1"/>
        <v>49249317</v>
      </c>
      <c r="R18" s="40">
        <f>241050+307080</f>
        <v>548130</v>
      </c>
      <c r="U18" s="51"/>
      <c r="V18" s="52" t="s">
        <v>35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  <c r="AG18" s="53">
        <f t="shared" si="6"/>
        <v>0</v>
      </c>
      <c r="AH18" s="54">
        <f t="shared" si="6"/>
        <v>0</v>
      </c>
    </row>
    <row r="19" spans="1:34" x14ac:dyDescent="0.25">
      <c r="A19" s="13">
        <f t="shared" si="2"/>
        <v>11</v>
      </c>
      <c r="B19" s="46" t="s">
        <v>36</v>
      </c>
      <c r="C19" s="47">
        <v>0</v>
      </c>
      <c r="D19" s="48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35">
        <f t="shared" si="3"/>
        <v>0</v>
      </c>
      <c r="N19" s="57">
        <f t="shared" si="0"/>
        <v>0</v>
      </c>
      <c r="O19" s="37">
        <f t="shared" si="4"/>
        <v>0</v>
      </c>
      <c r="P19" s="38">
        <f t="shared" si="5"/>
        <v>0</v>
      </c>
      <c r="Q19" s="39">
        <f t="shared" si="1"/>
        <v>0</v>
      </c>
      <c r="R19" s="40">
        <v>0</v>
      </c>
      <c r="U19" s="51"/>
      <c r="V19" s="52"/>
      <c r="W19" s="53"/>
      <c r="X19" s="58"/>
      <c r="Y19" s="53"/>
      <c r="Z19" s="58"/>
      <c r="AA19" s="53"/>
      <c r="AB19" s="53"/>
      <c r="AC19" s="53"/>
      <c r="AD19" s="53"/>
      <c r="AE19" s="53"/>
      <c r="AF19" s="53"/>
      <c r="AG19" s="53"/>
      <c r="AH19" s="54"/>
    </row>
    <row r="20" spans="1:34" x14ac:dyDescent="0.25">
      <c r="A20" s="13">
        <f t="shared" si="2"/>
        <v>12</v>
      </c>
      <c r="B20" s="46" t="s">
        <v>112</v>
      </c>
      <c r="C20" s="47">
        <v>87</v>
      </c>
      <c r="D20" s="48">
        <v>20157796015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1</v>
      </c>
      <c r="L20" s="49">
        <v>67563341</v>
      </c>
      <c r="M20" s="35">
        <f t="shared" si="3"/>
        <v>88</v>
      </c>
      <c r="N20" s="57">
        <f t="shared" si="0"/>
        <v>20225359356</v>
      </c>
      <c r="O20" s="37">
        <f t="shared" si="4"/>
        <v>0.33405261093646199</v>
      </c>
      <c r="P20" s="38">
        <f t="shared" si="5"/>
        <v>0.33405261093646199</v>
      </c>
      <c r="Q20" s="39">
        <f t="shared" si="1"/>
        <v>67563341</v>
      </c>
      <c r="R20" s="40">
        <f>19458711</f>
        <v>19458711</v>
      </c>
      <c r="U20" s="51"/>
      <c r="V20" s="52" t="s">
        <v>38</v>
      </c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4"/>
    </row>
    <row r="21" spans="1:34" x14ac:dyDescent="0.25">
      <c r="A21" s="13">
        <f t="shared" si="2"/>
        <v>13</v>
      </c>
      <c r="B21" s="46" t="s">
        <v>37</v>
      </c>
      <c r="C21" s="47">
        <v>0</v>
      </c>
      <c r="D21" s="48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35">
        <f t="shared" si="3"/>
        <v>0</v>
      </c>
      <c r="N21" s="57">
        <f t="shared" si="0"/>
        <v>0</v>
      </c>
      <c r="O21" s="37">
        <f t="shared" si="4"/>
        <v>0</v>
      </c>
      <c r="P21" s="38">
        <f t="shared" si="5"/>
        <v>0</v>
      </c>
      <c r="Q21" s="39">
        <f t="shared" si="1"/>
        <v>0</v>
      </c>
      <c r="R21" s="40">
        <v>0</v>
      </c>
      <c r="U21" s="51"/>
      <c r="V21" s="52" t="s">
        <v>30</v>
      </c>
      <c r="W21" s="59">
        <v>151</v>
      </c>
      <c r="X21" s="59">
        <v>37406568502</v>
      </c>
      <c r="Y21" s="60">
        <v>41</v>
      </c>
      <c r="Z21" s="60">
        <v>5122779387</v>
      </c>
      <c r="AA21" s="60">
        <v>3</v>
      </c>
      <c r="AB21" s="60">
        <v>285780670</v>
      </c>
      <c r="AC21" s="59">
        <v>9</v>
      </c>
      <c r="AD21" s="59">
        <v>637528734</v>
      </c>
      <c r="AE21" s="60">
        <v>13</v>
      </c>
      <c r="AF21" s="60">
        <v>2499452469</v>
      </c>
      <c r="AG21" s="61">
        <f t="shared" ref="AG21:AH23" si="7">+W21+Y21+AA21+AC21+AE21</f>
        <v>217</v>
      </c>
      <c r="AH21" s="62">
        <f t="shared" si="7"/>
        <v>45952109762</v>
      </c>
    </row>
    <row r="22" spans="1:34" x14ac:dyDescent="0.25">
      <c r="A22" s="13">
        <f t="shared" si="2"/>
        <v>14</v>
      </c>
      <c r="B22" s="56" t="s">
        <v>39</v>
      </c>
      <c r="C22" s="47">
        <v>22</v>
      </c>
      <c r="D22" s="48">
        <v>6606416667</v>
      </c>
      <c r="E22" s="49">
        <v>2</v>
      </c>
      <c r="F22" s="49">
        <v>70547680</v>
      </c>
      <c r="G22" s="49">
        <v>0</v>
      </c>
      <c r="H22" s="49">
        <v>0</v>
      </c>
      <c r="I22" s="49">
        <v>0</v>
      </c>
      <c r="J22" s="49">
        <v>0</v>
      </c>
      <c r="K22" s="49">
        <v>6</v>
      </c>
      <c r="L22" s="49">
        <v>1821761919</v>
      </c>
      <c r="M22" s="35">
        <f t="shared" si="3"/>
        <v>30</v>
      </c>
      <c r="N22" s="57">
        <f t="shared" si="0"/>
        <v>8498726266</v>
      </c>
      <c r="O22" s="37">
        <f t="shared" si="4"/>
        <v>21.643229602048699</v>
      </c>
      <c r="P22" s="38">
        <f t="shared" si="5"/>
        <v>21.435705327845888</v>
      </c>
      <c r="Q22" s="39">
        <f t="shared" si="1"/>
        <v>1821761919</v>
      </c>
      <c r="R22" s="40">
        <f>860617+283639339</f>
        <v>284499956</v>
      </c>
      <c r="U22" s="51"/>
      <c r="V22" s="52" t="s">
        <v>31</v>
      </c>
      <c r="W22" s="61">
        <v>0</v>
      </c>
      <c r="X22" s="61">
        <v>0</v>
      </c>
      <c r="Y22" s="53">
        <v>0</v>
      </c>
      <c r="Z22" s="53">
        <v>0</v>
      </c>
      <c r="AA22" s="53">
        <v>0</v>
      </c>
      <c r="AB22" s="53">
        <v>0</v>
      </c>
      <c r="AC22" s="61">
        <v>0</v>
      </c>
      <c r="AD22" s="61">
        <v>0</v>
      </c>
      <c r="AE22" s="53">
        <v>0</v>
      </c>
      <c r="AF22" s="53">
        <v>0</v>
      </c>
      <c r="AG22" s="61">
        <f t="shared" si="7"/>
        <v>0</v>
      </c>
      <c r="AH22" s="62">
        <f t="shared" si="7"/>
        <v>0</v>
      </c>
    </row>
    <row r="23" spans="1:34" x14ac:dyDescent="0.25">
      <c r="A23" s="13">
        <f t="shared" ref="A23:A32" si="8">+A22+1</f>
        <v>15</v>
      </c>
      <c r="B23" s="56" t="s">
        <v>40</v>
      </c>
      <c r="C23" s="47">
        <v>276</v>
      </c>
      <c r="D23" s="48">
        <v>27184005717</v>
      </c>
      <c r="E23" s="49">
        <v>7</v>
      </c>
      <c r="F23" s="49">
        <v>1103001624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35">
        <f t="shared" si="3"/>
        <v>283</v>
      </c>
      <c r="N23" s="57">
        <f t="shared" si="0"/>
        <v>28287007341</v>
      </c>
      <c r="O23" s="37">
        <f t="shared" si="4"/>
        <v>0.97483060924695075</v>
      </c>
      <c r="P23" s="38">
        <f t="shared" si="5"/>
        <v>0</v>
      </c>
      <c r="Q23" s="39">
        <f t="shared" si="1"/>
        <v>0</v>
      </c>
      <c r="R23" s="40">
        <f>6791830</f>
        <v>6791830</v>
      </c>
      <c r="U23" s="51"/>
      <c r="V23" s="52" t="s">
        <v>33</v>
      </c>
      <c r="W23" s="61">
        <v>99</v>
      </c>
      <c r="X23" s="61">
        <v>0</v>
      </c>
      <c r="Y23" s="53">
        <v>3</v>
      </c>
      <c r="Z23" s="53">
        <v>0</v>
      </c>
      <c r="AA23" s="53">
        <v>0</v>
      </c>
      <c r="AB23" s="53">
        <v>0</v>
      </c>
      <c r="AC23" s="61">
        <v>0</v>
      </c>
      <c r="AD23" s="61">
        <v>0</v>
      </c>
      <c r="AE23" s="53">
        <v>0</v>
      </c>
      <c r="AF23" s="53">
        <v>0</v>
      </c>
      <c r="AG23" s="61">
        <f t="shared" si="7"/>
        <v>102</v>
      </c>
      <c r="AH23" s="62">
        <f t="shared" si="7"/>
        <v>0</v>
      </c>
    </row>
    <row r="24" spans="1:34" x14ac:dyDescent="0.25">
      <c r="A24" s="13">
        <f t="shared" si="8"/>
        <v>16</v>
      </c>
      <c r="B24" s="56" t="s">
        <v>41</v>
      </c>
      <c r="C24" s="47">
        <v>138</v>
      </c>
      <c r="D24" s="48">
        <v>22875094849</v>
      </c>
      <c r="E24" s="49">
        <v>1</v>
      </c>
      <c r="F24" s="49">
        <v>243368510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35">
        <f t="shared" si="3"/>
        <v>139</v>
      </c>
      <c r="N24" s="57">
        <f t="shared" si="0"/>
        <v>23118463359</v>
      </c>
      <c r="O24" s="37">
        <f t="shared" si="4"/>
        <v>0.26317548253618772</v>
      </c>
      <c r="P24" s="38">
        <f t="shared" si="5"/>
        <v>0</v>
      </c>
      <c r="Q24" s="39">
        <f t="shared" si="1"/>
        <v>0</v>
      </c>
      <c r="R24" s="40">
        <f>2230890</f>
        <v>2230890</v>
      </c>
      <c r="U24" s="51"/>
      <c r="V24" s="52" t="s">
        <v>35</v>
      </c>
      <c r="W24" s="59">
        <v>1484</v>
      </c>
      <c r="X24" s="59">
        <v>135844503936</v>
      </c>
      <c r="Y24" s="60">
        <v>15</v>
      </c>
      <c r="Z24" s="60">
        <v>1485446601</v>
      </c>
      <c r="AA24" s="60">
        <v>0</v>
      </c>
      <c r="AB24" s="60">
        <v>0</v>
      </c>
      <c r="AC24" s="59">
        <v>1</v>
      </c>
      <c r="AD24" s="59">
        <v>110345640</v>
      </c>
      <c r="AE24" s="60">
        <v>2</v>
      </c>
      <c r="AF24" s="60">
        <v>389432340</v>
      </c>
      <c r="AG24" s="59">
        <f>W24+Y24+AA24+AC24+AE24</f>
        <v>1502</v>
      </c>
      <c r="AH24" s="62">
        <f>+X24+Z24+AB24+AD24+AF24</f>
        <v>137829728517</v>
      </c>
    </row>
    <row r="25" spans="1:34" x14ac:dyDescent="0.25">
      <c r="A25" s="13">
        <f t="shared" si="8"/>
        <v>17</v>
      </c>
      <c r="B25" s="56" t="s">
        <v>42</v>
      </c>
      <c r="C25" s="47">
        <v>15</v>
      </c>
      <c r="D25" s="48">
        <v>1628125680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35">
        <f t="shared" si="3"/>
        <v>15</v>
      </c>
      <c r="N25" s="57">
        <f t="shared" si="0"/>
        <v>1628125680</v>
      </c>
      <c r="O25" s="37">
        <f t="shared" si="4"/>
        <v>0</v>
      </c>
      <c r="P25" s="38">
        <f t="shared" si="5"/>
        <v>0</v>
      </c>
      <c r="Q25" s="39">
        <f t="shared" si="1"/>
        <v>0</v>
      </c>
      <c r="R25" s="40">
        <v>0</v>
      </c>
      <c r="U25" s="63"/>
      <c r="V25" s="64"/>
      <c r="W25" s="65"/>
      <c r="X25" s="66"/>
      <c r="Y25" s="65"/>
      <c r="Z25" s="66"/>
      <c r="AA25" s="65"/>
      <c r="AB25" s="66"/>
      <c r="AC25" s="65"/>
      <c r="AD25" s="66"/>
      <c r="AE25" s="65" t="s">
        <v>2</v>
      </c>
      <c r="AF25" s="66"/>
      <c r="AG25" s="65"/>
      <c r="AH25" s="67"/>
    </row>
    <row r="26" spans="1:34" ht="15" customHeight="1" x14ac:dyDescent="0.25">
      <c r="A26" s="13">
        <f t="shared" si="8"/>
        <v>18</v>
      </c>
      <c r="B26" s="56" t="s">
        <v>43</v>
      </c>
      <c r="C26" s="47">
        <v>168</v>
      </c>
      <c r="D26" s="48">
        <v>6274703568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2</v>
      </c>
      <c r="L26" s="49">
        <v>5246074</v>
      </c>
      <c r="M26" s="35">
        <f t="shared" si="3"/>
        <v>170</v>
      </c>
      <c r="N26" s="57">
        <f t="shared" si="0"/>
        <v>6279949642</v>
      </c>
      <c r="O26" s="37">
        <f t="shared" si="4"/>
        <v>8.3536880055765261E-2</v>
      </c>
      <c r="P26" s="38">
        <f t="shared" si="5"/>
        <v>8.3536880055765261E-2</v>
      </c>
      <c r="Q26" s="39">
        <f t="shared" si="1"/>
        <v>5246074</v>
      </c>
      <c r="R26" s="40">
        <f>158510</f>
        <v>158510</v>
      </c>
      <c r="U26" s="68"/>
      <c r="V26" s="69" t="s">
        <v>45</v>
      </c>
      <c r="W26" s="70">
        <f t="shared" ref="W26:AD26" si="9">SUM(W15:W24)</f>
        <v>1734</v>
      </c>
      <c r="X26" s="70">
        <f t="shared" si="9"/>
        <v>173251072438</v>
      </c>
      <c r="Y26" s="70">
        <f t="shared" si="9"/>
        <v>59</v>
      </c>
      <c r="Z26" s="70">
        <f t="shared" si="9"/>
        <v>6608225988</v>
      </c>
      <c r="AA26" s="70">
        <f t="shared" si="9"/>
        <v>3</v>
      </c>
      <c r="AB26" s="70">
        <f t="shared" si="9"/>
        <v>285780670</v>
      </c>
      <c r="AC26" s="70">
        <f t="shared" si="9"/>
        <v>10</v>
      </c>
      <c r="AD26" s="70">
        <f t="shared" si="9"/>
        <v>747874374</v>
      </c>
      <c r="AE26" s="70">
        <f>SUM(AE8:AE25)</f>
        <v>15</v>
      </c>
      <c r="AF26" s="70">
        <f>SUM(AF15:AF24)</f>
        <v>2888884809</v>
      </c>
      <c r="AG26" s="70">
        <f>W26+Y26+AA26+AC26+AE26</f>
        <v>1821</v>
      </c>
      <c r="AH26" s="71">
        <f>X26+Z26+AB26+AD26+AF26</f>
        <v>183781838279</v>
      </c>
    </row>
    <row r="27" spans="1:34" x14ac:dyDescent="0.25">
      <c r="A27" s="13">
        <f t="shared" si="8"/>
        <v>19</v>
      </c>
      <c r="B27" s="56" t="s">
        <v>44</v>
      </c>
      <c r="C27" s="47">
        <v>5</v>
      </c>
      <c r="D27" s="48">
        <v>518291970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35">
        <f t="shared" si="3"/>
        <v>5</v>
      </c>
      <c r="N27" s="57">
        <f t="shared" si="0"/>
        <v>518291970</v>
      </c>
      <c r="O27" s="37">
        <f t="shared" si="4"/>
        <v>0</v>
      </c>
      <c r="P27" s="38">
        <f t="shared" si="5"/>
        <v>0</v>
      </c>
      <c r="Q27" s="39">
        <f t="shared" si="1"/>
        <v>0</v>
      </c>
      <c r="R27" s="40">
        <v>0</v>
      </c>
      <c r="U27" s="41"/>
      <c r="V27" s="42"/>
      <c r="W27" s="43"/>
      <c r="X27" s="43"/>
      <c r="Y27" s="43"/>
      <c r="Z27" s="43"/>
      <c r="AA27" s="43"/>
      <c r="AB27" s="43"/>
      <c r="AC27" s="43"/>
      <c r="AD27" s="43"/>
      <c r="AE27" s="43"/>
      <c r="AF27" s="44"/>
      <c r="AG27" s="43"/>
      <c r="AH27" s="45"/>
    </row>
    <row r="28" spans="1:34" x14ac:dyDescent="0.25">
      <c r="A28" s="13">
        <f t="shared" si="8"/>
        <v>20</v>
      </c>
      <c r="B28" s="72" t="s">
        <v>46</v>
      </c>
      <c r="C28" s="47">
        <v>783</v>
      </c>
      <c r="D28" s="48">
        <v>67126144392</v>
      </c>
      <c r="E28" s="49">
        <v>18</v>
      </c>
      <c r="F28" s="49">
        <v>929596650</v>
      </c>
      <c r="G28" s="49">
        <v>0</v>
      </c>
      <c r="H28" s="49">
        <v>0</v>
      </c>
      <c r="I28" s="49">
        <v>0</v>
      </c>
      <c r="J28" s="49">
        <v>0</v>
      </c>
      <c r="K28" s="49">
        <v>1</v>
      </c>
      <c r="L28" s="49">
        <v>9309524</v>
      </c>
      <c r="M28" s="35">
        <f t="shared" si="3"/>
        <v>802</v>
      </c>
      <c r="N28" s="57">
        <f t="shared" si="0"/>
        <v>68065050566</v>
      </c>
      <c r="O28" s="37">
        <f t="shared" si="4"/>
        <v>0.35511423923151958</v>
      </c>
      <c r="P28" s="38">
        <f t="shared" si="5"/>
        <v>1.3677392321883197E-2</v>
      </c>
      <c r="Q28" s="39">
        <f t="shared" si="1"/>
        <v>9309524</v>
      </c>
      <c r="R28" s="40">
        <f>8835150+1690090</f>
        <v>10525240</v>
      </c>
      <c r="U28" s="51">
        <v>4</v>
      </c>
      <c r="V28" s="52" t="s">
        <v>48</v>
      </c>
      <c r="W28" s="53"/>
      <c r="X28" s="58"/>
      <c r="Y28" s="53"/>
      <c r="Z28" s="58"/>
      <c r="AA28" s="53"/>
      <c r="AB28" s="58"/>
      <c r="AC28" s="53"/>
      <c r="AD28" s="58"/>
      <c r="AE28" s="53"/>
      <c r="AF28" s="58"/>
      <c r="AG28" s="53"/>
      <c r="AH28" s="54"/>
    </row>
    <row r="29" spans="1:34" x14ac:dyDescent="0.25">
      <c r="A29" s="13">
        <f t="shared" si="8"/>
        <v>21</v>
      </c>
      <c r="B29" s="55" t="s">
        <v>47</v>
      </c>
      <c r="C29" s="47">
        <v>11</v>
      </c>
      <c r="D29" s="48">
        <v>1528676919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35">
        <f t="shared" ref="M29:M33" si="10">+C29+E29+G29+I29+K29</f>
        <v>11</v>
      </c>
      <c r="N29" s="57">
        <f t="shared" ref="N29:N33" si="11">+D29+F29+H29+J29+L29</f>
        <v>1528676919</v>
      </c>
      <c r="O29" s="37">
        <f t="shared" si="4"/>
        <v>0</v>
      </c>
      <c r="P29" s="38">
        <f t="shared" si="5"/>
        <v>0</v>
      </c>
      <c r="Q29" s="39">
        <f t="shared" si="1"/>
        <v>0</v>
      </c>
      <c r="R29" s="40">
        <v>0</v>
      </c>
      <c r="U29" s="51"/>
      <c r="V29" s="52" t="s">
        <v>50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f>+W29+Y29+AA29+AC29+AE29</f>
        <v>0</v>
      </c>
      <c r="AH29" s="54">
        <f>+X29+Z29+AB29+AD29+AF29</f>
        <v>0</v>
      </c>
    </row>
    <row r="30" spans="1:34" x14ac:dyDescent="0.25">
      <c r="A30" s="13">
        <f t="shared" si="8"/>
        <v>22</v>
      </c>
      <c r="B30" s="46" t="s">
        <v>49</v>
      </c>
      <c r="C30" s="47">
        <v>20</v>
      </c>
      <c r="D30" s="48">
        <v>3267682844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4</v>
      </c>
      <c r="L30" s="49">
        <v>673283076</v>
      </c>
      <c r="M30" s="35">
        <f t="shared" si="10"/>
        <v>24</v>
      </c>
      <c r="N30" s="57">
        <f t="shared" si="11"/>
        <v>3940965920</v>
      </c>
      <c r="O30" s="37">
        <f t="shared" si="4"/>
        <v>17.084214623200804</v>
      </c>
      <c r="P30" s="38">
        <f t="shared" si="5"/>
        <v>17.084214623200804</v>
      </c>
      <c r="Q30" s="39">
        <f t="shared" si="1"/>
        <v>673283076</v>
      </c>
      <c r="R30" s="40">
        <f>127916965</f>
        <v>127916965</v>
      </c>
      <c r="U30" s="51"/>
      <c r="V30" s="52" t="s">
        <v>52</v>
      </c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f>+W30+Y30+AA30+AC30+AE30</f>
        <v>0</v>
      </c>
      <c r="AH30" s="54">
        <f>+X30+Z30+AB30+AD30+AF30</f>
        <v>0</v>
      </c>
    </row>
    <row r="31" spans="1:34" x14ac:dyDescent="0.25">
      <c r="A31" s="13">
        <f t="shared" si="8"/>
        <v>23</v>
      </c>
      <c r="B31" s="46" t="s">
        <v>51</v>
      </c>
      <c r="C31" s="47">
        <v>0</v>
      </c>
      <c r="D31" s="48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1</v>
      </c>
      <c r="L31" s="49">
        <v>6634391</v>
      </c>
      <c r="M31" s="35">
        <f t="shared" si="10"/>
        <v>1</v>
      </c>
      <c r="N31" s="57">
        <f t="shared" si="11"/>
        <v>6634391</v>
      </c>
      <c r="O31" s="37">
        <f t="shared" si="4"/>
        <v>100</v>
      </c>
      <c r="P31" s="38">
        <f t="shared" si="5"/>
        <v>100</v>
      </c>
      <c r="Q31" s="39">
        <f t="shared" si="1"/>
        <v>6634391</v>
      </c>
      <c r="R31" s="40">
        <f>1804829</f>
        <v>1804829</v>
      </c>
      <c r="U31" s="51"/>
      <c r="V31" s="52"/>
      <c r="W31" s="53"/>
      <c r="X31" s="58"/>
      <c r="Y31" s="53"/>
      <c r="Z31" s="53"/>
      <c r="AA31" s="53"/>
      <c r="AB31" s="53"/>
      <c r="AC31" s="53"/>
      <c r="AD31" s="53"/>
      <c r="AE31" s="53"/>
      <c r="AF31" s="53"/>
      <c r="AG31" s="53"/>
      <c r="AH31" s="54"/>
    </row>
    <row r="32" spans="1:34" x14ac:dyDescent="0.25">
      <c r="A32" s="13">
        <f t="shared" si="8"/>
        <v>24</v>
      </c>
      <c r="B32" s="46" t="s">
        <v>53</v>
      </c>
      <c r="C32" s="47">
        <v>15</v>
      </c>
      <c r="D32" s="48">
        <v>129176089</v>
      </c>
      <c r="E32" s="49">
        <v>2</v>
      </c>
      <c r="F32" s="49">
        <v>16495310</v>
      </c>
      <c r="G32" s="49">
        <v>0</v>
      </c>
      <c r="H32" s="49">
        <v>0</v>
      </c>
      <c r="I32" s="49">
        <v>0</v>
      </c>
      <c r="J32" s="49">
        <v>0</v>
      </c>
      <c r="K32" s="49">
        <v>5</v>
      </c>
      <c r="L32" s="49">
        <v>28571144</v>
      </c>
      <c r="M32" s="35">
        <f t="shared" si="10"/>
        <v>22</v>
      </c>
      <c r="N32" s="57">
        <f t="shared" si="11"/>
        <v>174242543</v>
      </c>
      <c r="O32" s="37">
        <f t="shared" si="4"/>
        <v>18.76405781107086</v>
      </c>
      <c r="P32" s="38">
        <f t="shared" si="5"/>
        <v>16.397341032838348</v>
      </c>
      <c r="Q32" s="39">
        <f t="shared" si="1"/>
        <v>28571144</v>
      </c>
      <c r="R32" s="40">
        <f>173400+1178760</f>
        <v>1352160</v>
      </c>
      <c r="U32" s="51">
        <v>5</v>
      </c>
      <c r="V32" s="52" t="s">
        <v>54</v>
      </c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4">
        <v>0</v>
      </c>
    </row>
    <row r="33" spans="1:35" ht="15.75" thickBot="1" x14ac:dyDescent="0.3">
      <c r="A33" s="13">
        <v>25</v>
      </c>
      <c r="B33" s="46" t="s">
        <v>116</v>
      </c>
      <c r="C33" s="47">
        <v>2</v>
      </c>
      <c r="D33" s="48">
        <v>560848470</v>
      </c>
      <c r="E33" s="49">
        <v>1</v>
      </c>
      <c r="F33" s="49">
        <v>44462670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35">
        <f t="shared" si="10"/>
        <v>3</v>
      </c>
      <c r="N33" s="57">
        <f t="shared" si="11"/>
        <v>605311140</v>
      </c>
      <c r="O33" s="37">
        <f t="shared" si="4"/>
        <v>1.8363560102330183</v>
      </c>
      <c r="P33" s="38">
        <f t="shared" si="5"/>
        <v>0</v>
      </c>
      <c r="Q33" s="39">
        <f t="shared" si="1"/>
        <v>0</v>
      </c>
      <c r="R33" s="40">
        <v>0</v>
      </c>
      <c r="U33" s="51"/>
      <c r="V33" s="52"/>
      <c r="W33" s="53"/>
      <c r="X33" s="58"/>
      <c r="Y33" s="53"/>
      <c r="Z33" s="53"/>
      <c r="AA33" s="53"/>
      <c r="AB33" s="53"/>
      <c r="AC33" s="53"/>
      <c r="AD33" s="53"/>
      <c r="AE33" s="53"/>
      <c r="AF33" s="53"/>
      <c r="AG33" s="53"/>
      <c r="AH33" s="54"/>
    </row>
    <row r="34" spans="1:35" ht="15.75" thickBot="1" x14ac:dyDescent="0.3">
      <c r="A34" s="73"/>
      <c r="B34" s="74" t="s">
        <v>17</v>
      </c>
      <c r="C34" s="75">
        <f t="shared" ref="C34:M34" si="12">SUM(C9:C33)</f>
        <v>1834</v>
      </c>
      <c r="D34" s="75">
        <f t="shared" si="12"/>
        <v>203348160927</v>
      </c>
      <c r="E34" s="75">
        <f t="shared" si="12"/>
        <v>46</v>
      </c>
      <c r="F34" s="75">
        <f>SUM(F9:F33)</f>
        <v>3774119460</v>
      </c>
      <c r="G34" s="75">
        <f t="shared" si="12"/>
        <v>0</v>
      </c>
      <c r="H34" s="75">
        <f t="shared" si="12"/>
        <v>0</v>
      </c>
      <c r="I34" s="75">
        <f t="shared" si="12"/>
        <v>1</v>
      </c>
      <c r="J34" s="75">
        <f t="shared" si="12"/>
        <v>17002030</v>
      </c>
      <c r="K34" s="75">
        <f t="shared" si="12"/>
        <v>30</v>
      </c>
      <c r="L34" s="75">
        <f t="shared" si="12"/>
        <v>5625249941</v>
      </c>
      <c r="M34" s="76">
        <f t="shared" si="12"/>
        <v>1911</v>
      </c>
      <c r="N34" s="77">
        <f>SUM(N10:N33)</f>
        <v>212764532358</v>
      </c>
      <c r="O34" s="213">
        <f t="shared" si="4"/>
        <v>3.0933404433337794</v>
      </c>
      <c r="P34" s="214">
        <f t="shared" si="5"/>
        <v>2.6518761884176651</v>
      </c>
      <c r="Q34" s="78">
        <f>SUM(Q9:Q33)</f>
        <v>5642251971</v>
      </c>
      <c r="R34" s="79">
        <f>SUM(R9:R32)</f>
        <v>495378916</v>
      </c>
      <c r="U34" s="51"/>
      <c r="V34" s="52"/>
      <c r="W34" s="53"/>
      <c r="X34" s="58"/>
      <c r="Y34" s="53"/>
      <c r="Z34" s="53"/>
      <c r="AA34" s="53"/>
      <c r="AB34" s="53"/>
      <c r="AC34" s="53"/>
      <c r="AD34" s="53"/>
      <c r="AE34" s="53"/>
      <c r="AF34" s="53"/>
      <c r="AG34" s="53"/>
      <c r="AH34" s="54"/>
    </row>
    <row r="35" spans="1:35" x14ac:dyDescent="0.25">
      <c r="A35" s="26"/>
      <c r="B35" s="26"/>
      <c r="C35" s="80"/>
      <c r="D35" s="81"/>
      <c r="E35" s="81"/>
      <c r="F35" s="80"/>
      <c r="G35" s="80"/>
      <c r="H35" s="81"/>
      <c r="I35" s="81"/>
      <c r="J35" s="81"/>
      <c r="K35" s="81"/>
      <c r="L35" s="81"/>
      <c r="M35" s="81"/>
      <c r="N35" s="82"/>
      <c r="O35" s="26"/>
      <c r="P35" s="26"/>
      <c r="Q35" s="26"/>
      <c r="R35" s="2"/>
      <c r="U35" s="51">
        <v>6</v>
      </c>
      <c r="V35" s="52" t="s">
        <v>55</v>
      </c>
      <c r="W35" s="83">
        <v>0</v>
      </c>
      <c r="X35" s="53">
        <v>0</v>
      </c>
      <c r="Y35" s="53">
        <v>0</v>
      </c>
      <c r="Z35" s="53">
        <v>125786235</v>
      </c>
      <c r="AA35" s="53">
        <v>0</v>
      </c>
      <c r="AB35" s="53">
        <v>281512</v>
      </c>
      <c r="AC35" s="53">
        <v>300</v>
      </c>
      <c r="AD35" s="53">
        <v>0</v>
      </c>
      <c r="AE35" s="53">
        <v>0</v>
      </c>
      <c r="AF35" s="53">
        <v>0</v>
      </c>
      <c r="AG35" s="53">
        <v>0</v>
      </c>
      <c r="AH35" s="54">
        <v>0</v>
      </c>
    </row>
    <row r="36" spans="1:35" x14ac:dyDescent="0.25">
      <c r="A36" s="26"/>
      <c r="B36" s="26"/>
      <c r="C36" s="81"/>
      <c r="D36" s="81"/>
      <c r="E36" s="26"/>
      <c r="F36" s="82"/>
      <c r="G36" s="26"/>
      <c r="H36" s="26"/>
      <c r="I36" s="26"/>
      <c r="J36" s="26"/>
      <c r="K36" s="26"/>
      <c r="L36" s="81"/>
      <c r="M36" s="1"/>
      <c r="N36" s="81"/>
      <c r="O36" s="1"/>
      <c r="P36" s="26"/>
      <c r="Q36" s="215" t="s">
        <v>120</v>
      </c>
      <c r="R36" s="216" t="s">
        <v>19</v>
      </c>
      <c r="U36" s="63"/>
      <c r="V36" s="64"/>
      <c r="W36" s="65"/>
      <c r="X36" s="66"/>
      <c r="Y36" s="65"/>
      <c r="Z36" s="66"/>
      <c r="AA36" s="65"/>
      <c r="AB36" s="66"/>
      <c r="AC36" s="65"/>
      <c r="AD36" s="66"/>
      <c r="AE36" s="65"/>
      <c r="AF36" s="66"/>
      <c r="AG36" s="65"/>
      <c r="AH36" s="67">
        <v>126067747</v>
      </c>
    </row>
    <row r="37" spans="1:35" x14ac:dyDescent="0.25">
      <c r="A37" s="84" t="s">
        <v>10</v>
      </c>
      <c r="B37" s="85" t="s">
        <v>8</v>
      </c>
      <c r="C37" s="86" t="s">
        <v>11</v>
      </c>
      <c r="D37" s="86"/>
      <c r="E37" s="87" t="s">
        <v>12</v>
      </c>
      <c r="F37" s="87"/>
      <c r="G37" s="88" t="s">
        <v>13</v>
      </c>
      <c r="H37" s="89"/>
      <c r="I37" s="90" t="s">
        <v>14</v>
      </c>
      <c r="J37" s="90"/>
      <c r="K37" s="91" t="s">
        <v>15</v>
      </c>
      <c r="L37" s="92"/>
      <c r="M37" s="246" t="s">
        <v>17</v>
      </c>
      <c r="N37" s="247"/>
      <c r="O37" s="1"/>
      <c r="P37" s="218" t="s">
        <v>118</v>
      </c>
      <c r="Q37" s="217">
        <f>M10+M11+M13+M14+M15+M16+M18+M20+M30+M31+M32</f>
        <v>441</v>
      </c>
      <c r="R37" s="217">
        <f>N10+N11+N13+N14+N15+N16+N18+N20+N30+N31+N32</f>
        <v>71932701385</v>
      </c>
      <c r="U37" s="68"/>
      <c r="V37" s="69" t="s">
        <v>56</v>
      </c>
      <c r="W37" s="70">
        <f>+W9+W26+W29+W30+W32+W35</f>
        <v>1734</v>
      </c>
      <c r="X37" s="70">
        <f>X35+X26</f>
        <v>173251072438</v>
      </c>
      <c r="Y37" s="70">
        <f t="shared" ref="Y37:AG37" si="13">+Y9+Y26+Y29+Y30+Y32+Y35</f>
        <v>59</v>
      </c>
      <c r="Z37" s="70">
        <f t="shared" si="13"/>
        <v>6734012223</v>
      </c>
      <c r="AA37" s="70">
        <f t="shared" si="13"/>
        <v>3</v>
      </c>
      <c r="AB37" s="70">
        <f t="shared" si="13"/>
        <v>286062182</v>
      </c>
      <c r="AC37" s="70">
        <f t="shared" si="13"/>
        <v>310</v>
      </c>
      <c r="AD37" s="70">
        <f t="shared" si="13"/>
        <v>747874374</v>
      </c>
      <c r="AE37" s="70">
        <f t="shared" si="13"/>
        <v>15</v>
      </c>
      <c r="AF37" s="70">
        <f t="shared" si="13"/>
        <v>2888884809</v>
      </c>
      <c r="AG37" s="70">
        <f t="shared" si="13"/>
        <v>1821</v>
      </c>
      <c r="AH37" s="71">
        <f>+AH9+AH26+AH29+AH30+AH32+AH35+AH36</f>
        <v>183907906026</v>
      </c>
    </row>
    <row r="38" spans="1:35" x14ac:dyDescent="0.25">
      <c r="A38" s="93"/>
      <c r="B38" s="25"/>
      <c r="C38" s="93"/>
      <c r="D38" s="94"/>
      <c r="E38" s="93"/>
      <c r="F38" s="94"/>
      <c r="G38" s="26"/>
      <c r="H38" s="26"/>
      <c r="I38" s="93"/>
      <c r="J38" s="94"/>
      <c r="K38" s="26"/>
      <c r="L38" s="26"/>
      <c r="M38" s="93"/>
      <c r="N38" s="95"/>
      <c r="O38" s="26"/>
      <c r="P38" s="218" t="s">
        <v>119</v>
      </c>
      <c r="Q38" s="217">
        <f>+M22+M23+M24+M25+M26+M27+M28+M29+M33+M17</f>
        <v>1470</v>
      </c>
      <c r="R38" s="217">
        <f>N17+N22+N23+N24+N25+N26+N27+N28+N29+N33</f>
        <v>140831830973</v>
      </c>
      <c r="U38" s="41"/>
      <c r="V38" s="42"/>
      <c r="W38" s="96"/>
      <c r="X38" s="97"/>
      <c r="Y38" s="44"/>
      <c r="Z38" s="44"/>
      <c r="AA38" s="44"/>
      <c r="AB38" s="44"/>
      <c r="AC38" s="44"/>
      <c r="AD38" s="44"/>
      <c r="AE38" s="44"/>
      <c r="AF38" s="44"/>
      <c r="AG38" s="44"/>
      <c r="AH38" s="45"/>
    </row>
    <row r="39" spans="1:35" x14ac:dyDescent="0.25">
      <c r="A39" s="93"/>
      <c r="B39" s="25" t="s">
        <v>57</v>
      </c>
      <c r="C39" s="93" t="s">
        <v>58</v>
      </c>
      <c r="D39" s="95">
        <f>+D34</f>
        <v>203348160927</v>
      </c>
      <c r="E39" s="93" t="s">
        <v>58</v>
      </c>
      <c r="F39" s="95">
        <f>+F34</f>
        <v>3774119460</v>
      </c>
      <c r="G39" s="26" t="s">
        <v>58</v>
      </c>
      <c r="H39" s="81">
        <f>+H34</f>
        <v>0</v>
      </c>
      <c r="I39" s="93" t="s">
        <v>58</v>
      </c>
      <c r="J39" s="95">
        <f>+J34</f>
        <v>17002030</v>
      </c>
      <c r="K39" s="26" t="s">
        <v>58</v>
      </c>
      <c r="L39" s="81">
        <f>+L34</f>
        <v>5625249941</v>
      </c>
      <c r="M39" s="93" t="s">
        <v>58</v>
      </c>
      <c r="N39" s="95">
        <f>+N34</f>
        <v>212764532358</v>
      </c>
      <c r="O39" s="1"/>
      <c r="P39" s="1"/>
      <c r="Q39" s="2">
        <f>SUM(Q37:Q38)</f>
        <v>1911</v>
      </c>
      <c r="R39" s="2">
        <f>SUM(R37:R38)</f>
        <v>212764532358</v>
      </c>
      <c r="U39" s="51"/>
      <c r="V39" s="52" t="s">
        <v>60</v>
      </c>
      <c r="W39" s="99"/>
      <c r="X39" s="53">
        <v>0</v>
      </c>
      <c r="Y39" s="58"/>
      <c r="Z39" s="58">
        <v>0</v>
      </c>
      <c r="AA39" s="53"/>
      <c r="AB39" s="58">
        <v>0</v>
      </c>
      <c r="AC39" s="53"/>
      <c r="AD39" s="58">
        <v>0</v>
      </c>
      <c r="AE39" s="53"/>
      <c r="AF39" s="58">
        <v>0</v>
      </c>
      <c r="AG39" s="53"/>
      <c r="AH39" s="54">
        <f>+AF39+AD39+AB39+Z39+X39</f>
        <v>0</v>
      </c>
    </row>
    <row r="40" spans="1:35" x14ac:dyDescent="0.25">
      <c r="A40" s="93"/>
      <c r="B40" s="25" t="s">
        <v>59</v>
      </c>
      <c r="C40" s="93" t="s">
        <v>58</v>
      </c>
      <c r="D40" s="95">
        <v>0</v>
      </c>
      <c r="E40" s="93" t="s">
        <v>58</v>
      </c>
      <c r="F40" s="95">
        <v>0</v>
      </c>
      <c r="G40" s="26" t="s">
        <v>58</v>
      </c>
      <c r="H40" s="81">
        <v>0</v>
      </c>
      <c r="I40" s="93" t="s">
        <v>58</v>
      </c>
      <c r="J40" s="95">
        <v>0</v>
      </c>
      <c r="K40" s="26" t="s">
        <v>58</v>
      </c>
      <c r="L40" s="26">
        <v>0</v>
      </c>
      <c r="M40" s="93" t="s">
        <v>58</v>
      </c>
      <c r="N40" s="95">
        <v>0</v>
      </c>
      <c r="O40" s="1"/>
      <c r="P40" s="1"/>
      <c r="Q40" s="98"/>
      <c r="R40" s="1"/>
      <c r="U40" s="51"/>
      <c r="V40" s="52" t="s">
        <v>61</v>
      </c>
      <c r="W40" s="99"/>
      <c r="X40" s="53">
        <f>+X37</f>
        <v>173251072438</v>
      </c>
      <c r="Y40" s="58"/>
      <c r="Z40" s="58">
        <f>+Z37</f>
        <v>6734012223</v>
      </c>
      <c r="AA40" s="53"/>
      <c r="AB40" s="58">
        <f>+AB37-AB39</f>
        <v>286062182</v>
      </c>
      <c r="AC40" s="53"/>
      <c r="AD40" s="58">
        <f>+AD37-AD39</f>
        <v>747874374</v>
      </c>
      <c r="AE40" s="58" t="s">
        <v>2</v>
      </c>
      <c r="AF40" s="58">
        <f>+AF37-AF39</f>
        <v>2888884809</v>
      </c>
      <c r="AG40" s="53"/>
      <c r="AH40" s="54">
        <f>+AH37-AH39</f>
        <v>183907906026</v>
      </c>
    </row>
    <row r="41" spans="1:35" x14ac:dyDescent="0.25">
      <c r="A41" s="100"/>
      <c r="B41" s="101" t="s">
        <v>4</v>
      </c>
      <c r="C41" s="100" t="s">
        <v>58</v>
      </c>
      <c r="D41" s="102">
        <f>+D39+D40</f>
        <v>203348160927</v>
      </c>
      <c r="E41" s="100" t="s">
        <v>58</v>
      </c>
      <c r="F41" s="102">
        <f>+F39+F40</f>
        <v>3774119460</v>
      </c>
      <c r="G41" s="103" t="s">
        <v>58</v>
      </c>
      <c r="H41" s="104">
        <f>+H39+H40</f>
        <v>0</v>
      </c>
      <c r="I41" s="100" t="s">
        <v>58</v>
      </c>
      <c r="J41" s="102">
        <f>+J39+J40</f>
        <v>17002030</v>
      </c>
      <c r="K41" s="103" t="s">
        <v>58</v>
      </c>
      <c r="L41" s="104">
        <f>+L39+L40</f>
        <v>5625249941</v>
      </c>
      <c r="M41" s="100" t="s">
        <v>58</v>
      </c>
      <c r="N41" s="105">
        <f>+N39+N40</f>
        <v>212764532358</v>
      </c>
      <c r="O41" s="1"/>
      <c r="P41" s="1"/>
      <c r="Q41" s="1"/>
      <c r="R41" s="1"/>
      <c r="U41" s="51"/>
      <c r="V41" s="52" t="s">
        <v>62</v>
      </c>
      <c r="W41" s="99"/>
      <c r="X41" s="53">
        <f>+X40*1%</f>
        <v>1732510724.3800001</v>
      </c>
      <c r="Y41" s="58"/>
      <c r="Z41" s="53">
        <f>+Z40*5%+2444221482+19523164</f>
        <v>2800445257.1500001</v>
      </c>
      <c r="AA41" s="53"/>
      <c r="AB41" s="53">
        <f>+AB40*15%</f>
        <v>42909327.299999997</v>
      </c>
      <c r="AC41" s="53"/>
      <c r="AD41" s="53">
        <f>+AD40*50%</f>
        <v>373937187</v>
      </c>
      <c r="AE41" s="53"/>
      <c r="AF41" s="53">
        <f>+AF40*100%</f>
        <v>2888884809</v>
      </c>
      <c r="AG41" s="53"/>
      <c r="AH41" s="54">
        <f>+X41+Z41+AB41+AD41+AF41</f>
        <v>7838687304.8300009</v>
      </c>
    </row>
    <row r="42" spans="1:35" x14ac:dyDescent="0.25">
      <c r="A42" s="93"/>
      <c r="B42" s="25"/>
      <c r="C42" s="93" t="s">
        <v>2</v>
      </c>
      <c r="D42" s="94"/>
      <c r="E42" s="93" t="s">
        <v>2</v>
      </c>
      <c r="F42" s="94"/>
      <c r="G42" s="26" t="s">
        <v>2</v>
      </c>
      <c r="H42" s="26"/>
      <c r="I42" s="93" t="s">
        <v>2</v>
      </c>
      <c r="J42" s="94"/>
      <c r="K42" s="26" t="s">
        <v>2</v>
      </c>
      <c r="L42" s="26"/>
      <c r="M42" s="93" t="s">
        <v>2</v>
      </c>
      <c r="N42" s="94"/>
      <c r="O42" s="1"/>
      <c r="P42" s="1"/>
      <c r="Q42" s="1"/>
      <c r="R42" s="1"/>
      <c r="U42" s="51"/>
      <c r="V42" s="52" t="s">
        <v>64</v>
      </c>
      <c r="W42" s="99"/>
      <c r="X42" s="107">
        <f>+X41/AH41*100</f>
        <v>22.10205174675702</v>
      </c>
      <c r="Y42" s="108"/>
      <c r="Z42" s="108">
        <f>+Z41/AH41*100</f>
        <v>35.725946810308869</v>
      </c>
      <c r="AA42" s="107"/>
      <c r="AB42" s="108">
        <f>+AB41/AH41*100</f>
        <v>0.54740450322033318</v>
      </c>
      <c r="AC42" s="107"/>
      <c r="AD42" s="108">
        <f>+AD41/AH41*100</f>
        <v>4.7704057128237451</v>
      </c>
      <c r="AE42" s="107"/>
      <c r="AF42" s="108">
        <f>+AF41/AH41*100</f>
        <v>36.854191226890023</v>
      </c>
      <c r="AG42" s="107"/>
      <c r="AH42" s="109">
        <f>+X42+Z42+AD42+AF42+AB42</f>
        <v>99.999999999999986</v>
      </c>
    </row>
    <row r="43" spans="1:35" x14ac:dyDescent="0.25">
      <c r="A43" s="93">
        <v>1</v>
      </c>
      <c r="B43" s="25" t="s">
        <v>63</v>
      </c>
      <c r="C43" s="93" t="s">
        <v>58</v>
      </c>
      <c r="D43" s="95">
        <v>0</v>
      </c>
      <c r="E43" s="93" t="s">
        <v>58</v>
      </c>
      <c r="F43" s="95">
        <v>0</v>
      </c>
      <c r="G43" s="26" t="s">
        <v>58</v>
      </c>
      <c r="H43" s="81">
        <v>0</v>
      </c>
      <c r="I43" s="93" t="s">
        <v>58</v>
      </c>
      <c r="J43" s="95">
        <v>0</v>
      </c>
      <c r="K43" s="26" t="s">
        <v>58</v>
      </c>
      <c r="L43" s="81">
        <v>0</v>
      </c>
      <c r="M43" s="93" t="s">
        <v>58</v>
      </c>
      <c r="N43" s="106">
        <f>+D43+F43+H43+J43+L43</f>
        <v>0</v>
      </c>
      <c r="O43" s="1"/>
      <c r="P43" s="1"/>
      <c r="Q43" s="1"/>
      <c r="R43" s="1"/>
      <c r="U43" s="63"/>
      <c r="V43" s="64" t="s">
        <v>66</v>
      </c>
      <c r="W43" s="110"/>
      <c r="X43" s="65">
        <f>+AH43*X42/100</f>
        <v>0</v>
      </c>
      <c r="Y43" s="66"/>
      <c r="Z43" s="66">
        <f>+Z42*AH43/100</f>
        <v>0</v>
      </c>
      <c r="AA43" s="65"/>
      <c r="AB43" s="66">
        <f>+AB42*AH43/100</f>
        <v>0</v>
      </c>
      <c r="AC43" s="65"/>
      <c r="AD43" s="66">
        <f>+AD42*AH43/100</f>
        <v>0</v>
      </c>
      <c r="AE43" s="65"/>
      <c r="AF43" s="66">
        <f>+AF42*AH43/100</f>
        <v>0</v>
      </c>
      <c r="AG43" s="65"/>
      <c r="AH43" s="67">
        <f>+'KOLEK-KAP'!X62</f>
        <v>0</v>
      </c>
      <c r="AI43" s="111"/>
    </row>
    <row r="44" spans="1:35" x14ac:dyDescent="0.25">
      <c r="A44" s="93">
        <v>2</v>
      </c>
      <c r="B44" s="25" t="s">
        <v>65</v>
      </c>
      <c r="C44" s="93" t="s">
        <v>58</v>
      </c>
      <c r="D44" s="95">
        <f>+D41-D43</f>
        <v>203348160927</v>
      </c>
      <c r="E44" s="93" t="s">
        <v>58</v>
      </c>
      <c r="F44" s="95">
        <f>+F41-F43</f>
        <v>3774119460</v>
      </c>
      <c r="G44" s="26" t="s">
        <v>58</v>
      </c>
      <c r="H44" s="81">
        <f>+H41-H43</f>
        <v>0</v>
      </c>
      <c r="I44" s="93" t="s">
        <v>58</v>
      </c>
      <c r="J44" s="95">
        <f>+J41-J43</f>
        <v>17002030</v>
      </c>
      <c r="K44" s="26" t="s">
        <v>58</v>
      </c>
      <c r="L44" s="81">
        <f>+L41-L43</f>
        <v>5625249941</v>
      </c>
      <c r="M44" s="93" t="s">
        <v>58</v>
      </c>
      <c r="N44" s="106">
        <f>+D44+F44+H44+J44+L44</f>
        <v>212764532358</v>
      </c>
      <c r="O44" s="1"/>
      <c r="P44" s="1"/>
      <c r="Q44" s="1"/>
      <c r="R44" s="1"/>
      <c r="U44" s="114"/>
      <c r="V44" s="115" t="s">
        <v>68</v>
      </c>
      <c r="W44" s="116"/>
      <c r="X44" s="117">
        <f>+X43-X41</f>
        <v>-1732510724.3800001</v>
      </c>
      <c r="Y44" s="118"/>
      <c r="Z44" s="117">
        <f>+Z43-Z41</f>
        <v>-2800445257.1500001</v>
      </c>
      <c r="AA44" s="117">
        <f>+AA41-AA43</f>
        <v>0</v>
      </c>
      <c r="AB44" s="117">
        <f>+AB43-AB41</f>
        <v>-42909327.299999997</v>
      </c>
      <c r="AC44" s="117"/>
      <c r="AD44" s="117">
        <f>+AD43-AD41</f>
        <v>-373937187</v>
      </c>
      <c r="AE44" s="117"/>
      <c r="AF44" s="117">
        <f>+AF43-AF41</f>
        <v>-2888884809</v>
      </c>
      <c r="AG44" s="117"/>
      <c r="AH44" s="119">
        <f>+AH43-AH41</f>
        <v>-7838687304.8300009</v>
      </c>
    </row>
    <row r="45" spans="1:35" x14ac:dyDescent="0.25">
      <c r="A45" s="93">
        <v>3</v>
      </c>
      <c r="B45" s="112" t="s">
        <v>67</v>
      </c>
      <c r="C45" s="93" t="s">
        <v>58</v>
      </c>
      <c r="D45" s="106">
        <f>(D12*2.604088)/100+(D13*0.2406791)/100+(D14*0.000296)/100+(D15*0.000296)/100+(D16*0.000296)/100+(D18*3.2447474)/100+(D19*0.3425081)/100+(D21*0.0711374)/100+(D23*0.000296)/100+(D27*0.0066008)/100+(D28*0.000296)/100+(D29*0.000296)/100+(D30*0.000296)/100</f>
        <v>1151886664.8647168</v>
      </c>
      <c r="E45" s="93" t="s">
        <v>58</v>
      </c>
      <c r="F45" s="106">
        <f>(F12*5.870075)/100+(F14*0.0090615)/100+(F16*0.0090615)/100+(F19*4.7976689)/100+(F27*0.2295478)/100</f>
        <v>45307.5</v>
      </c>
      <c r="G45" s="82" t="s">
        <v>58</v>
      </c>
      <c r="H45" s="82">
        <f>(H14*0.0588796)+(H16*0.0588796)+(H27*0.4384455)/100</f>
        <v>0</v>
      </c>
      <c r="I45" s="93" t="s">
        <v>58</v>
      </c>
      <c r="J45" s="106">
        <f>(J27*1.2059743)/100</f>
        <v>0</v>
      </c>
      <c r="K45" s="82" t="s">
        <v>58</v>
      </c>
      <c r="L45" s="82">
        <f>+L44*100%</f>
        <v>5625249941</v>
      </c>
      <c r="M45" s="93" t="s">
        <v>58</v>
      </c>
      <c r="N45" s="106">
        <f>+D45+F45+H45+J45+L45</f>
        <v>6777181913.3647165</v>
      </c>
      <c r="O45" s="1"/>
      <c r="P45" s="1"/>
      <c r="Q45" s="113"/>
      <c r="R45" s="1"/>
      <c r="U45" s="123"/>
      <c r="V45" s="42" t="s">
        <v>70</v>
      </c>
      <c r="W45" s="96"/>
      <c r="X45" s="43" t="s">
        <v>2</v>
      </c>
      <c r="Y45" s="43"/>
      <c r="Z45" s="44"/>
      <c r="AA45" s="43"/>
      <c r="AB45" s="96"/>
      <c r="AC45" s="43"/>
      <c r="AD45" s="44"/>
      <c r="AE45" s="43"/>
      <c r="AF45" s="96"/>
      <c r="AG45" s="43"/>
      <c r="AH45" s="124" t="s">
        <v>2</v>
      </c>
    </row>
    <row r="46" spans="1:35" ht="15.75" thickBot="1" x14ac:dyDescent="0.3">
      <c r="A46" s="93">
        <v>4</v>
      </c>
      <c r="B46" s="25" t="s">
        <v>69</v>
      </c>
      <c r="C46" s="93" t="s">
        <v>20</v>
      </c>
      <c r="D46" s="120">
        <f>+D45/N45*100</f>
        <v>16.99654339502348</v>
      </c>
      <c r="E46" s="121" t="s">
        <v>20</v>
      </c>
      <c r="F46" s="120">
        <f>+F45/N45*100</f>
        <v>6.6853008491114644E-4</v>
      </c>
      <c r="G46" s="82" t="s">
        <v>20</v>
      </c>
      <c r="H46" s="122">
        <f>+H45/N45*100</f>
        <v>0</v>
      </c>
      <c r="I46" s="121" t="s">
        <v>20</v>
      </c>
      <c r="J46" s="120">
        <f>+J45/N45*100</f>
        <v>0</v>
      </c>
      <c r="K46" s="82" t="s">
        <v>20</v>
      </c>
      <c r="L46" s="122">
        <f>+L45/N45*100</f>
        <v>83.002788074891612</v>
      </c>
      <c r="M46" s="121" t="s">
        <v>20</v>
      </c>
      <c r="N46" s="120">
        <f>+D46+F46+H46+J46+L46</f>
        <v>100</v>
      </c>
      <c r="O46" s="1"/>
      <c r="P46" s="1"/>
      <c r="Q46" s="113"/>
      <c r="R46" s="1"/>
      <c r="U46" s="125"/>
      <c r="V46" s="126" t="s">
        <v>72</v>
      </c>
      <c r="W46" s="127"/>
      <c r="X46" s="128">
        <f>+X41</f>
        <v>1732510724.3800001</v>
      </c>
      <c r="Y46" s="128"/>
      <c r="Z46" s="129">
        <f>+Z41</f>
        <v>2800445257.1500001</v>
      </c>
      <c r="AA46" s="128"/>
      <c r="AB46" s="130">
        <f>+AB41</f>
        <v>42909327.299999997</v>
      </c>
      <c r="AC46" s="128"/>
      <c r="AD46" s="129">
        <f>+AD41</f>
        <v>373937187</v>
      </c>
      <c r="AE46" s="128"/>
      <c r="AF46" s="129">
        <f>+AF41</f>
        <v>2888884809</v>
      </c>
      <c r="AG46" s="128"/>
      <c r="AH46" s="131">
        <f>X46+Z46+AB46+AD46+AF46</f>
        <v>7838687304.8300009</v>
      </c>
    </row>
    <row r="47" spans="1:35" x14ac:dyDescent="0.25">
      <c r="A47" s="93">
        <v>5</v>
      </c>
      <c r="B47" s="25" t="s">
        <v>71</v>
      </c>
      <c r="C47" s="93" t="s">
        <v>58</v>
      </c>
      <c r="D47" s="106">
        <v>0</v>
      </c>
      <c r="E47" s="121" t="s">
        <v>58</v>
      </c>
      <c r="F47" s="106">
        <v>0</v>
      </c>
      <c r="G47" s="82" t="s">
        <v>58</v>
      </c>
      <c r="H47" s="82">
        <v>0</v>
      </c>
      <c r="I47" s="121" t="s">
        <v>58</v>
      </c>
      <c r="J47" s="106">
        <v>0</v>
      </c>
      <c r="K47" s="82" t="s">
        <v>58</v>
      </c>
      <c r="L47" s="82">
        <v>0</v>
      </c>
      <c r="M47" s="121" t="s">
        <v>58</v>
      </c>
      <c r="N47" s="120">
        <f>+D47+F47+H47+J47+L47</f>
        <v>0</v>
      </c>
      <c r="O47" s="1"/>
      <c r="P47" s="1"/>
      <c r="Q47" s="1"/>
      <c r="R47" s="1"/>
      <c r="U47" s="134"/>
      <c r="V47" s="135" t="s">
        <v>2</v>
      </c>
      <c r="W47" s="136"/>
      <c r="X47" s="137" t="s">
        <v>2</v>
      </c>
      <c r="Y47" s="138"/>
      <c r="Z47" s="137" t="s">
        <v>2</v>
      </c>
      <c r="AA47" s="138"/>
      <c r="AB47" s="138" t="s">
        <v>2</v>
      </c>
      <c r="AC47" s="138"/>
      <c r="AD47" s="137" t="s">
        <v>2</v>
      </c>
      <c r="AE47" s="138"/>
      <c r="AF47" s="138" t="s">
        <v>2</v>
      </c>
      <c r="AG47" s="138"/>
      <c r="AH47" s="139" t="s">
        <v>2</v>
      </c>
    </row>
    <row r="48" spans="1:35" x14ac:dyDescent="0.25">
      <c r="A48" s="93">
        <v>6</v>
      </c>
      <c r="B48" s="25" t="s">
        <v>73</v>
      </c>
      <c r="C48" s="93" t="s">
        <v>58</v>
      </c>
      <c r="D48" s="132">
        <f>+N48*D46/100</f>
        <v>1384742266.5431345</v>
      </c>
      <c r="E48" s="121" t="s">
        <v>58</v>
      </c>
      <c r="F48" s="106">
        <f>+N48*F46/100</f>
        <v>54466.478478393939</v>
      </c>
      <c r="G48" s="82" t="s">
        <v>58</v>
      </c>
      <c r="H48" s="82">
        <f>+N48*H46/100</f>
        <v>0</v>
      </c>
      <c r="I48" s="121" t="s">
        <v>58</v>
      </c>
      <c r="J48" s="106">
        <f>+N48*J46/100</f>
        <v>0</v>
      </c>
      <c r="K48" s="82" t="s">
        <v>58</v>
      </c>
      <c r="L48" s="82">
        <f>+N48*L46/100</f>
        <v>6762402578.9783878</v>
      </c>
      <c r="M48" s="121" t="s">
        <v>58</v>
      </c>
      <c r="N48" s="133">
        <f>+N49</f>
        <v>8147199312</v>
      </c>
      <c r="O48" s="1"/>
      <c r="P48" s="1"/>
      <c r="Q48" s="1"/>
      <c r="R48" s="1"/>
      <c r="U48" s="212"/>
      <c r="V48" s="141"/>
      <c r="W48" s="3"/>
      <c r="X48" s="3"/>
      <c r="Y48" s="142"/>
      <c r="Z48" s="3"/>
      <c r="AA48" s="3"/>
      <c r="AB48" s="3"/>
      <c r="AC48" s="3"/>
      <c r="AD48" s="3"/>
      <c r="AE48" s="3"/>
      <c r="AF48" s="241"/>
      <c r="AG48" s="241"/>
      <c r="AH48" s="241"/>
    </row>
    <row r="49" spans="1:35" x14ac:dyDescent="0.25">
      <c r="A49" s="93">
        <v>7</v>
      </c>
      <c r="B49" s="112" t="s">
        <v>74</v>
      </c>
      <c r="C49" s="93" t="s">
        <v>58</v>
      </c>
      <c r="D49" s="106">
        <f>+D48</f>
        <v>1384742266.5431345</v>
      </c>
      <c r="E49" s="121" t="s">
        <v>58</v>
      </c>
      <c r="F49" s="106">
        <f>+F48</f>
        <v>54466.478478393939</v>
      </c>
      <c r="G49" s="82" t="s">
        <v>58</v>
      </c>
      <c r="H49" s="82">
        <f>+H48</f>
        <v>0</v>
      </c>
      <c r="I49" s="121" t="s">
        <v>58</v>
      </c>
      <c r="J49" s="106">
        <f>+J48</f>
        <v>0</v>
      </c>
      <c r="K49" s="82" t="s">
        <v>58</v>
      </c>
      <c r="L49" s="82">
        <f>+L48</f>
        <v>6762402578.9783878</v>
      </c>
      <c r="M49" s="121" t="s">
        <v>58</v>
      </c>
      <c r="N49" s="133">
        <f>+D63</f>
        <v>8147199312</v>
      </c>
      <c r="O49" s="1"/>
      <c r="P49" s="1"/>
      <c r="Q49" s="1"/>
      <c r="R49" s="1"/>
      <c r="U49" s="212"/>
      <c r="V49" s="146" t="s">
        <v>75</v>
      </c>
      <c r="W49" s="147" t="s">
        <v>76</v>
      </c>
      <c r="X49" s="148"/>
      <c r="Y49" s="149" t="s">
        <v>77</v>
      </c>
      <c r="Z49" s="148"/>
      <c r="AB49" s="150"/>
      <c r="AC49" s="150"/>
      <c r="AD49" s="150"/>
      <c r="AE49" s="151"/>
      <c r="AF49" s="242">
        <f>'KOLEK-KAP'!AI59</f>
        <v>0</v>
      </c>
      <c r="AG49" s="242"/>
      <c r="AH49" s="242"/>
      <c r="AI49" s="242"/>
    </row>
    <row r="50" spans="1:35" x14ac:dyDescent="0.25">
      <c r="A50" s="100"/>
      <c r="B50" s="101"/>
      <c r="C50" s="100" t="s">
        <v>58</v>
      </c>
      <c r="D50" s="143">
        <f>+D49-D45</f>
        <v>232855601.67841768</v>
      </c>
      <c r="E50" s="144" t="s">
        <v>58</v>
      </c>
      <c r="F50" s="143">
        <f>+F49-F45</f>
        <v>9158.9784783939394</v>
      </c>
      <c r="G50" s="145" t="s">
        <v>58</v>
      </c>
      <c r="H50" s="145">
        <f>+H49-H45</f>
        <v>0</v>
      </c>
      <c r="I50" s="144" t="s">
        <v>58</v>
      </c>
      <c r="J50" s="143">
        <f>+J49-J45</f>
        <v>0</v>
      </c>
      <c r="K50" s="145" t="s">
        <v>58</v>
      </c>
      <c r="L50" s="145">
        <f>+L49-L45</f>
        <v>1137152637.9783878</v>
      </c>
      <c r="M50" s="144" t="s">
        <v>58</v>
      </c>
      <c r="N50" s="143">
        <f>+N49-N45</f>
        <v>1370017398.6352835</v>
      </c>
      <c r="O50" s="1"/>
      <c r="P50" s="1"/>
      <c r="Q50" s="1"/>
      <c r="R50" s="1"/>
      <c r="U50" s="152"/>
      <c r="V50" s="153" t="s">
        <v>2</v>
      </c>
      <c r="W50" s="154" t="s">
        <v>20</v>
      </c>
      <c r="X50" s="155" t="s">
        <v>19</v>
      </c>
      <c r="Y50" s="156" t="s">
        <v>20</v>
      </c>
      <c r="Z50" s="155" t="s">
        <v>19</v>
      </c>
      <c r="AA50" s="157"/>
      <c r="AB50" s="244"/>
      <c r="AC50" s="244"/>
      <c r="AD50" s="244"/>
      <c r="AE50" s="158"/>
    </row>
    <row r="51" spans="1:3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U51" s="212"/>
      <c r="V51" s="162" t="s">
        <v>82</v>
      </c>
      <c r="W51" s="163">
        <f>(+Z37*25%+AB37*50%+AD37*75%+AF37*100%)/AH37*100</f>
        <v>2.8690037586008179</v>
      </c>
      <c r="X51" s="164">
        <v>0</v>
      </c>
      <c r="Y51" s="165">
        <f>(+Z26*25%+AB26*50%+AD26*75%+AF26*100%)/AH26*100</f>
        <v>2.853784394918252</v>
      </c>
      <c r="Z51" s="166">
        <v>0</v>
      </c>
      <c r="AC51" s="210"/>
      <c r="AD51" s="210"/>
      <c r="AE51" s="168"/>
      <c r="AF51" s="243" t="s">
        <v>83</v>
      </c>
      <c r="AG51" s="243"/>
      <c r="AH51" s="243"/>
      <c r="AI51" s="243"/>
    </row>
    <row r="52" spans="1:35" x14ac:dyDescent="0.25">
      <c r="A52" s="1"/>
      <c r="B52" s="204" t="s">
        <v>8</v>
      </c>
      <c r="C52" s="205"/>
      <c r="D52" s="205" t="s">
        <v>17</v>
      </c>
      <c r="E52" s="248" t="s">
        <v>78</v>
      </c>
      <c r="F52" s="249"/>
      <c r="G52" s="1"/>
      <c r="H52" s="159" t="s">
        <v>79</v>
      </c>
      <c r="I52" s="160" t="s">
        <v>80</v>
      </c>
      <c r="J52" s="161">
        <f>+(H34+J34+L34)/N34*100</f>
        <v>2.6518761884176651</v>
      </c>
      <c r="K52" s="1"/>
      <c r="L52" s="1" t="s">
        <v>81</v>
      </c>
      <c r="M52" s="160" t="s">
        <v>80</v>
      </c>
      <c r="N52" s="161">
        <f>+(H41+J41+L41)/N41*100</f>
        <v>2.6518761884176651</v>
      </c>
      <c r="U52" s="212"/>
      <c r="V52" s="30" t="s">
        <v>87</v>
      </c>
      <c r="W52" s="163">
        <f>X52/AH37*(100)</f>
        <v>2.1330357404240203</v>
      </c>
      <c r="X52" s="170">
        <f>AB37+AD37+AF37</f>
        <v>3922821365</v>
      </c>
      <c r="Y52" s="165">
        <f>Z52/AH26*100</f>
        <v>2.1343457491404432</v>
      </c>
      <c r="Z52" s="170">
        <f>AB26+AD26+AF26</f>
        <v>3922539853</v>
      </c>
      <c r="AF52" s="243" t="s">
        <v>88</v>
      </c>
      <c r="AG52" s="243"/>
      <c r="AH52" s="243"/>
      <c r="AI52" s="243"/>
    </row>
    <row r="53" spans="1:35" x14ac:dyDescent="0.25">
      <c r="A53" s="1"/>
      <c r="B53" s="169" t="s">
        <v>84</v>
      </c>
      <c r="C53" s="94"/>
      <c r="D53" s="94"/>
      <c r="E53" s="1"/>
      <c r="F53" s="94"/>
      <c r="H53" s="1" t="s">
        <v>85</v>
      </c>
      <c r="I53" s="160" t="s">
        <v>80</v>
      </c>
      <c r="J53" s="161">
        <f>+((F34*0.25)+(H34*0.5)+(J34*0.75)+(L34*1))/N34*100</f>
        <v>3.0933404433337794</v>
      </c>
      <c r="K53" s="1"/>
      <c r="L53" s="1" t="s">
        <v>86</v>
      </c>
      <c r="M53" s="160" t="s">
        <v>80</v>
      </c>
      <c r="N53" s="161">
        <f>+((F41*0.25)+(H41*0.5)+(J41*0.75)+(L41*1))/N41*100</f>
        <v>3.0933404433337794</v>
      </c>
      <c r="U53" s="212"/>
      <c r="V53" s="172" t="s">
        <v>90</v>
      </c>
      <c r="W53" s="173">
        <f>X53/AH37*100</f>
        <v>2.1330357404240203</v>
      </c>
      <c r="X53" s="174">
        <f>X52-AB43-AD43-AF43</f>
        <v>3922821365</v>
      </c>
      <c r="Y53" s="175">
        <f>Z53/AH37*100</f>
        <v>0.33538989325059165</v>
      </c>
      <c r="Z53" s="174">
        <f>Z52-AB46-AD46-AF46</f>
        <v>616808529.69999981</v>
      </c>
      <c r="AF53" s="243" t="s">
        <v>91</v>
      </c>
      <c r="AG53" s="243"/>
      <c r="AH53" s="243"/>
      <c r="AI53" s="243"/>
    </row>
    <row r="54" spans="1:35" x14ac:dyDescent="0.25">
      <c r="A54" s="1"/>
      <c r="B54" s="93" t="s">
        <v>89</v>
      </c>
      <c r="C54" s="94"/>
      <c r="D54" s="171">
        <v>0</v>
      </c>
      <c r="E54" s="2"/>
      <c r="F54" s="171">
        <v>0</v>
      </c>
      <c r="K54" s="1"/>
      <c r="L54" s="1"/>
      <c r="M54" s="1"/>
      <c r="N54" s="1"/>
      <c r="U54" s="152"/>
      <c r="V54" s="179"/>
      <c r="W54" s="157"/>
      <c r="X54" s="180"/>
      <c r="Y54" s="157"/>
      <c r="Z54" s="180"/>
      <c r="AA54" s="157"/>
      <c r="AB54" s="180"/>
      <c r="AC54" s="157"/>
      <c r="AD54" s="180"/>
      <c r="AE54" s="157"/>
      <c r="AG54" s="209"/>
      <c r="AH54" s="209"/>
      <c r="AI54" s="209"/>
    </row>
    <row r="55" spans="1:35" x14ac:dyDescent="0.25">
      <c r="A55" s="1"/>
      <c r="B55" s="176" t="s">
        <v>92</v>
      </c>
      <c r="C55" s="94"/>
      <c r="D55" s="177"/>
      <c r="E55" s="1"/>
      <c r="F55" s="177"/>
      <c r="H55" s="178"/>
      <c r="V55" s="186"/>
      <c r="W55" s="187"/>
      <c r="X55" s="187"/>
    </row>
    <row r="56" spans="1:35" x14ac:dyDescent="0.25">
      <c r="A56" s="1"/>
      <c r="B56" s="100" t="s">
        <v>93</v>
      </c>
      <c r="C56" s="182"/>
      <c r="D56" s="183">
        <v>8147199312</v>
      </c>
      <c r="E56" s="184">
        <v>0</v>
      </c>
      <c r="F56" s="185"/>
      <c r="H56" s="178"/>
    </row>
    <row r="57" spans="1:35" x14ac:dyDescent="0.25">
      <c r="A57" s="1"/>
      <c r="B57" s="100" t="s">
        <v>94</v>
      </c>
      <c r="C57" s="182"/>
      <c r="D57" s="188">
        <v>0</v>
      </c>
      <c r="E57" s="184">
        <v>0</v>
      </c>
      <c r="F57" s="185"/>
      <c r="G57" s="1"/>
    </row>
    <row r="58" spans="1:35" x14ac:dyDescent="0.25">
      <c r="A58" s="1"/>
      <c r="B58" s="189" t="s">
        <v>95</v>
      </c>
      <c r="C58" s="94"/>
      <c r="D58" s="133"/>
      <c r="E58" s="1"/>
      <c r="F58" s="133"/>
      <c r="G58" s="1"/>
      <c r="L58" s="208"/>
      <c r="M58" s="208"/>
      <c r="N58" s="208"/>
      <c r="AF58" s="245" t="s">
        <v>97</v>
      </c>
      <c r="AG58" s="245"/>
      <c r="AH58" s="245"/>
      <c r="AI58" s="245"/>
    </row>
    <row r="59" spans="1:35" x14ac:dyDescent="0.25">
      <c r="A59" s="1"/>
      <c r="B59" s="93" t="s">
        <v>96</v>
      </c>
      <c r="C59" s="94"/>
      <c r="D59" s="133">
        <v>0</v>
      </c>
      <c r="E59" s="1"/>
      <c r="F59" s="133">
        <v>0</v>
      </c>
      <c r="G59" s="1"/>
      <c r="H59" s="206"/>
      <c r="J59" s="1"/>
      <c r="K59" s="242"/>
      <c r="L59" s="242"/>
      <c r="M59" s="242"/>
      <c r="N59" s="242"/>
      <c r="O59" s="242" t="s">
        <v>115</v>
      </c>
      <c r="P59" s="242"/>
      <c r="Q59" s="242"/>
      <c r="R59" s="242"/>
    </row>
    <row r="60" spans="1:35" x14ac:dyDescent="0.25">
      <c r="A60" s="1"/>
      <c r="B60" s="93" t="s">
        <v>98</v>
      </c>
      <c r="C60" s="94"/>
      <c r="D60" s="133">
        <v>0</v>
      </c>
      <c r="E60" s="1"/>
      <c r="F60" s="133">
        <v>0</v>
      </c>
      <c r="G60" s="1"/>
      <c r="J60" s="1"/>
      <c r="AE60" s="243"/>
      <c r="AF60" s="243"/>
      <c r="AG60" s="243"/>
      <c r="AH60" s="243"/>
    </row>
    <row r="61" spans="1:35" x14ac:dyDescent="0.25">
      <c r="A61" s="1"/>
      <c r="B61" s="189" t="s">
        <v>100</v>
      </c>
      <c r="C61" s="94"/>
      <c r="D61" s="133"/>
      <c r="E61" s="1"/>
      <c r="F61" s="133"/>
      <c r="G61" s="1"/>
      <c r="H61" s="207"/>
      <c r="I61" s="207"/>
      <c r="K61" s="243"/>
      <c r="L61" s="243"/>
      <c r="M61" s="243"/>
      <c r="N61" s="243"/>
      <c r="O61" s="243" t="s">
        <v>83</v>
      </c>
      <c r="P61" s="243"/>
      <c r="Q61" s="243"/>
      <c r="R61" s="243"/>
    </row>
    <row r="62" spans="1:35" x14ac:dyDescent="0.25">
      <c r="A62" s="1"/>
      <c r="B62" s="93" t="s">
        <v>101</v>
      </c>
      <c r="C62" s="94"/>
      <c r="D62" s="133">
        <v>0</v>
      </c>
      <c r="E62" s="1"/>
      <c r="F62" s="133">
        <v>0</v>
      </c>
      <c r="G62" s="1"/>
      <c r="J62" s="1"/>
      <c r="K62" s="243"/>
      <c r="L62" s="243"/>
      <c r="M62" s="243"/>
      <c r="N62" s="243"/>
      <c r="O62" s="243" t="s">
        <v>88</v>
      </c>
      <c r="P62" s="243"/>
      <c r="Q62" s="243"/>
      <c r="R62" s="243"/>
    </row>
    <row r="63" spans="1:35" x14ac:dyDescent="0.25">
      <c r="A63" s="1"/>
      <c r="B63" s="204" t="s">
        <v>17</v>
      </c>
      <c r="C63" s="182"/>
      <c r="D63" s="188">
        <f>SUM(D54:D62)</f>
        <v>8147199312</v>
      </c>
      <c r="E63" s="184">
        <f>SUM(E56:F62)</f>
        <v>0</v>
      </c>
      <c r="F63" s="185"/>
      <c r="G63" s="1"/>
      <c r="J63" s="1"/>
      <c r="K63" s="243"/>
      <c r="L63" s="243"/>
      <c r="M63" s="243"/>
      <c r="N63" s="243"/>
      <c r="O63" s="243" t="s">
        <v>113</v>
      </c>
      <c r="P63" s="243"/>
      <c r="Q63" s="243"/>
      <c r="R63" s="243"/>
    </row>
    <row r="64" spans="1:35" x14ac:dyDescent="0.25">
      <c r="A64" s="1"/>
      <c r="B64" s="1"/>
      <c r="C64" s="1"/>
      <c r="D64" s="2"/>
      <c r="E64" s="1"/>
      <c r="F64" s="1"/>
      <c r="G64" s="1"/>
      <c r="J64" s="1"/>
      <c r="L64" s="203"/>
      <c r="M64" s="203"/>
      <c r="N64" s="203"/>
      <c r="P64" s="203"/>
      <c r="Q64" s="203"/>
      <c r="R64" s="203"/>
    </row>
    <row r="65" spans="1:18" ht="15.75" x14ac:dyDescent="0.25">
      <c r="A65" s="1"/>
      <c r="B65" s="100" t="s">
        <v>102</v>
      </c>
      <c r="C65" s="182"/>
      <c r="D65" s="182" t="s">
        <v>19</v>
      </c>
      <c r="E65" s="1"/>
      <c r="F65" s="190" t="s">
        <v>103</v>
      </c>
      <c r="G65" s="1"/>
      <c r="H65" t="s">
        <v>104</v>
      </c>
      <c r="J65" s="1"/>
    </row>
    <row r="66" spans="1:18" x14ac:dyDescent="0.25">
      <c r="A66" s="1"/>
      <c r="B66" s="93" t="s">
        <v>105</v>
      </c>
      <c r="C66" s="94"/>
      <c r="D66" s="191">
        <v>0</v>
      </c>
      <c r="E66" s="1"/>
      <c r="F66" s="2">
        <f>+D50</f>
        <v>232855601.67841768</v>
      </c>
      <c r="G66" s="1"/>
      <c r="H66" s="192">
        <v>0</v>
      </c>
    </row>
    <row r="67" spans="1:18" x14ac:dyDescent="0.25">
      <c r="A67" s="1"/>
      <c r="B67" s="93" t="s">
        <v>106</v>
      </c>
      <c r="C67" s="94"/>
      <c r="D67" s="191">
        <v>0</v>
      </c>
      <c r="E67" s="1"/>
      <c r="F67" s="193">
        <f>+F50+H50+J50+L50</f>
        <v>1137161796.9568663</v>
      </c>
      <c r="G67" s="1"/>
      <c r="H67" s="194">
        <v>0</v>
      </c>
      <c r="J67" s="1"/>
      <c r="O67" s="245" t="s">
        <v>114</v>
      </c>
      <c r="P67" s="245"/>
      <c r="Q67" s="245"/>
      <c r="R67" s="245"/>
    </row>
    <row r="68" spans="1:18" x14ac:dyDescent="0.25">
      <c r="A68" s="1"/>
      <c r="B68" s="100" t="s">
        <v>107</v>
      </c>
      <c r="C68" s="182"/>
      <c r="D68" s="195">
        <f>+D66+D67</f>
        <v>0</v>
      </c>
      <c r="E68" s="1"/>
      <c r="F68" s="196">
        <f>SUM(F66:F67)</f>
        <v>1370017398.6352839</v>
      </c>
      <c r="G68" s="1"/>
      <c r="H68" s="192">
        <f>+H66+H67</f>
        <v>0</v>
      </c>
      <c r="K68" s="245"/>
      <c r="L68" s="245"/>
      <c r="M68" s="245"/>
      <c r="N68" s="245"/>
      <c r="O68" s="243" t="s">
        <v>99</v>
      </c>
      <c r="P68" s="243"/>
      <c r="Q68" s="243"/>
      <c r="R68" s="243"/>
    </row>
    <row r="69" spans="1:18" x14ac:dyDescent="0.25">
      <c r="D69" s="197" t="s">
        <v>2</v>
      </c>
      <c r="F69" s="6"/>
      <c r="H69" s="192"/>
      <c r="K69" s="243"/>
      <c r="L69" s="243"/>
      <c r="M69" s="243"/>
      <c r="N69" s="243"/>
    </row>
    <row r="70" spans="1:18" x14ac:dyDescent="0.25">
      <c r="D70" s="192"/>
    </row>
    <row r="71" spans="1:18" x14ac:dyDescent="0.25">
      <c r="A71" s="198"/>
      <c r="D71" s="192"/>
      <c r="I71" s="199"/>
    </row>
    <row r="72" spans="1:18" x14ac:dyDescent="0.25">
      <c r="A72" s="198"/>
      <c r="I72" s="199"/>
    </row>
    <row r="73" spans="1:18" x14ac:dyDescent="0.25">
      <c r="A73" s="198"/>
      <c r="I73" s="199"/>
    </row>
    <row r="74" spans="1:18" x14ac:dyDescent="0.25">
      <c r="A74" s="200"/>
      <c r="B74" s="200"/>
      <c r="C74" s="200"/>
      <c r="D74" s="200"/>
      <c r="E74" s="200"/>
      <c r="F74" s="201"/>
      <c r="G74" s="200"/>
      <c r="H74" s="200"/>
      <c r="I74" s="200"/>
      <c r="J74" s="200"/>
      <c r="K74" s="200"/>
      <c r="L74" s="200"/>
      <c r="M74" s="200"/>
      <c r="N74" s="200"/>
      <c r="O74" s="200"/>
    </row>
    <row r="75" spans="1:18" x14ac:dyDescent="0.25">
      <c r="A75" s="200"/>
      <c r="B75" s="200"/>
      <c r="C75" s="200"/>
      <c r="D75" s="200"/>
      <c r="E75" s="200"/>
      <c r="F75" s="201"/>
      <c r="G75" s="200"/>
      <c r="H75" s="200"/>
      <c r="I75" s="200"/>
      <c r="J75" s="200"/>
      <c r="K75" s="200"/>
      <c r="L75" s="200"/>
      <c r="M75" s="200"/>
      <c r="N75" s="200"/>
      <c r="O75" s="200"/>
    </row>
    <row r="76" spans="1:18" ht="15" customHeight="1" x14ac:dyDescent="0.25">
      <c r="A76" s="200"/>
      <c r="B76" s="200"/>
      <c r="C76" s="200"/>
      <c r="D76" s="200"/>
      <c r="E76" s="200"/>
      <c r="F76" s="201"/>
      <c r="G76" s="200"/>
      <c r="H76" s="200"/>
      <c r="I76" s="200"/>
      <c r="J76" s="200"/>
      <c r="K76" s="200"/>
      <c r="L76" s="200"/>
      <c r="M76" s="200"/>
      <c r="N76" s="200"/>
      <c r="O76" s="200"/>
    </row>
    <row r="77" spans="1:18" ht="15" customHeight="1" x14ac:dyDescent="0.25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</row>
    <row r="78" spans="1:18" x14ac:dyDescent="0.25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</row>
    <row r="79" spans="1:18" x14ac:dyDescent="0.25">
      <c r="A79" s="200"/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</row>
    <row r="80" spans="1:18" x14ac:dyDescent="0.25">
      <c r="A80" s="200"/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5" x14ac:dyDescent="0.25">
      <c r="A81" s="200"/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</row>
    <row r="82" spans="1:15" x14ac:dyDescent="0.25">
      <c r="A82" s="200"/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5" x14ac:dyDescent="0.25">
      <c r="A83" s="200"/>
      <c r="B83" s="202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</row>
    <row r="84" spans="1:15" x14ac:dyDescent="0.25">
      <c r="A84" s="200"/>
      <c r="B84" s="202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00"/>
      <c r="O84" s="200"/>
    </row>
    <row r="85" spans="1:15" x14ac:dyDescent="0.25">
      <c r="A85" s="200"/>
      <c r="B85" s="202"/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</row>
    <row r="86" spans="1:15" x14ac:dyDescent="0.25">
      <c r="A86" s="200"/>
      <c r="B86" s="202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</row>
    <row r="87" spans="1:15" x14ac:dyDescent="0.25">
      <c r="A87" s="200"/>
      <c r="B87" s="202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</row>
    <row r="88" spans="1:15" x14ac:dyDescent="0.25">
      <c r="A88" s="200"/>
      <c r="B88" s="202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</row>
    <row r="89" spans="1:15" x14ac:dyDescent="0.25">
      <c r="A89" s="200"/>
      <c r="B89" s="202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</row>
    <row r="90" spans="1:15" x14ac:dyDescent="0.25">
      <c r="A90" s="200"/>
      <c r="B90" s="202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</row>
    <row r="91" spans="1:15" x14ac:dyDescent="0.25">
      <c r="A91" s="200"/>
      <c r="B91" s="202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</row>
    <row r="92" spans="1:15" x14ac:dyDescent="0.25">
      <c r="A92" s="200"/>
      <c r="B92" s="202"/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00"/>
      <c r="O92" s="200"/>
    </row>
    <row r="93" spans="1:15" x14ac:dyDescent="0.25">
      <c r="A93" s="200"/>
      <c r="B93" s="202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</row>
    <row r="94" spans="1:15" x14ac:dyDescent="0.25">
      <c r="A94" s="200"/>
      <c r="B94" s="202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</row>
    <row r="95" spans="1:15" x14ac:dyDescent="0.25">
      <c r="A95" s="200"/>
      <c r="B95" s="20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</row>
    <row r="96" spans="1:15" x14ac:dyDescent="0.25">
      <c r="A96" s="200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</row>
  </sheetData>
  <mergeCells count="46">
    <mergeCell ref="A1:R1"/>
    <mergeCell ref="A2:R2"/>
    <mergeCell ref="A3:R3"/>
    <mergeCell ref="C6:D6"/>
    <mergeCell ref="E6:F6"/>
    <mergeCell ref="G6:H6"/>
    <mergeCell ref="I6:J6"/>
    <mergeCell ref="K6:L6"/>
    <mergeCell ref="C5:L5"/>
    <mergeCell ref="M5:N6"/>
    <mergeCell ref="O5:O6"/>
    <mergeCell ref="P5:Q6"/>
    <mergeCell ref="M37:N37"/>
    <mergeCell ref="E52:F52"/>
    <mergeCell ref="K59:N59"/>
    <mergeCell ref="O59:R59"/>
    <mergeCell ref="K68:N68"/>
    <mergeCell ref="O67:R67"/>
    <mergeCell ref="AF48:AH48"/>
    <mergeCell ref="AF49:AI49"/>
    <mergeCell ref="AF53:AI53"/>
    <mergeCell ref="K69:N69"/>
    <mergeCell ref="O68:R68"/>
    <mergeCell ref="AE60:AH60"/>
    <mergeCell ref="K61:N61"/>
    <mergeCell ref="O61:R61"/>
    <mergeCell ref="K62:N62"/>
    <mergeCell ref="O62:R62"/>
    <mergeCell ref="K63:N63"/>
    <mergeCell ref="O63:R63"/>
    <mergeCell ref="AB50:AD50"/>
    <mergeCell ref="AF51:AI51"/>
    <mergeCell ref="AF52:AI52"/>
    <mergeCell ref="AF58:AI58"/>
    <mergeCell ref="U1:AH1"/>
    <mergeCell ref="U2:AH2"/>
    <mergeCell ref="U3:AH3"/>
    <mergeCell ref="U5:U7"/>
    <mergeCell ref="V5:V7"/>
    <mergeCell ref="W5:AH5"/>
    <mergeCell ref="W6:X6"/>
    <mergeCell ref="Y6:Z6"/>
    <mergeCell ref="AA6:AB6"/>
    <mergeCell ref="AC6:AD6"/>
    <mergeCell ref="AE6:AF6"/>
    <mergeCell ref="AG6:AH6"/>
  </mergeCells>
  <hyperlinks>
    <hyperlink ref="W21" r:id="rId1" display="=@SUM(C14:C20)+@SUM(C29:C31)"/>
    <hyperlink ref="W24" r:id="rId2" display="=@SUM(C21:C28)"/>
    <hyperlink ref="AC24" r:id="rId3" display="=@SUM(C21:C28)"/>
    <hyperlink ref="AG24" r:id="rId4" display="=@SUM(C21:C28)"/>
    <hyperlink ref="AD21" r:id="rId5" display="=@SUM(C14:C20)+@SUM(C29:C31)"/>
    <hyperlink ref="AD24" r:id="rId6" display="=@SUM(C21:C28)"/>
    <hyperlink ref="X21" r:id="rId7" display="=@SUM(C14:C20)+@SUM(C29:C31)"/>
    <hyperlink ref="X24" r:id="rId8" display="=@SUM(C21:C28)"/>
    <hyperlink ref="Y21" r:id="rId9" display="=@SUM(C14:C20)+@SUM(C29:C31)"/>
    <hyperlink ref="Y24" r:id="rId10" display="=@SUM(C21:C28)"/>
    <hyperlink ref="AA21" r:id="rId11" display="=@SUM(C14:C20)+@SUM(C29:C31)"/>
    <hyperlink ref="AA24" r:id="rId12" display="=@SUM(C21:C28)"/>
    <hyperlink ref="AB21" r:id="rId13" display="=@SUM(C14:C20)+@SUM(C29:C31)"/>
    <hyperlink ref="AB24" r:id="rId14" display="=@SUM(C21:C28)"/>
    <hyperlink ref="Z21" r:id="rId15" display="=@SUM(C14:C20)+@SUM(C29:C31)"/>
    <hyperlink ref="Z24" r:id="rId16" display="=@SUM(C21:C28)"/>
    <hyperlink ref="AE21" r:id="rId17" display="=@SUM(C14:C20)+@SUM(C29:C31)"/>
    <hyperlink ref="AE24" r:id="rId18" display="=@SUM(C21:C28)"/>
    <hyperlink ref="AF21" r:id="rId19" display="=@SUM(C14:C20)+@SUM(C29:C31)"/>
    <hyperlink ref="AF24" r:id="rId20" display="=@SUM(C21:C28)"/>
  </hyperlinks>
  <pageMargins left="0" right="0" top="0" bottom="0" header="0.3" footer="0.3"/>
  <pageSetup scale="60" orientation="landscape" horizontalDpi="180" verticalDpi="18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22" workbookViewId="0">
      <selection activeCell="A51" sqref="A51"/>
    </sheetView>
  </sheetViews>
  <sheetFormatPr defaultRowHeight="15" x14ac:dyDescent="0.25"/>
  <cols>
    <col min="1" max="1" width="4.7109375" customWidth="1"/>
    <col min="2" max="2" width="37.7109375" customWidth="1"/>
    <col min="3" max="3" width="7.7109375" customWidth="1"/>
    <col min="4" max="4" width="16.85546875" customWidth="1"/>
    <col min="5" max="5" width="7.7109375" customWidth="1"/>
    <col min="6" max="6" width="16.7109375" customWidth="1"/>
    <col min="7" max="7" width="7.7109375" customWidth="1"/>
    <col min="8" max="8" width="16.5703125" customWidth="1"/>
    <col min="9" max="9" width="7.85546875" customWidth="1"/>
    <col min="10" max="10" width="16.7109375" customWidth="1"/>
    <col min="11" max="11" width="7.7109375" customWidth="1"/>
    <col min="12" max="12" width="16.42578125" customWidth="1"/>
    <col min="13" max="13" width="7.7109375" customWidth="1"/>
    <col min="14" max="14" width="16.28515625" customWidth="1"/>
  </cols>
  <sheetData>
    <row r="1" spans="1:14" x14ac:dyDescent="0.25">
      <c r="A1" s="219" t="s">
        <v>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4" x14ac:dyDescent="0.25">
      <c r="A2" s="219" t="str">
        <f>'KOLEK-KAP'!A2</f>
        <v>PT. BANK JATENG CAPEM GADING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</row>
    <row r="3" spans="1:14" x14ac:dyDescent="0.25">
      <c r="A3" s="219" t="str">
        <f>+'KOLEK-KAP'!A3</f>
        <v>BULAN : AGUSTUS 2021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14" ht="15.75" thickBot="1" x14ac:dyDescent="0.3">
      <c r="A4" s="5"/>
      <c r="B4" s="6"/>
      <c r="C4" s="6" t="s">
        <v>2</v>
      </c>
      <c r="D4" s="6" t="s">
        <v>2</v>
      </c>
      <c r="E4" s="6"/>
      <c r="F4" s="6"/>
      <c r="G4" s="6"/>
      <c r="H4" s="6"/>
      <c r="I4" s="6"/>
      <c r="J4" s="6"/>
      <c r="K4" s="6"/>
      <c r="L4" s="7" t="s">
        <v>2</v>
      </c>
      <c r="M4" s="8" t="s">
        <v>2</v>
      </c>
      <c r="N4" s="9" t="s">
        <v>2</v>
      </c>
    </row>
    <row r="5" spans="1:14" x14ac:dyDescent="0.25">
      <c r="A5" s="220" t="s">
        <v>7</v>
      </c>
      <c r="B5" s="223" t="s">
        <v>8</v>
      </c>
      <c r="C5" s="226" t="s">
        <v>9</v>
      </c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</row>
    <row r="6" spans="1:14" x14ac:dyDescent="0.25">
      <c r="A6" s="221"/>
      <c r="B6" s="224"/>
      <c r="C6" s="229" t="s">
        <v>11</v>
      </c>
      <c r="D6" s="230"/>
      <c r="E6" s="231" t="s">
        <v>12</v>
      </c>
      <c r="F6" s="232"/>
      <c r="G6" s="233" t="s">
        <v>13</v>
      </c>
      <c r="H6" s="234"/>
      <c r="I6" s="235" t="s">
        <v>14</v>
      </c>
      <c r="J6" s="236"/>
      <c r="K6" s="237" t="s">
        <v>15</v>
      </c>
      <c r="L6" s="238"/>
      <c r="M6" s="239" t="s">
        <v>17</v>
      </c>
      <c r="N6" s="240"/>
    </row>
    <row r="7" spans="1:14" x14ac:dyDescent="0.25">
      <c r="A7" s="222"/>
      <c r="B7" s="225"/>
      <c r="C7" s="22" t="s">
        <v>18</v>
      </c>
      <c r="D7" s="23" t="s">
        <v>19</v>
      </c>
      <c r="E7" s="22" t="s">
        <v>18</v>
      </c>
      <c r="F7" s="23" t="s">
        <v>19</v>
      </c>
      <c r="G7" s="22" t="s">
        <v>18</v>
      </c>
      <c r="H7" s="23" t="s">
        <v>19</v>
      </c>
      <c r="I7" s="22" t="s">
        <v>18</v>
      </c>
      <c r="J7" s="23" t="s">
        <v>19</v>
      </c>
      <c r="K7" s="22" t="s">
        <v>18</v>
      </c>
      <c r="L7" s="23" t="s">
        <v>19</v>
      </c>
      <c r="M7" s="22" t="s">
        <v>18</v>
      </c>
      <c r="N7" s="24" t="s">
        <v>19</v>
      </c>
    </row>
    <row r="8" spans="1:14" x14ac:dyDescent="0.25">
      <c r="A8" s="29">
        <v>1</v>
      </c>
      <c r="B8" s="30" t="s">
        <v>22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2">
        <f>+D8+F8+H8+J8+L8</f>
        <v>0</v>
      </c>
    </row>
    <row r="9" spans="1:14" x14ac:dyDescent="0.25">
      <c r="A9" s="41"/>
      <c r="B9" s="42"/>
      <c r="C9" s="43"/>
      <c r="D9" s="44"/>
      <c r="E9" s="43"/>
      <c r="F9" s="44"/>
      <c r="G9" s="43"/>
      <c r="H9" s="44"/>
      <c r="I9" s="43"/>
      <c r="J9" s="44"/>
      <c r="K9" s="43"/>
      <c r="L9" s="44"/>
      <c r="M9" s="43"/>
      <c r="N9" s="45"/>
    </row>
    <row r="10" spans="1:14" x14ac:dyDescent="0.25">
      <c r="A10" s="51">
        <v>2</v>
      </c>
      <c r="B10" s="52" t="s">
        <v>25</v>
      </c>
      <c r="C10" s="53">
        <f>'[1]Des''14 Neraca'!V10</f>
        <v>0</v>
      </c>
      <c r="D10" s="53">
        <f>'[1]Des''14 Neraca'!W10</f>
        <v>0</v>
      </c>
      <c r="E10" s="53">
        <f>'[1]Des''14 Neraca'!X10</f>
        <v>0</v>
      </c>
      <c r="F10" s="53">
        <f>'[1]Des''14 Neraca'!Y10</f>
        <v>0</v>
      </c>
      <c r="G10" s="53">
        <f>'[1]Des''14 Neraca'!Z10</f>
        <v>0</v>
      </c>
      <c r="H10" s="53">
        <f>'[1]Des''14 Neraca'!AA10</f>
        <v>0</v>
      </c>
      <c r="I10" s="53">
        <f>'[1]Des''14 Neraca'!AB10</f>
        <v>0</v>
      </c>
      <c r="J10" s="53">
        <f>'[1]Des''14 Neraca'!AC10</f>
        <v>0</v>
      </c>
      <c r="K10" s="53">
        <f>'[1]Des''14 Neraca'!AD10</f>
        <v>0</v>
      </c>
      <c r="L10" s="53">
        <f>'[1]Des''14 Neraca'!AE10</f>
        <v>0</v>
      </c>
      <c r="M10" s="53">
        <f>+C10+E10+G10+I10+K10</f>
        <v>0</v>
      </c>
      <c r="N10" s="54">
        <f>+D10+F10+H10+J10+L10</f>
        <v>0</v>
      </c>
    </row>
    <row r="11" spans="1:14" x14ac:dyDescent="0.25">
      <c r="A11" s="51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</row>
    <row r="12" spans="1:14" x14ac:dyDescent="0.25">
      <c r="A12" s="51">
        <v>3</v>
      </c>
      <c r="B12" s="52" t="s">
        <v>27</v>
      </c>
      <c r="C12" s="53">
        <f>'[1]Des''14 Neraca'!V12</f>
        <v>0</v>
      </c>
      <c r="D12" s="53">
        <f>'[1]Des''14 Neraca'!W12</f>
        <v>0</v>
      </c>
      <c r="E12" s="53">
        <f>'[1]Des''14 Neraca'!X12</f>
        <v>0</v>
      </c>
      <c r="F12" s="53">
        <f>'[1]Des''14 Neraca'!Y12</f>
        <v>0</v>
      </c>
      <c r="G12" s="53">
        <f>'[1]Des''14 Neraca'!Z12</f>
        <v>0</v>
      </c>
      <c r="H12" s="53">
        <f>'[1]Des''14 Neraca'!AA12</f>
        <v>0</v>
      </c>
      <c r="I12" s="53">
        <f>'[1]Des''14 Neraca'!AB12</f>
        <v>0</v>
      </c>
      <c r="J12" s="53">
        <f>'[1]Des''14 Neraca'!AC12</f>
        <v>0</v>
      </c>
      <c r="K12" s="53">
        <f>'[1]Des''14 Neraca'!AD12</f>
        <v>0</v>
      </c>
      <c r="L12" s="53">
        <f>'[1]Des''14 Neraca'!AE12</f>
        <v>0</v>
      </c>
      <c r="M12" s="53">
        <f>+C12+E12+G12+I12+K12</f>
        <v>0</v>
      </c>
      <c r="N12" s="54">
        <f>+D12+F12+H12+J12+L12</f>
        <v>0</v>
      </c>
    </row>
    <row r="13" spans="1:14" x14ac:dyDescent="0.25">
      <c r="A13" s="51"/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4"/>
    </row>
    <row r="14" spans="1:14" x14ac:dyDescent="0.25">
      <c r="A14" s="51"/>
      <c r="B14" s="52" t="s">
        <v>29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4"/>
    </row>
    <row r="15" spans="1:14" x14ac:dyDescent="0.25">
      <c r="A15" s="51"/>
      <c r="B15" s="52" t="s">
        <v>30</v>
      </c>
      <c r="C15" s="53">
        <f>'[1]Des''14 Neraca'!V15</f>
        <v>0</v>
      </c>
      <c r="D15" s="53">
        <f>'[1]Des''14 Neraca'!W15</f>
        <v>0</v>
      </c>
      <c r="E15" s="53">
        <f>'[1]Des''14 Neraca'!X15</f>
        <v>0</v>
      </c>
      <c r="F15" s="53">
        <f>'[1]Des''14 Neraca'!Y15</f>
        <v>0</v>
      </c>
      <c r="G15" s="53">
        <f>'[1]Des''14 Neraca'!Z15</f>
        <v>0</v>
      </c>
      <c r="H15" s="53">
        <f>'[1]Des''14 Neraca'!AA15</f>
        <v>0</v>
      </c>
      <c r="I15" s="53">
        <f>'[1]Des''14 Neraca'!AB15</f>
        <v>0</v>
      </c>
      <c r="J15" s="53">
        <f>'[1]Des''14 Neraca'!AC15</f>
        <v>0</v>
      </c>
      <c r="K15" s="53">
        <f>'[1]Des''14 Neraca'!AD15</f>
        <v>0</v>
      </c>
      <c r="L15" s="53">
        <f>'[1]Des''14 Neraca'!AE15</f>
        <v>0</v>
      </c>
      <c r="M15" s="53">
        <f t="shared" ref="M15:N18" si="0">+C15+E15+G15+I15+K15</f>
        <v>0</v>
      </c>
      <c r="N15" s="54">
        <f t="shared" si="0"/>
        <v>0</v>
      </c>
    </row>
    <row r="16" spans="1:14" x14ac:dyDescent="0.25">
      <c r="A16" s="51"/>
      <c r="B16" s="52" t="s">
        <v>31</v>
      </c>
      <c r="C16" s="53">
        <f>'[1]Des''14 Neraca'!V16</f>
        <v>0</v>
      </c>
      <c r="D16" s="53">
        <f>'[1]Des''14 Neraca'!W16</f>
        <v>0</v>
      </c>
      <c r="E16" s="53">
        <f>'[1]Des''14 Neraca'!X16</f>
        <v>0</v>
      </c>
      <c r="F16" s="53">
        <f>'[1]Des''14 Neraca'!Y16</f>
        <v>0</v>
      </c>
      <c r="G16" s="53">
        <f>'[1]Des''14 Neraca'!Z16</f>
        <v>0</v>
      </c>
      <c r="H16" s="53">
        <f>'[1]Des''14 Neraca'!AA16</f>
        <v>0</v>
      </c>
      <c r="I16" s="53">
        <f>'[1]Des''14 Neraca'!AB16</f>
        <v>0</v>
      </c>
      <c r="J16" s="53">
        <f>'[1]Des''14 Neraca'!AC16</f>
        <v>0</v>
      </c>
      <c r="K16" s="53">
        <f>'[1]Des''14 Neraca'!AD16</f>
        <v>0</v>
      </c>
      <c r="L16" s="53">
        <f>'[1]Des''14 Neraca'!AE16</f>
        <v>0</v>
      </c>
      <c r="M16" s="53">
        <f t="shared" si="0"/>
        <v>0</v>
      </c>
      <c r="N16" s="54">
        <f t="shared" si="0"/>
        <v>0</v>
      </c>
    </row>
    <row r="17" spans="1:14" x14ac:dyDescent="0.25">
      <c r="A17" s="51"/>
      <c r="B17" s="52" t="s">
        <v>33</v>
      </c>
      <c r="C17" s="53">
        <f>'[1]Des''14 Neraca'!V17</f>
        <v>0</v>
      </c>
      <c r="D17" s="53">
        <f>'[1]Des''14 Neraca'!W17</f>
        <v>0</v>
      </c>
      <c r="E17" s="53">
        <f>'[1]Des''14 Neraca'!X17</f>
        <v>0</v>
      </c>
      <c r="F17" s="53">
        <f>'[1]Des''14 Neraca'!Y17</f>
        <v>0</v>
      </c>
      <c r="G17" s="53">
        <f>'[1]Des''14 Neraca'!Z17</f>
        <v>0</v>
      </c>
      <c r="H17" s="53">
        <f>'[1]Des''14 Neraca'!AA17</f>
        <v>0</v>
      </c>
      <c r="I17" s="53">
        <f>'[1]Des''14 Neraca'!AB17</f>
        <v>0</v>
      </c>
      <c r="J17" s="53">
        <f>'[1]Des''14 Neraca'!AC17</f>
        <v>0</v>
      </c>
      <c r="K17" s="53">
        <f>'[1]Des''14 Neraca'!AD17</f>
        <v>0</v>
      </c>
      <c r="L17" s="53">
        <f>'[1]Des''14 Neraca'!AE17</f>
        <v>0</v>
      </c>
      <c r="M17" s="53">
        <f t="shared" si="0"/>
        <v>0</v>
      </c>
      <c r="N17" s="54">
        <f t="shared" si="0"/>
        <v>0</v>
      </c>
    </row>
    <row r="18" spans="1:14" x14ac:dyDescent="0.25">
      <c r="A18" s="51"/>
      <c r="B18" s="52" t="s">
        <v>35</v>
      </c>
      <c r="C18" s="53">
        <f>'[1]Des''14 Neraca'!V18</f>
        <v>0</v>
      </c>
      <c r="D18" s="53">
        <f>'[1]Des''14 Neraca'!W18</f>
        <v>0</v>
      </c>
      <c r="E18" s="53">
        <f>'[1]Des''14 Neraca'!X18</f>
        <v>0</v>
      </c>
      <c r="F18" s="53">
        <f>'[1]Des''14 Neraca'!Y18</f>
        <v>0</v>
      </c>
      <c r="G18" s="53">
        <f>'[1]Des''14 Neraca'!Z18</f>
        <v>0</v>
      </c>
      <c r="H18" s="53">
        <f>'[1]Des''14 Neraca'!AA18</f>
        <v>0</v>
      </c>
      <c r="I18" s="53">
        <f>'[1]Des''14 Neraca'!AB18</f>
        <v>0</v>
      </c>
      <c r="J18" s="53">
        <f>'[1]Des''14 Neraca'!AC18</f>
        <v>0</v>
      </c>
      <c r="K18" s="53">
        <f>'[1]Des''14 Neraca'!AD18</f>
        <v>0</v>
      </c>
      <c r="L18" s="53">
        <f>'[1]Des''14 Neraca'!AE18</f>
        <v>0</v>
      </c>
      <c r="M18" s="53">
        <f t="shared" si="0"/>
        <v>0</v>
      </c>
      <c r="N18" s="54">
        <f t="shared" si="0"/>
        <v>0</v>
      </c>
    </row>
    <row r="19" spans="1:14" x14ac:dyDescent="0.25">
      <c r="A19" s="51"/>
      <c r="B19" s="52"/>
      <c r="C19" s="53"/>
      <c r="D19" s="58"/>
      <c r="E19" s="53"/>
      <c r="F19" s="58"/>
      <c r="G19" s="53"/>
      <c r="H19" s="53"/>
      <c r="I19" s="53"/>
      <c r="J19" s="53"/>
      <c r="K19" s="53"/>
      <c r="L19" s="53"/>
      <c r="M19" s="53"/>
      <c r="N19" s="54"/>
    </row>
    <row r="20" spans="1:14" x14ac:dyDescent="0.25">
      <c r="A20" s="51"/>
      <c r="B20" s="52" t="s">
        <v>38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4"/>
    </row>
    <row r="21" spans="1:14" x14ac:dyDescent="0.25">
      <c r="A21" s="51"/>
      <c r="B21" s="52" t="s">
        <v>30</v>
      </c>
      <c r="C21" s="59">
        <f>'KOLEK-KAP'!C10+'KOLEK-KAP'!C12+'KOLEK-KAP'!C13+'KOLEK-KAP'!C16+'KOLEK-KAP'!C18+'KOLEK-KAP'!C19+'KOLEK-KAP'!C21+'KOLEK-KAP'!C30+'KOLEK-KAP'!C31+'KOLEK-KAP'!C32</f>
        <v>316</v>
      </c>
      <c r="D21" s="59">
        <f>'KOLEK-KAP'!D10+'KOLEK-KAP'!D12+'KOLEK-KAP'!D13+'KOLEK-KAP'!D16+'KOLEK-KAP'!D18+'KOLEK-KAP'!D19+'KOLEK-KAP'!D21+'KOLEK-KAP'!D30+'KOLEK-KAP'!D31+'KOLEK-KAP'!D32</f>
        <v>44245722442</v>
      </c>
      <c r="E21" s="60">
        <f>'KOLEK-KAP'!E10+'KOLEK-KAP'!E18+'KOLEK-KAP'!E30+'KOLEK-KAP'!E32+'KOLEK-KAP'!E19</f>
        <v>11</v>
      </c>
      <c r="F21" s="60">
        <f>'KOLEK-KAP'!F10+'KOLEK-KAP'!F18+'KOLEK-KAP'!F30+'KOLEK-KAP'!F32+'KOLEK-KAP'!F19</f>
        <v>448484753</v>
      </c>
      <c r="G21" s="60">
        <f>'KOLEK-KAP'!G10+'KOLEK-KAP'!G30+'KOLEK-KAP'!G32+'KOLEK-KAP'!G17+'KOLEK-KAP'!G18</f>
        <v>0</v>
      </c>
      <c r="H21" s="60">
        <f>'KOLEK-KAP'!H10+'KOLEK-KAP'!H30+'KOLEK-KAP'!H32+'KOLEK-KAP'!H17+'KOLEK-KAP'!H18</f>
        <v>0</v>
      </c>
      <c r="I21" s="59">
        <f>'KOLEK-KAP'!I10+'KOLEK-KAP'!I18+'KOLEK-KAP'!I30+'KOLEK-KAP'!I32</f>
        <v>1</v>
      </c>
      <c r="J21" s="59">
        <f>'KOLEK-KAP'!J10+'KOLEK-KAP'!J18+'KOLEK-KAP'!J30+'KOLEK-KAP'!J32</f>
        <v>17002030</v>
      </c>
      <c r="K21" s="60">
        <f>'KOLEK-KAP'!K10+'KOLEK-KAP'!K18+'KOLEK-KAP'!K30+'KOLEK-KAP'!K32</f>
        <v>14</v>
      </c>
      <c r="L21" s="60">
        <f>'KOLEK-KAP'!L10+'KOLEK-KAP'!L18+'KOLEK-KAP'!L30+'KOLEK-KAP'!L32</f>
        <v>770757262</v>
      </c>
      <c r="M21" s="61">
        <f t="shared" ref="M21:N23" si="1">+C21+E21+G21+I21+K21</f>
        <v>342</v>
      </c>
      <c r="N21" s="62">
        <f t="shared" si="1"/>
        <v>45481966487</v>
      </c>
    </row>
    <row r="22" spans="1:14" x14ac:dyDescent="0.25">
      <c r="A22" s="51"/>
      <c r="B22" s="52" t="s">
        <v>31</v>
      </c>
      <c r="C22" s="61">
        <v>0</v>
      </c>
      <c r="D22" s="61">
        <v>0</v>
      </c>
      <c r="E22" s="53">
        <v>0</v>
      </c>
      <c r="F22" s="53">
        <v>0</v>
      </c>
      <c r="G22" s="53">
        <v>0</v>
      </c>
      <c r="H22" s="53">
        <v>0</v>
      </c>
      <c r="I22" s="61"/>
      <c r="J22" s="61"/>
      <c r="K22" s="53">
        <v>0</v>
      </c>
      <c r="L22" s="53">
        <v>0</v>
      </c>
      <c r="M22" s="61">
        <f t="shared" si="1"/>
        <v>0</v>
      </c>
      <c r="N22" s="62">
        <f t="shared" si="1"/>
        <v>0</v>
      </c>
    </row>
    <row r="23" spans="1:14" x14ac:dyDescent="0.25">
      <c r="A23" s="51"/>
      <c r="B23" s="52" t="s">
        <v>33</v>
      </c>
      <c r="C23" s="61">
        <v>0</v>
      </c>
      <c r="D23" s="61">
        <v>0</v>
      </c>
      <c r="E23" s="53">
        <v>0</v>
      </c>
      <c r="F23" s="53">
        <v>0</v>
      </c>
      <c r="G23" s="53">
        <v>0</v>
      </c>
      <c r="H23" s="53">
        <v>0</v>
      </c>
      <c r="I23" s="61">
        <v>0</v>
      </c>
      <c r="J23" s="61">
        <v>0</v>
      </c>
      <c r="K23" s="53">
        <v>0</v>
      </c>
      <c r="L23" s="53">
        <v>0</v>
      </c>
      <c r="M23" s="61">
        <f t="shared" si="1"/>
        <v>0</v>
      </c>
      <c r="N23" s="62">
        <f t="shared" si="1"/>
        <v>0</v>
      </c>
    </row>
    <row r="24" spans="1:14" x14ac:dyDescent="0.25">
      <c r="A24" s="51"/>
      <c r="B24" s="52" t="s">
        <v>35</v>
      </c>
      <c r="C24" s="59">
        <f>'KOLEK-KAP'!C17+'KOLEK-KAP'!C22+'KOLEK-KAP'!C23+'KOLEK-KAP'!C24+'KOLEK-KAP'!C25+'KOLEK-KAP'!C26+'KOLEK-KAP'!C27+'KOLEK-KAP'!C28+'KOLEK-KAP'!C29</f>
        <v>1427</v>
      </c>
      <c r="D24" s="59">
        <f>'KOLEK-KAP'!D17+'KOLEK-KAP'!D22+'KOLEK-KAP'!D23+'KOLEK-KAP'!D24+'KOLEK-KAP'!D25+'KOLEK-KAP'!D26+'KOLEK-KAP'!D27+'KOLEK-KAP'!D28+'KOLEK-KAP'!D29</f>
        <v>135563506042</v>
      </c>
      <c r="E24" s="60">
        <f>'KOLEK-KAP'!E17+'KOLEK-KAP'!E22+'KOLEK-KAP'!E26+'KOLEK-KAP'!E27+'KOLEK-KAP'!E23</f>
        <v>11</v>
      </c>
      <c r="F24" s="60">
        <f>'KOLEK-KAP'!F17+'KOLEK-KAP'!F22+'KOLEK-KAP'!F26+'KOLEK-KAP'!F27+'KOLEK-KAP'!F23</f>
        <v>1558805474</v>
      </c>
      <c r="G24" s="60">
        <f>'KOLEK-KAP'!G22+'KOLEK-KAP'!G26</f>
        <v>0</v>
      </c>
      <c r="H24" s="60">
        <f>'KOLEK-KAP'!H22+'KOLEK-KAP'!H26</f>
        <v>0</v>
      </c>
      <c r="I24" s="59">
        <f>'KOLEK-KAP'!I22+'KOLEK-KAP'!I26</f>
        <v>0</v>
      </c>
      <c r="J24" s="59">
        <f>'KOLEK-KAP'!J22+'KOLEK-KAP'!J26</f>
        <v>0</v>
      </c>
      <c r="K24" s="60">
        <f>'KOLEK-KAP'!K17+'KOLEK-KAP'!K22+'KOLEK-KAP'!K26+'KOLEK-KAP'!K27</f>
        <v>9</v>
      </c>
      <c r="L24" s="60">
        <f>'KOLEK-KAP'!L17+'KOLEK-KAP'!L22+'KOLEK-KAP'!L26+'KOLEK-KAP'!L27</f>
        <v>1921933633</v>
      </c>
      <c r="M24" s="59">
        <f>C24+E24+G24+I24+K24</f>
        <v>1447</v>
      </c>
      <c r="N24" s="62">
        <f>+D24+F24+H24+J24+L24</f>
        <v>139044245149</v>
      </c>
    </row>
    <row r="25" spans="1:14" x14ac:dyDescent="0.25">
      <c r="A25" s="63"/>
      <c r="B25" s="64"/>
      <c r="C25" s="65"/>
      <c r="D25" s="66"/>
      <c r="E25" s="65"/>
      <c r="F25" s="66"/>
      <c r="G25" s="65"/>
      <c r="H25" s="66"/>
      <c r="I25" s="65"/>
      <c r="J25" s="66"/>
      <c r="K25" s="65" t="s">
        <v>2</v>
      </c>
      <c r="L25" s="66"/>
      <c r="M25" s="65"/>
      <c r="N25" s="67"/>
    </row>
    <row r="26" spans="1:14" ht="25.5" x14ac:dyDescent="0.25">
      <c r="A26" s="68"/>
      <c r="B26" s="69" t="s">
        <v>45</v>
      </c>
      <c r="C26" s="70">
        <f t="shared" ref="C26:J26" si="2">SUM(C15:C24)</f>
        <v>1743</v>
      </c>
      <c r="D26" s="70">
        <f t="shared" si="2"/>
        <v>179809228484</v>
      </c>
      <c r="E26" s="70">
        <f t="shared" si="2"/>
        <v>22</v>
      </c>
      <c r="F26" s="70">
        <f t="shared" si="2"/>
        <v>2007290227</v>
      </c>
      <c r="G26" s="70">
        <f t="shared" si="2"/>
        <v>0</v>
      </c>
      <c r="H26" s="70">
        <f t="shared" si="2"/>
        <v>0</v>
      </c>
      <c r="I26" s="70">
        <f t="shared" si="2"/>
        <v>1</v>
      </c>
      <c r="J26" s="70">
        <f t="shared" si="2"/>
        <v>17002030</v>
      </c>
      <c r="K26" s="70">
        <f>SUM(K8:K25)</f>
        <v>23</v>
      </c>
      <c r="L26" s="70">
        <f>SUM(L15:L24)</f>
        <v>2692690895</v>
      </c>
      <c r="M26" s="70">
        <f>C26+E26+G26+I26+K26</f>
        <v>1789</v>
      </c>
      <c r="N26" s="71">
        <f>D26+F26+H26+J26+L26</f>
        <v>184526211636</v>
      </c>
    </row>
    <row r="27" spans="1:14" x14ac:dyDescent="0.25">
      <c r="A27" s="41"/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4"/>
      <c r="M27" s="43"/>
      <c r="N27" s="45"/>
    </row>
    <row r="28" spans="1:14" x14ac:dyDescent="0.25">
      <c r="A28" s="51">
        <v>4</v>
      </c>
      <c r="B28" s="52" t="s">
        <v>48</v>
      </c>
      <c r="C28" s="53"/>
      <c r="D28" s="58"/>
      <c r="E28" s="53"/>
      <c r="F28" s="58"/>
      <c r="G28" s="53"/>
      <c r="H28" s="58"/>
      <c r="I28" s="53"/>
      <c r="J28" s="58"/>
      <c r="K28" s="53"/>
      <c r="L28" s="58"/>
      <c r="M28" s="53"/>
      <c r="N28" s="54"/>
    </row>
    <row r="29" spans="1:14" x14ac:dyDescent="0.25">
      <c r="A29" s="51"/>
      <c r="B29" s="52" t="s">
        <v>50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f>+C29+E29+G29+I29+K29</f>
        <v>0</v>
      </c>
      <c r="N29" s="54">
        <f>+D29+F29+H29+J29+L29</f>
        <v>0</v>
      </c>
    </row>
    <row r="30" spans="1:14" x14ac:dyDescent="0.25">
      <c r="A30" s="51"/>
      <c r="B30" s="52" t="s">
        <v>52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f>+C30+E30+G30+I30+K30</f>
        <v>0</v>
      </c>
      <c r="N30" s="54">
        <f>+D30+F30+H30+J30+L30</f>
        <v>0</v>
      </c>
    </row>
    <row r="31" spans="1:14" x14ac:dyDescent="0.25">
      <c r="A31" s="51"/>
      <c r="B31" s="52"/>
      <c r="C31" s="53"/>
      <c r="D31" s="58"/>
      <c r="E31" s="53"/>
      <c r="F31" s="53"/>
      <c r="G31" s="53"/>
      <c r="H31" s="53"/>
      <c r="I31" s="53"/>
      <c r="J31" s="53"/>
      <c r="K31" s="53"/>
      <c r="L31" s="53"/>
      <c r="M31" s="53"/>
      <c r="N31" s="54"/>
    </row>
    <row r="32" spans="1:14" x14ac:dyDescent="0.25">
      <c r="A32" s="51">
        <v>5</v>
      </c>
      <c r="B32" s="52" t="s">
        <v>54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4">
        <v>0</v>
      </c>
    </row>
    <row r="33" spans="1:15" x14ac:dyDescent="0.25">
      <c r="A33" s="51"/>
      <c r="B33" s="52"/>
      <c r="C33" s="53"/>
      <c r="D33" s="58"/>
      <c r="E33" s="53"/>
      <c r="F33" s="53"/>
      <c r="G33" s="53"/>
      <c r="H33" s="53"/>
      <c r="I33" s="53"/>
      <c r="J33" s="53"/>
      <c r="K33" s="53"/>
      <c r="L33" s="53"/>
      <c r="M33" s="53"/>
      <c r="N33" s="54"/>
    </row>
    <row r="34" spans="1:15" x14ac:dyDescent="0.25">
      <c r="A34" s="51">
        <v>6</v>
      </c>
      <c r="B34" s="52" t="s">
        <v>55</v>
      </c>
      <c r="C34" s="8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4">
        <v>0</v>
      </c>
    </row>
    <row r="35" spans="1:15" x14ac:dyDescent="0.25">
      <c r="A35" s="63"/>
      <c r="B35" s="64"/>
      <c r="C35" s="65"/>
      <c r="D35" s="66"/>
      <c r="E35" s="65"/>
      <c r="F35" s="66"/>
      <c r="G35" s="65"/>
      <c r="H35" s="66"/>
      <c r="I35" s="65"/>
      <c r="J35" s="66"/>
      <c r="K35" s="65"/>
      <c r="L35" s="66"/>
      <c r="M35" s="65"/>
      <c r="N35" s="67"/>
    </row>
    <row r="36" spans="1:15" x14ac:dyDescent="0.25">
      <c r="A36" s="68"/>
      <c r="B36" s="69" t="s">
        <v>56</v>
      </c>
      <c r="C36" s="70">
        <f>+C9+C26+C29+C30+C32+C34</f>
        <v>1743</v>
      </c>
      <c r="D36" s="70">
        <f>D34+D26</f>
        <v>179809228484</v>
      </c>
      <c r="E36" s="70">
        <f t="shared" ref="E36:N36" si="3">+E9+E26+E29+E30+E32+E34</f>
        <v>22</v>
      </c>
      <c r="F36" s="70">
        <f t="shared" si="3"/>
        <v>2007290227</v>
      </c>
      <c r="G36" s="70">
        <f t="shared" si="3"/>
        <v>0</v>
      </c>
      <c r="H36" s="70">
        <f t="shared" si="3"/>
        <v>0</v>
      </c>
      <c r="I36" s="70">
        <f t="shared" si="3"/>
        <v>1</v>
      </c>
      <c r="J36" s="70">
        <f t="shared" si="3"/>
        <v>17002030</v>
      </c>
      <c r="K36" s="70">
        <f t="shared" si="3"/>
        <v>23</v>
      </c>
      <c r="L36" s="70">
        <f t="shared" si="3"/>
        <v>2692690895</v>
      </c>
      <c r="M36" s="70">
        <f t="shared" si="3"/>
        <v>1789</v>
      </c>
      <c r="N36" s="71">
        <f t="shared" si="3"/>
        <v>184526211636</v>
      </c>
    </row>
    <row r="37" spans="1:15" x14ac:dyDescent="0.25">
      <c r="A37" s="41"/>
      <c r="B37" s="42"/>
      <c r="C37" s="96"/>
      <c r="D37" s="97"/>
      <c r="E37" s="44"/>
      <c r="F37" s="44"/>
      <c r="G37" s="44"/>
      <c r="H37" s="44"/>
      <c r="I37" s="44"/>
      <c r="J37" s="44"/>
      <c r="K37" s="44"/>
      <c r="L37" s="44"/>
      <c r="M37" s="44"/>
      <c r="N37" s="45"/>
    </row>
    <row r="38" spans="1:15" x14ac:dyDescent="0.25">
      <c r="A38" s="51"/>
      <c r="B38" s="52" t="s">
        <v>60</v>
      </c>
      <c r="C38" s="99"/>
      <c r="D38" s="53">
        <v>0</v>
      </c>
      <c r="E38" s="58"/>
      <c r="F38" s="58">
        <v>0</v>
      </c>
      <c r="G38" s="53"/>
      <c r="H38" s="58">
        <v>0</v>
      </c>
      <c r="I38" s="53"/>
      <c r="J38" s="58">
        <v>0</v>
      </c>
      <c r="K38" s="53"/>
      <c r="L38" s="58">
        <v>0</v>
      </c>
      <c r="M38" s="53"/>
      <c r="N38" s="54">
        <f>+L38+J38+H38+F38+D38</f>
        <v>0</v>
      </c>
    </row>
    <row r="39" spans="1:15" x14ac:dyDescent="0.25">
      <c r="A39" s="51"/>
      <c r="B39" s="52" t="s">
        <v>61</v>
      </c>
      <c r="C39" s="99"/>
      <c r="D39" s="53">
        <f>+D36</f>
        <v>179809228484</v>
      </c>
      <c r="E39" s="58"/>
      <c r="F39" s="58">
        <f>+F36</f>
        <v>2007290227</v>
      </c>
      <c r="G39" s="53"/>
      <c r="H39" s="58">
        <f>+H36-H38</f>
        <v>0</v>
      </c>
      <c r="I39" s="53"/>
      <c r="J39" s="58">
        <f>+J36-J38</f>
        <v>17002030</v>
      </c>
      <c r="K39" s="58" t="s">
        <v>2</v>
      </c>
      <c r="L39" s="58">
        <f>+L36-L38</f>
        <v>2692690895</v>
      </c>
      <c r="M39" s="53"/>
      <c r="N39" s="54">
        <f>+N36-N38</f>
        <v>184526211636</v>
      </c>
    </row>
    <row r="40" spans="1:15" x14ac:dyDescent="0.25">
      <c r="A40" s="51"/>
      <c r="B40" s="52" t="s">
        <v>62</v>
      </c>
      <c r="C40" s="99"/>
      <c r="D40" s="53">
        <f>+D39*1%</f>
        <v>1798092284.8400002</v>
      </c>
      <c r="E40" s="58"/>
      <c r="F40" s="53">
        <f>+F39*5%+2444221482+19523164</f>
        <v>2564109157.3499999</v>
      </c>
      <c r="G40" s="53"/>
      <c r="H40" s="53">
        <f>+H39*15%</f>
        <v>0</v>
      </c>
      <c r="I40" s="53"/>
      <c r="J40" s="53">
        <f>+J39*50%</f>
        <v>8501015</v>
      </c>
      <c r="K40" s="53"/>
      <c r="L40" s="53">
        <f>+L39*100%</f>
        <v>2692690895</v>
      </c>
      <c r="M40" s="53"/>
      <c r="N40" s="54">
        <f>+D40+F40+H40+J40+L40</f>
        <v>7063393352.1900005</v>
      </c>
    </row>
    <row r="41" spans="1:15" x14ac:dyDescent="0.25">
      <c r="A41" s="51"/>
      <c r="B41" s="52" t="s">
        <v>64</v>
      </c>
      <c r="C41" s="99"/>
      <c r="D41" s="107">
        <f>+D40/N40*100</f>
        <v>25.456493716048005</v>
      </c>
      <c r="E41" s="108"/>
      <c r="F41" s="108">
        <f>+F40/N40*100</f>
        <v>36.301378523043738</v>
      </c>
      <c r="G41" s="107"/>
      <c r="H41" s="108">
        <f>+H40/N40*100</f>
        <v>0</v>
      </c>
      <c r="I41" s="107"/>
      <c r="J41" s="108">
        <f>+J40/N40*100</f>
        <v>0.12035313023257108</v>
      </c>
      <c r="K41" s="107"/>
      <c r="L41" s="108">
        <f>+L40/N40*100</f>
        <v>38.121774630675681</v>
      </c>
      <c r="M41" s="107"/>
      <c r="N41" s="109">
        <f>+D41+F41+J41+L41+H41</f>
        <v>100</v>
      </c>
    </row>
    <row r="42" spans="1:15" x14ac:dyDescent="0.25">
      <c r="A42" s="63"/>
      <c r="B42" s="64" t="s">
        <v>66</v>
      </c>
      <c r="C42" s="110"/>
      <c r="D42" s="65">
        <f>+N42*D41/100</f>
        <v>0</v>
      </c>
      <c r="E42" s="66"/>
      <c r="F42" s="66">
        <f>+F41*N42/100</f>
        <v>0</v>
      </c>
      <c r="G42" s="65"/>
      <c r="H42" s="66">
        <f>+H41*N42/100</f>
        <v>0</v>
      </c>
      <c r="I42" s="65"/>
      <c r="J42" s="66">
        <f>+J41*N42/100</f>
        <v>0</v>
      </c>
      <c r="K42" s="65"/>
      <c r="L42" s="66">
        <f>+L41*N42/100</f>
        <v>0</v>
      </c>
      <c r="M42" s="65"/>
      <c r="N42" s="67">
        <f>+'KOLEK-KAP'!D62</f>
        <v>0</v>
      </c>
      <c r="O42" s="111"/>
    </row>
    <row r="43" spans="1:15" x14ac:dyDescent="0.25">
      <c r="A43" s="114"/>
      <c r="B43" s="115" t="s">
        <v>68</v>
      </c>
      <c r="C43" s="116"/>
      <c r="D43" s="117">
        <f>+D42-D40</f>
        <v>-1798092284.8400002</v>
      </c>
      <c r="E43" s="118"/>
      <c r="F43" s="117">
        <f>+F42-F40</f>
        <v>-2564109157.3499999</v>
      </c>
      <c r="G43" s="117">
        <f>+G40-G42</f>
        <v>0</v>
      </c>
      <c r="H43" s="117">
        <f>+H42-H40</f>
        <v>0</v>
      </c>
      <c r="I43" s="117"/>
      <c r="J43" s="117">
        <f>+J42-J40</f>
        <v>-8501015</v>
      </c>
      <c r="K43" s="117"/>
      <c r="L43" s="117">
        <f>+L42-L40</f>
        <v>-2692690895</v>
      </c>
      <c r="M43" s="117"/>
      <c r="N43" s="119">
        <f>+N42-N40</f>
        <v>-7063393352.1900005</v>
      </c>
    </row>
    <row r="44" spans="1:15" x14ac:dyDescent="0.25">
      <c r="A44" s="123"/>
      <c r="B44" s="42" t="s">
        <v>70</v>
      </c>
      <c r="C44" s="96"/>
      <c r="D44" s="43" t="s">
        <v>2</v>
      </c>
      <c r="E44" s="43"/>
      <c r="F44" s="44"/>
      <c r="G44" s="43"/>
      <c r="H44" s="96"/>
      <c r="I44" s="43"/>
      <c r="J44" s="44"/>
      <c r="K44" s="43"/>
      <c r="L44" s="96"/>
      <c r="M44" s="43"/>
      <c r="N44" s="124" t="s">
        <v>2</v>
      </c>
    </row>
    <row r="45" spans="1:15" ht="15.75" thickBot="1" x14ac:dyDescent="0.3">
      <c r="A45" s="125"/>
      <c r="B45" s="126" t="s">
        <v>72</v>
      </c>
      <c r="C45" s="127"/>
      <c r="D45" s="128">
        <f>+D40</f>
        <v>1798092284.8400002</v>
      </c>
      <c r="E45" s="128"/>
      <c r="F45" s="129">
        <f>+F40</f>
        <v>2564109157.3499999</v>
      </c>
      <c r="G45" s="128"/>
      <c r="H45" s="130">
        <f>+H40</f>
        <v>0</v>
      </c>
      <c r="I45" s="128"/>
      <c r="J45" s="129">
        <f>+J40</f>
        <v>8501015</v>
      </c>
      <c r="K45" s="128"/>
      <c r="L45" s="129">
        <f>+L40</f>
        <v>2692690895</v>
      </c>
      <c r="M45" s="128"/>
      <c r="N45" s="131">
        <f>D45+F45+H45+J45+L45</f>
        <v>7063393352.1900005</v>
      </c>
    </row>
    <row r="46" spans="1:15" x14ac:dyDescent="0.25">
      <c r="A46" s="134"/>
      <c r="B46" s="135" t="s">
        <v>2</v>
      </c>
      <c r="C46" s="136"/>
      <c r="D46" s="137" t="s">
        <v>2</v>
      </c>
      <c r="E46" s="138"/>
      <c r="F46" s="137" t="s">
        <v>2</v>
      </c>
      <c r="G46" s="138"/>
      <c r="H46" s="138" t="s">
        <v>2</v>
      </c>
      <c r="I46" s="138"/>
      <c r="J46" s="137" t="s">
        <v>2</v>
      </c>
      <c r="K46" s="138"/>
      <c r="L46" s="138" t="s">
        <v>2</v>
      </c>
      <c r="M46" s="138"/>
      <c r="N46" s="139" t="s">
        <v>2</v>
      </c>
    </row>
    <row r="47" spans="1:15" x14ac:dyDescent="0.25">
      <c r="A47" s="140"/>
      <c r="B47" s="141"/>
      <c r="C47" s="3"/>
      <c r="D47" s="3"/>
      <c r="E47" s="142"/>
      <c r="F47" s="3"/>
      <c r="G47" s="3"/>
      <c r="H47" s="3"/>
      <c r="I47" s="3"/>
      <c r="J47" s="3"/>
      <c r="K47" s="3"/>
      <c r="L47" s="241"/>
      <c r="M47" s="241"/>
      <c r="N47" s="241"/>
    </row>
    <row r="48" spans="1:15" x14ac:dyDescent="0.25">
      <c r="A48" s="140"/>
      <c r="B48" s="146" t="s">
        <v>75</v>
      </c>
      <c r="C48" s="147" t="s">
        <v>76</v>
      </c>
      <c r="D48" s="148"/>
      <c r="E48" s="149" t="s">
        <v>77</v>
      </c>
      <c r="F48" s="148"/>
      <c r="H48" s="150"/>
      <c r="I48" s="150"/>
      <c r="J48" s="150"/>
      <c r="K48" s="151"/>
      <c r="L48" s="242" t="str">
        <f>'KOLEK-KAP'!O59</f>
        <v xml:space="preserve"> Surakarta,  05 Oktober 2020</v>
      </c>
      <c r="M48" s="242"/>
      <c r="N48" s="242"/>
      <c r="O48" s="242"/>
    </row>
    <row r="49" spans="1:15" x14ac:dyDescent="0.25">
      <c r="A49" s="152"/>
      <c r="B49" s="153" t="s">
        <v>2</v>
      </c>
      <c r="C49" s="154" t="s">
        <v>20</v>
      </c>
      <c r="D49" s="155" t="s">
        <v>19</v>
      </c>
      <c r="E49" s="156" t="s">
        <v>20</v>
      </c>
      <c r="F49" s="155" t="s">
        <v>19</v>
      </c>
      <c r="G49" s="157"/>
      <c r="H49" s="244"/>
      <c r="I49" s="244"/>
      <c r="J49" s="244"/>
      <c r="K49" s="158"/>
    </row>
    <row r="50" spans="1:15" x14ac:dyDescent="0.25">
      <c r="A50" s="140"/>
      <c r="B50" s="162" t="s">
        <v>82</v>
      </c>
      <c r="C50" s="163">
        <f>(+F36*25%+H36*50%+J36*75%+L36*100%)/N36*100</f>
        <v>1.7381080692084618</v>
      </c>
      <c r="D50" s="164">
        <v>0</v>
      </c>
      <c r="E50" s="165">
        <f>(+F26*25%+H26*50%+J26*75%+L26*100%)/N26*100</f>
        <v>1.7381080692084618</v>
      </c>
      <c r="F50" s="166">
        <v>0</v>
      </c>
      <c r="I50" s="167"/>
      <c r="J50" s="167"/>
      <c r="K50" s="168"/>
      <c r="L50" s="243" t="s">
        <v>83</v>
      </c>
      <c r="M50" s="243"/>
      <c r="N50" s="243"/>
      <c r="O50" s="243"/>
    </row>
    <row r="51" spans="1:15" x14ac:dyDescent="0.25">
      <c r="A51" s="140"/>
      <c r="B51" s="30" t="s">
        <v>87</v>
      </c>
      <c r="C51" s="163">
        <f>D51/N36*(100)</f>
        <v>1.4684596301934563</v>
      </c>
      <c r="D51" s="170">
        <f>H36+J36+L36</f>
        <v>2709692925</v>
      </c>
      <c r="E51" s="165">
        <f>F51/N26*100</f>
        <v>1.4684596301934563</v>
      </c>
      <c r="F51" s="170">
        <f>H26+J26+L26</f>
        <v>2709692925</v>
      </c>
      <c r="L51" s="243" t="s">
        <v>88</v>
      </c>
      <c r="M51" s="243"/>
      <c r="N51" s="243"/>
      <c r="O51" s="243"/>
    </row>
    <row r="52" spans="1:15" x14ac:dyDescent="0.25">
      <c r="A52" s="140"/>
      <c r="B52" s="172" t="s">
        <v>90</v>
      </c>
      <c r="C52" s="173">
        <f>D52/N36*100</f>
        <v>1.4684596301934563</v>
      </c>
      <c r="D52" s="174">
        <f>D51-H42-J42-L42</f>
        <v>2709692925</v>
      </c>
      <c r="E52" s="175">
        <f>F52/N36*100</f>
        <v>4.6069417047206645E-3</v>
      </c>
      <c r="F52" s="174">
        <f>F51-H45-J45-L45</f>
        <v>8501015</v>
      </c>
      <c r="L52" s="243" t="s">
        <v>91</v>
      </c>
      <c r="M52" s="243"/>
      <c r="N52" s="243"/>
      <c r="O52" s="243"/>
    </row>
    <row r="53" spans="1:15" x14ac:dyDescent="0.25">
      <c r="A53" s="152"/>
      <c r="B53" s="179"/>
      <c r="C53" s="157"/>
      <c r="D53" s="180"/>
      <c r="E53" s="157"/>
      <c r="F53" s="180"/>
      <c r="G53" s="157"/>
      <c r="H53" s="180"/>
      <c r="I53" s="157"/>
      <c r="J53" s="180"/>
      <c r="K53" s="157"/>
      <c r="M53" s="181"/>
      <c r="N53" s="181"/>
      <c r="O53" s="181"/>
    </row>
    <row r="54" spans="1:15" x14ac:dyDescent="0.25">
      <c r="B54" s="186"/>
      <c r="C54" s="187"/>
      <c r="D54" s="187"/>
    </row>
    <row r="57" spans="1:15" x14ac:dyDescent="0.25">
      <c r="L57" s="245" t="s">
        <v>97</v>
      </c>
      <c r="M57" s="245"/>
      <c r="N57" s="245"/>
      <c r="O57" s="245"/>
    </row>
  </sheetData>
  <mergeCells count="19">
    <mergeCell ref="L51:O51"/>
    <mergeCell ref="L52:O52"/>
    <mergeCell ref="L57:O57"/>
    <mergeCell ref="K6:L6"/>
    <mergeCell ref="M6:N6"/>
    <mergeCell ref="L47:N47"/>
    <mergeCell ref="L48:O48"/>
    <mergeCell ref="B5:B7"/>
    <mergeCell ref="L50:O50"/>
    <mergeCell ref="A1:N1"/>
    <mergeCell ref="A2:N2"/>
    <mergeCell ref="A3:N3"/>
    <mergeCell ref="H49:J49"/>
    <mergeCell ref="C5:N5"/>
    <mergeCell ref="C6:D6"/>
    <mergeCell ref="E6:F6"/>
    <mergeCell ref="G6:H6"/>
    <mergeCell ref="I6:J6"/>
    <mergeCell ref="A5:A7"/>
  </mergeCells>
  <hyperlinks>
    <hyperlink ref="C21" r:id="rId1" display="=@SUM(C14:C20)+@SUM(C29:C31)"/>
    <hyperlink ref="C24" r:id="rId2" display="=@SUM(C21:C28)"/>
    <hyperlink ref="I24" r:id="rId3" display="=@SUM(C21:C28)"/>
    <hyperlink ref="M24" r:id="rId4" display="=@SUM(C21:C28)"/>
    <hyperlink ref="J21" r:id="rId5" display="=@SUM(C14:C20)+@SUM(C29:C31)"/>
    <hyperlink ref="J24" r:id="rId6" display="=@SUM(C21:C28)"/>
    <hyperlink ref="D21" r:id="rId7" display="=@SUM(C14:C20)+@SUM(C29:C31)"/>
    <hyperlink ref="D24" r:id="rId8" display="=@SUM(C21:C28)"/>
    <hyperlink ref="E21" r:id="rId9" display="=@SUM(C14:C20)+@SUM(C29:C31)"/>
    <hyperlink ref="E24" r:id="rId10" display="=@SUM(C21:C28)"/>
    <hyperlink ref="G21" r:id="rId11" display="=@SUM(C14:C20)+@SUM(C29:C31)"/>
    <hyperlink ref="G24" r:id="rId12" display="=@SUM(C21:C28)"/>
    <hyperlink ref="H21" r:id="rId13" display="=@SUM(C14:C20)+@SUM(C29:C31)"/>
    <hyperlink ref="H24" r:id="rId14" display="=@SUM(C21:C28)"/>
    <hyperlink ref="F21" r:id="rId15" display="=@SUM(C14:C20)+@SUM(C29:C31)"/>
    <hyperlink ref="F24" r:id="rId16" display="=@SUM(C21:C28)"/>
    <hyperlink ref="K21" r:id="rId17" display="=@SUM(C14:C20)+@SUM(C29:C31)"/>
    <hyperlink ref="K24" r:id="rId18" display="=@SUM(C21:C28)"/>
    <hyperlink ref="L21" r:id="rId19" display="=@SUM(C14:C20)+@SUM(C29:C31)"/>
    <hyperlink ref="L24" r:id="rId20" display="=@SUM(C21:C28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KOLEK-KAP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2021-09-19T03:32:14Z</cp:lastPrinted>
  <dcterms:created xsi:type="dcterms:W3CDTF">2020-03-17T08:45:26Z</dcterms:created>
  <dcterms:modified xsi:type="dcterms:W3CDTF">2021-09-19T03:32:52Z</dcterms:modified>
</cp:coreProperties>
</file>