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login_2024\modelos\ModeloLogin_Cenario_2030_graficos_container\"/>
    </mc:Choice>
  </mc:AlternateContent>
  <xr:revisionPtr revIDLastSave="0" documentId="13_ncr:1_{09CE9A37-5372-4A39-B29A-002BBF68AC8E}" xr6:coauthVersionLast="47" xr6:coauthVersionMax="47" xr10:uidLastSave="{00000000-0000-0000-0000-000000000000}"/>
  <bookViews>
    <workbookView xWindow="-120" yWindow="-120" windowWidth="20730" windowHeight="11160" xr2:uid="{F018BFEA-7248-4E97-AD39-0CB3F87044D5}"/>
  </bookViews>
  <sheets>
    <sheet name="valores_entradad" sheetId="4" r:id="rId1"/>
    <sheet name="rascunho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5" i="4" l="1"/>
  <c r="Q46" i="4"/>
  <c r="Q47" i="4"/>
  <c r="Q48" i="4"/>
  <c r="Q49" i="4"/>
  <c r="Q50" i="4"/>
  <c r="Q44" i="4"/>
  <c r="U39" i="4"/>
  <c r="U40" i="4"/>
  <c r="U41" i="4"/>
  <c r="U42" i="4"/>
  <c r="U43" i="4"/>
  <c r="U44" i="4"/>
  <c r="U45" i="4"/>
  <c r="U46" i="4"/>
  <c r="U47" i="4"/>
  <c r="U48" i="4"/>
  <c r="U49" i="4"/>
  <c r="U38" i="4"/>
  <c r="AB44" i="4"/>
  <c r="AB40" i="4"/>
  <c r="AC44" i="4"/>
  <c r="AB45" i="4"/>
  <c r="AC45" i="4"/>
  <c r="AC40" i="4"/>
  <c r="AC41" i="4"/>
  <c r="AC42" i="4"/>
  <c r="AC43" i="4"/>
  <c r="AC39" i="4"/>
  <c r="AB41" i="4"/>
  <c r="AB42" i="4"/>
  <c r="AB43" i="4"/>
  <c r="AB39" i="4"/>
  <c r="AC27" i="4"/>
  <c r="AC29" i="4" s="1"/>
  <c r="AB27" i="4"/>
  <c r="AF32" i="4"/>
  <c r="Q25" i="4"/>
  <c r="Q26" i="4" s="1"/>
  <c r="Q27" i="4" s="1"/>
  <c r="Q28" i="4" s="1"/>
  <c r="R37" i="4"/>
  <c r="Q36" i="4"/>
  <c r="Q37" i="4" s="1"/>
  <c r="S20" i="4"/>
  <c r="N32" i="4"/>
  <c r="O32" i="4" s="1"/>
  <c r="K5" i="4"/>
  <c r="K2" i="4"/>
  <c r="N3" i="4"/>
  <c r="AE21" i="4"/>
  <c r="K4" i="4"/>
  <c r="P37" i="4" l="1"/>
  <c r="W3" i="4"/>
  <c r="AF16" i="4"/>
  <c r="U19" i="4"/>
  <c r="AB28" i="4" s="1"/>
  <c r="AB29" i="4" s="1"/>
  <c r="AF20" i="4"/>
  <c r="AF21" i="4" s="1"/>
  <c r="S2" i="4"/>
  <c r="R2" i="4"/>
  <c r="E30" i="4"/>
  <c r="M5" i="4" s="1"/>
  <c r="N2" i="4" s="1"/>
  <c r="O2" i="4" s="1"/>
  <c r="E29" i="4"/>
  <c r="M4" i="4"/>
  <c r="N1" i="4" s="1"/>
  <c r="E36" i="4"/>
  <c r="E35" i="4"/>
  <c r="E39" i="4" s="1"/>
  <c r="E33" i="4"/>
  <c r="E32" i="4"/>
  <c r="G23" i="4"/>
  <c r="H23" i="4"/>
  <c r="G24" i="4"/>
  <c r="H24" i="4"/>
  <c r="F23" i="4"/>
  <c r="F24" i="4"/>
  <c r="AH12" i="4"/>
  <c r="P4" i="1"/>
  <c r="O4" i="1"/>
  <c r="L25" i="4"/>
  <c r="M24" i="4"/>
  <c r="AG11" i="4"/>
  <c r="AG13" i="4" s="1"/>
  <c r="AA24" i="4" s="1"/>
  <c r="P18" i="4"/>
  <c r="P19" i="4" s="1"/>
  <c r="T20" i="4"/>
  <c r="V20" i="4" s="1"/>
  <c r="T19" i="4"/>
  <c r="S23" i="4"/>
  <c r="S22" i="4"/>
  <c r="S18" i="4"/>
  <c r="O18" i="4"/>
  <c r="G5" i="4"/>
  <c r="O6" i="4"/>
  <c r="H15" i="1"/>
  <c r="I15" i="1"/>
  <c r="H14" i="1"/>
  <c r="N6" i="1"/>
  <c r="M16" i="4"/>
  <c r="N15" i="4"/>
  <c r="O15" i="4" s="1"/>
  <c r="H15" i="4"/>
  <c r="M12" i="4"/>
  <c r="L12" i="4"/>
  <c r="M9" i="4"/>
  <c r="L9" i="4"/>
  <c r="I9" i="4"/>
  <c r="N6" i="4"/>
  <c r="C6" i="4"/>
  <c r="C9" i="4" s="1"/>
  <c r="N5" i="4"/>
  <c r="I3" i="4"/>
  <c r="H3" i="4"/>
  <c r="M6" i="1"/>
  <c r="L6" i="1"/>
  <c r="I7" i="1"/>
  <c r="H4" i="1"/>
  <c r="I4" i="1"/>
  <c r="K4" i="1"/>
  <c r="K6" i="1" s="1"/>
  <c r="Q5" i="1"/>
  <c r="Q4" i="1"/>
  <c r="P5" i="1"/>
  <c r="O5" i="1"/>
  <c r="I3" i="1"/>
  <c r="H3" i="1"/>
  <c r="L29" i="1"/>
  <c r="L27" i="1"/>
  <c r="O30" i="1"/>
  <c r="O29" i="1"/>
  <c r="O23" i="1"/>
  <c r="M10" i="1"/>
  <c r="L10" i="1"/>
  <c r="M7" i="1"/>
  <c r="L7" i="1"/>
  <c r="K20" i="1"/>
  <c r="K19" i="1"/>
  <c r="J20" i="1"/>
  <c r="J19" i="1"/>
  <c r="K17" i="1"/>
  <c r="M17" i="1"/>
  <c r="M14" i="1"/>
  <c r="O13" i="1"/>
  <c r="N13" i="1"/>
  <c r="H13" i="1"/>
  <c r="N5" i="1"/>
  <c r="N4" i="1"/>
  <c r="M5" i="1"/>
  <c r="C5" i="1"/>
  <c r="C7" i="1"/>
  <c r="E38" i="4" l="1"/>
  <c r="U20" i="4"/>
  <c r="O5" i="4"/>
  <c r="Q5" i="4"/>
  <c r="Q6" i="4"/>
  <c r="Q11" i="4"/>
  <c r="K19" i="4"/>
  <c r="AC10" i="4"/>
  <c r="K18" i="4"/>
  <c r="AB10" i="4"/>
  <c r="F30" i="4"/>
  <c r="F39" i="4" s="1"/>
  <c r="W19" i="4"/>
  <c r="P5" i="4"/>
  <c r="P6" i="4"/>
  <c r="K6" i="4"/>
  <c r="G11" i="4"/>
  <c r="K7" i="4"/>
  <c r="AH11" i="4"/>
  <c r="V19" i="4"/>
  <c r="V31" i="4"/>
  <c r="W20" i="4"/>
  <c r="X20" i="4"/>
  <c r="M4" i="1"/>
  <c r="AD3" i="4" l="1"/>
  <c r="AD2" i="4" s="1"/>
  <c r="AB6" i="4"/>
  <c r="R10" i="4"/>
  <c r="AD17" i="4" s="1"/>
  <c r="Q7" i="4"/>
  <c r="U5" i="4"/>
  <c r="AD12" i="4"/>
  <c r="AB12" i="4" s="1"/>
  <c r="AB13" i="4" s="1"/>
  <c r="K8" i="4"/>
  <c r="Y19" i="4"/>
  <c r="Z19" i="4" s="1"/>
  <c r="AA19" i="4" s="1"/>
  <c r="K20" i="4"/>
  <c r="L20" i="4" s="1"/>
  <c r="Y22" i="4"/>
  <c r="M6" i="4"/>
  <c r="AB11" i="4"/>
  <c r="AB5" i="4" s="1"/>
  <c r="AD10" i="4"/>
  <c r="AD13" i="4" s="1"/>
  <c r="AA15" i="4" s="1"/>
  <c r="F38" i="4"/>
  <c r="S6" i="4"/>
  <c r="M7" i="4"/>
  <c r="X19" i="4"/>
  <c r="AB7" i="4" l="1"/>
  <c r="Y20" i="4"/>
  <c r="Z20" i="4" s="1"/>
  <c r="AD16" i="4"/>
  <c r="AE17" i="4" s="1"/>
  <c r="AF17" i="4" s="1"/>
  <c r="R27" i="4"/>
  <c r="S27" i="4" s="1"/>
  <c r="T27" i="4" s="1"/>
  <c r="U27" i="4" s="1"/>
  <c r="V27" i="4" s="1"/>
  <c r="M8" i="4"/>
  <c r="Q29" i="4"/>
  <c r="R29" i="4" s="1"/>
  <c r="S29" i="4" s="1"/>
  <c r="T29" i="4" s="1"/>
  <c r="U29" i="4" s="1"/>
  <c r="V29" i="4" s="1"/>
  <c r="U6" i="4"/>
  <c r="W4" i="4"/>
  <c r="R24" i="4"/>
  <c r="S24" i="4" s="1"/>
  <c r="Q14" i="4" s="1"/>
  <c r="O25" i="4"/>
  <c r="R25" i="4"/>
  <c r="AE12" i="4"/>
  <c r="AE10" i="4"/>
  <c r="R26" i="4"/>
  <c r="S26" i="4" s="1"/>
  <c r="T26" i="4" s="1"/>
  <c r="U26" i="4" s="1"/>
  <c r="V26" i="4" s="1"/>
  <c r="U9" i="4"/>
  <c r="U10" i="4" s="1"/>
  <c r="S25" i="4" l="1"/>
  <c r="T25" i="4" s="1"/>
  <c r="U25" i="4" s="1"/>
  <c r="V25" i="4" s="1"/>
  <c r="Q10" i="4"/>
  <c r="P10" i="4"/>
  <c r="P7" i="4"/>
  <c r="O8" i="4" s="1"/>
  <c r="P32" i="4"/>
  <c r="R28" i="4"/>
  <c r="O24" i="4"/>
  <c r="T24" i="4"/>
  <c r="U24" i="4" s="1"/>
  <c r="V24" i="4" s="1"/>
  <c r="W24" i="4" s="1"/>
  <c r="O26" i="4"/>
  <c r="O27" i="4"/>
  <c r="S35" i="4"/>
  <c r="S33" i="4"/>
  <c r="T33" i="4" s="1"/>
  <c r="S34" i="4"/>
  <c r="X24" i="4" l="1"/>
  <c r="S28" i="4"/>
  <c r="T28" i="4" s="1"/>
  <c r="U28" i="4" s="1"/>
  <c r="V28" i="4" s="1"/>
  <c r="O28" i="4"/>
  <c r="S36" i="4" l="1"/>
</calcChain>
</file>

<file path=xl/sharedStrings.xml><?xml version="1.0" encoding="utf-8"?>
<sst xmlns="http://schemas.openxmlformats.org/spreadsheetml/2006/main" count="178" uniqueCount="123">
  <si>
    <t>bloc/h</t>
  </si>
  <si>
    <t>bloc</t>
  </si>
  <si>
    <t>guind</t>
  </si>
  <si>
    <t>tx</t>
  </si>
  <si>
    <t>navio</t>
  </si>
  <si>
    <t>comboio</t>
  </si>
  <si>
    <t>Containers</t>
  </si>
  <si>
    <t>Numero de containers por bloco</t>
  </si>
  <si>
    <t>Numero de blocos</t>
  </si>
  <si>
    <t>t total</t>
  </si>
  <si>
    <t>moda</t>
  </si>
  <si>
    <t>min</t>
  </si>
  <si>
    <t>max</t>
  </si>
  <si>
    <t>nav1</t>
  </si>
  <si>
    <t>nav2</t>
  </si>
  <si>
    <t>h semana</t>
  </si>
  <si>
    <t>segunda chegada</t>
  </si>
  <si>
    <t>Tviag AM-HUB</t>
  </si>
  <si>
    <t>Horario chegada</t>
  </si>
  <si>
    <t xml:space="preserve"> primeiro comboio</t>
  </si>
  <si>
    <t>saiu am</t>
  </si>
  <si>
    <t>tempo desc comb</t>
  </si>
  <si>
    <t>horas</t>
  </si>
  <si>
    <t>Tempo Navio</t>
  </si>
  <si>
    <t>carga e desc</t>
  </si>
  <si>
    <t>tviag</t>
  </si>
  <si>
    <t>T Bloco</t>
  </si>
  <si>
    <t>navio em feus</t>
  </si>
  <si>
    <t>indice</t>
  </si>
  <si>
    <t>feus</t>
  </si>
  <si>
    <t>teus</t>
  </si>
  <si>
    <t>navioLC</t>
  </si>
  <si>
    <t>navio CB</t>
  </si>
  <si>
    <t>proporc</t>
  </si>
  <si>
    <t>comboio LC</t>
  </si>
  <si>
    <t>comboio CB</t>
  </si>
  <si>
    <t>capacidade do comboio</t>
  </si>
  <si>
    <t>vindos de belem</t>
  </si>
  <si>
    <t>LC</t>
  </si>
  <si>
    <t>CB</t>
  </si>
  <si>
    <t>cada guindaste faz 12 containers hora</t>
  </si>
  <si>
    <t>Valor total por Navio= BELEM + AM</t>
  </si>
  <si>
    <t>nav lc</t>
  </si>
  <si>
    <t>nav cab</t>
  </si>
  <si>
    <t>dias</t>
  </si>
  <si>
    <t>após</t>
  </si>
  <si>
    <t>viag</t>
  </si>
  <si>
    <t>am-hub</t>
  </si>
  <si>
    <t>hub-am</t>
  </si>
  <si>
    <t>T0maximoSaiAm</t>
  </si>
  <si>
    <t>2 nav</t>
  </si>
  <si>
    <t>1nav</t>
  </si>
  <si>
    <t>3nav</t>
  </si>
  <si>
    <t>T1maximoSaiAm</t>
  </si>
  <si>
    <t>TOPCOMB</t>
  </si>
  <si>
    <t>Carga</t>
  </si>
  <si>
    <t>TX</t>
  </si>
  <si>
    <t>Tempo</t>
  </si>
  <si>
    <t>EM AM</t>
  </si>
  <si>
    <t>CHEGADAS DE NAVIO</t>
  </si>
  <si>
    <t>Prox</t>
  </si>
  <si>
    <t>Prox2</t>
  </si>
  <si>
    <t>Chega</t>
  </si>
  <si>
    <t>SaiHub</t>
  </si>
  <si>
    <t>SaiAM</t>
  </si>
  <si>
    <t>TerminD</t>
  </si>
  <si>
    <t>Delta</t>
  </si>
  <si>
    <t>TtotalViag</t>
  </si>
  <si>
    <t>60km</t>
  </si>
  <si>
    <t>BL-HUB</t>
  </si>
  <si>
    <t>EMBL</t>
  </si>
  <si>
    <t>NavTot</t>
  </si>
  <si>
    <t>EM containr</t>
  </si>
  <si>
    <t>Teus</t>
  </si>
  <si>
    <t>Comboio</t>
  </si>
  <si>
    <t>CChegadaCab+Tcarg</t>
  </si>
  <si>
    <t>BLOCOS</t>
  </si>
  <si>
    <t>total Sem</t>
  </si>
  <si>
    <t>20 pes</t>
  </si>
  <si>
    <t>40 pes</t>
  </si>
  <si>
    <t>Manaus 2034</t>
  </si>
  <si>
    <t>Belem 2034</t>
  </si>
  <si>
    <t>ado mani</t>
  </si>
  <si>
    <t>dorme bene</t>
  </si>
  <si>
    <t>sem</t>
  </si>
  <si>
    <t>dia</t>
  </si>
  <si>
    <t>h</t>
  </si>
  <si>
    <t>an</t>
  </si>
  <si>
    <t>navIni</t>
  </si>
  <si>
    <t>Tviag HUB-AM</t>
  </si>
  <si>
    <t>Tcarga</t>
  </si>
  <si>
    <t>utilizado</t>
  </si>
  <si>
    <t>totalviagDias</t>
  </si>
  <si>
    <t>ChegaAM</t>
  </si>
  <si>
    <t>ProntoAM</t>
  </si>
  <si>
    <t>4nav</t>
  </si>
  <si>
    <t>5nav</t>
  </si>
  <si>
    <t>6nav</t>
  </si>
  <si>
    <t>cont_hora</t>
  </si>
  <si>
    <t>meu</t>
  </si>
  <si>
    <t>CAB</t>
  </si>
  <si>
    <t>comboio belem</t>
  </si>
  <si>
    <t>entro</t>
  </si>
  <si>
    <t>fund</t>
  </si>
  <si>
    <t>saiofund</t>
  </si>
  <si>
    <t>carg</t>
  </si>
  <si>
    <t>saiocarg</t>
  </si>
  <si>
    <t>descNav</t>
  </si>
  <si>
    <t>DescComb</t>
  </si>
  <si>
    <t>bl</t>
  </si>
  <si>
    <t>TopNavLC</t>
  </si>
  <si>
    <t>entra</t>
  </si>
  <si>
    <t>Belem</t>
  </si>
  <si>
    <t>tempCD</t>
  </si>
  <si>
    <t>Carga pronta</t>
  </si>
  <si>
    <t>instante NavioCB</t>
  </si>
  <si>
    <t>entrou</t>
  </si>
  <si>
    <t>saiu</t>
  </si>
  <si>
    <t>instante NavioLC</t>
  </si>
  <si>
    <t>tempo</t>
  </si>
  <si>
    <t>emdias</t>
  </si>
  <si>
    <t>Soma</t>
  </si>
  <si>
    <t>TOPNAV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</si>
</sst>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5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166" fontId="0" fillId="0" borderId="0" xfId="0" applyNumberFormat="1"/>
    <xf numFmtId="0" fontId="0" fillId="9" borderId="0" xfId="0" applyFill="1"/>
    <xf numFmtId="165" fontId="0" fillId="10" borderId="0" xfId="0" applyNumberFormat="1" applyFill="1" applyAlignment="1">
      <alignment horizontal="center"/>
    </xf>
    <xf numFmtId="0" fontId="0" fillId="11" borderId="0" xfId="0" applyFill="1"/>
    <xf numFmtId="0" fontId="1" fillId="7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F029-D0CB-4100-ACB4-D863191E900C}">
  <dimension ref="C1:AH75"/>
  <sheetViews>
    <sheetView tabSelected="1" topLeftCell="N35" zoomScale="85" zoomScaleNormal="85" workbookViewId="0">
      <selection activeCell="P46" sqref="P46"/>
    </sheetView>
  </sheetViews>
  <sheetFormatPr defaultRowHeight="15" x14ac:dyDescent="0.25"/>
  <cols>
    <col min="3" max="3" width="12" bestFit="1" customWidth="1"/>
    <col min="8" max="8" width="18" customWidth="1"/>
    <col min="10" max="10" width="22.140625" bestFit="1" customWidth="1"/>
    <col min="11" max="11" width="13.28515625" customWidth="1"/>
    <col min="12" max="12" width="31.85546875" customWidth="1"/>
    <col min="13" max="13" width="23.140625" customWidth="1"/>
    <col min="14" max="14" width="12" bestFit="1" customWidth="1"/>
    <col min="16" max="16" width="20" customWidth="1"/>
    <col min="23" max="23" width="17.85546875" customWidth="1"/>
    <col min="26" max="26" width="12.5703125" bestFit="1" customWidth="1"/>
  </cols>
  <sheetData>
    <row r="1" spans="3:34" x14ac:dyDescent="0.25">
      <c r="J1">
        <v>3272</v>
      </c>
      <c r="K1" t="s">
        <v>27</v>
      </c>
      <c r="L1">
        <v>1440</v>
      </c>
      <c r="M1">
        <v>156</v>
      </c>
      <c r="N1" s="16">
        <f>M4*M1</f>
        <v>6240</v>
      </c>
      <c r="P1" t="s">
        <v>38</v>
      </c>
      <c r="R1" t="s">
        <v>29</v>
      </c>
      <c r="S1" t="s">
        <v>30</v>
      </c>
      <c r="AC1" t="s">
        <v>111</v>
      </c>
    </row>
    <row r="2" spans="3:34" x14ac:dyDescent="0.25">
      <c r="H2">
        <v>864</v>
      </c>
      <c r="K2">
        <f>0.86*1550/2+0.16*1550</f>
        <v>914.5</v>
      </c>
      <c r="N2" s="16">
        <f>M5*M1</f>
        <v>5616</v>
      </c>
      <c r="O2">
        <f>N2+N3</f>
        <v>8736</v>
      </c>
      <c r="P2" t="s">
        <v>100</v>
      </c>
      <c r="R2">
        <f>G39</f>
        <v>0.84</v>
      </c>
      <c r="S2">
        <f>G38</f>
        <v>0.16</v>
      </c>
      <c r="AB2" t="s">
        <v>110</v>
      </c>
      <c r="AC2">
        <v>275</v>
      </c>
      <c r="AD2">
        <f>AC2+AD3*2</f>
        <v>305.66666666666669</v>
      </c>
    </row>
    <row r="3" spans="3:34" x14ac:dyDescent="0.25">
      <c r="G3" t="s">
        <v>28</v>
      </c>
      <c r="H3">
        <f>H2*0.3</f>
        <v>259.2</v>
      </c>
      <c r="I3">
        <f>H2*0.7</f>
        <v>604.79999999999995</v>
      </c>
      <c r="J3" s="1"/>
      <c r="K3" s="1" t="s">
        <v>6</v>
      </c>
      <c r="L3" s="1" t="s">
        <v>7</v>
      </c>
      <c r="M3" s="1" t="s">
        <v>8</v>
      </c>
      <c r="N3" s="17">
        <f>L14*M1</f>
        <v>3120</v>
      </c>
      <c r="O3" s="1" t="s">
        <v>11</v>
      </c>
      <c r="P3" s="1" t="s">
        <v>12</v>
      </c>
      <c r="Q3" t="s">
        <v>10</v>
      </c>
      <c r="V3">
        <v>4.5999999999999996</v>
      </c>
      <c r="W3">
        <f>V3*24</f>
        <v>110.39999999999999</v>
      </c>
      <c r="AC3">
        <v>40</v>
      </c>
      <c r="AD3">
        <f>AC3/Q5</f>
        <v>15.333333333333334</v>
      </c>
    </row>
    <row r="4" spans="3:34" x14ac:dyDescent="0.25">
      <c r="J4" s="10" t="s">
        <v>31</v>
      </c>
      <c r="K4" s="10">
        <f>1580/2+10</f>
        <v>800</v>
      </c>
      <c r="L4" s="10">
        <v>20</v>
      </c>
      <c r="M4" s="10">
        <f>K4/L4</f>
        <v>40</v>
      </c>
      <c r="N4" s="1"/>
      <c r="O4" s="1"/>
      <c r="P4" s="1"/>
      <c r="W4">
        <f>K8*2/(W3)</f>
        <v>27.536231884057973</v>
      </c>
      <c r="X4" t="s">
        <v>98</v>
      </c>
    </row>
    <row r="5" spans="3:34" x14ac:dyDescent="0.25">
      <c r="C5">
        <v>0.16216</v>
      </c>
      <c r="D5" t="s">
        <v>3</v>
      </c>
      <c r="G5">
        <f>454/2</f>
        <v>227</v>
      </c>
      <c r="J5" s="10" t="s">
        <v>32</v>
      </c>
      <c r="K5" s="10">
        <f>1440/2</f>
        <v>720</v>
      </c>
      <c r="L5" s="10">
        <v>20</v>
      </c>
      <c r="M5" s="10">
        <f>K5/L5</f>
        <v>36</v>
      </c>
      <c r="N5" s="1">
        <f>3*20/L5</f>
        <v>3</v>
      </c>
      <c r="O5" s="3">
        <f>3*18/(L5*R2+L5*S2*2)</f>
        <v>2.3275862068965516</v>
      </c>
      <c r="P5" s="3">
        <f>3*21/(L5*R2+L5*S2*2)</f>
        <v>2.7155172413793101</v>
      </c>
      <c r="Q5" s="3">
        <f>3*20/ROUNDDOWN((L5*R2+L5*S2*2),0)</f>
        <v>2.6086956521739131</v>
      </c>
      <c r="T5" t="s">
        <v>99</v>
      </c>
      <c r="U5">
        <f>Q6*L5</f>
        <v>26.086956521739133</v>
      </c>
      <c r="Z5" t="s">
        <v>122</v>
      </c>
      <c r="AA5" t="s">
        <v>55</v>
      </c>
      <c r="AB5">
        <f>AB11</f>
        <v>76</v>
      </c>
    </row>
    <row r="6" spans="3:34" x14ac:dyDescent="0.25">
      <c r="C6">
        <f>C5*E6</f>
        <v>0.48648000000000002</v>
      </c>
      <c r="D6" t="s">
        <v>0</v>
      </c>
      <c r="E6">
        <v>3</v>
      </c>
      <c r="F6" t="s">
        <v>2</v>
      </c>
      <c r="J6" s="1" t="s">
        <v>35</v>
      </c>
      <c r="K6" s="1">
        <f>K5</f>
        <v>720</v>
      </c>
      <c r="L6" s="1">
        <v>20</v>
      </c>
      <c r="M6" s="1">
        <f>K6/L6</f>
        <v>36</v>
      </c>
      <c r="N6" s="1">
        <f>3*12/L6</f>
        <v>1.8</v>
      </c>
      <c r="O6" s="3">
        <f>3*10/(L6*R2+L6*S2*2)</f>
        <v>1.2931034482758619</v>
      </c>
      <c r="P6" s="3">
        <f>3*13/(L6*R2+L6*S2*2)</f>
        <v>1.6810344827586206</v>
      </c>
      <c r="Q6" s="3">
        <f>3*10/ROUNDDOWN((L6*R2+L6*S2*2),0)</f>
        <v>1.3043478260869565</v>
      </c>
      <c r="S6">
        <f>Q6/3</f>
        <v>0.43478260869565216</v>
      </c>
      <c r="U6">
        <f>K8*2/U5</f>
        <v>116.53333333333332</v>
      </c>
      <c r="AA6" t="s">
        <v>56</v>
      </c>
      <c r="AB6" s="7">
        <f>Q5</f>
        <v>2.6086956521739131</v>
      </c>
    </row>
    <row r="7" spans="3:34" x14ac:dyDescent="0.25">
      <c r="J7" s="1" t="s">
        <v>34</v>
      </c>
      <c r="K7" s="1">
        <f>K4</f>
        <v>800</v>
      </c>
      <c r="L7" s="1">
        <v>20</v>
      </c>
      <c r="M7" s="1">
        <f>K7/L7</f>
        <v>40</v>
      </c>
      <c r="N7" s="1"/>
      <c r="O7" s="3">
        <v>323</v>
      </c>
      <c r="P7" s="20">
        <f>M8/Q6</f>
        <v>58.266666666666666</v>
      </c>
      <c r="Q7" s="3">
        <f>20/Q6</f>
        <v>15.333333333333334</v>
      </c>
      <c r="AA7" t="s">
        <v>57</v>
      </c>
      <c r="AB7">
        <f>AB5/AB6</f>
        <v>29.133333333333333</v>
      </c>
    </row>
    <row r="8" spans="3:34" x14ac:dyDescent="0.25">
      <c r="C8">
        <v>36</v>
      </c>
      <c r="D8" t="s">
        <v>1</v>
      </c>
      <c r="G8" t="s">
        <v>5</v>
      </c>
      <c r="J8" s="1" t="s">
        <v>36</v>
      </c>
      <c r="K8">
        <f>SUM(K6:K7)</f>
        <v>1520</v>
      </c>
      <c r="M8">
        <f>M7+M6</f>
        <v>76</v>
      </c>
      <c r="O8" s="7">
        <f>O7+P7</f>
        <v>381.26666666666665</v>
      </c>
      <c r="P8" t="s">
        <v>40</v>
      </c>
      <c r="AB8" s="26" t="s">
        <v>74</v>
      </c>
      <c r="AC8" s="26"/>
    </row>
    <row r="9" spans="3:34" x14ac:dyDescent="0.25">
      <c r="C9">
        <f>C8/C6</f>
        <v>74.00098667982239</v>
      </c>
      <c r="I9">
        <f>I6/2</f>
        <v>0</v>
      </c>
      <c r="L9">
        <f>L10/24</f>
        <v>5.416666666666667</v>
      </c>
      <c r="M9">
        <f>M10/24</f>
        <v>5.833333333333333</v>
      </c>
      <c r="P9" s="19" t="s">
        <v>107</v>
      </c>
      <c r="Q9" s="19" t="s">
        <v>108</v>
      </c>
      <c r="R9" t="s">
        <v>109</v>
      </c>
      <c r="T9" t="s">
        <v>67</v>
      </c>
      <c r="U9">
        <f>T22+24+AA15+AB13</f>
        <v>271.5333333333333</v>
      </c>
      <c r="AB9" t="s">
        <v>38</v>
      </c>
      <c r="AC9" t="s">
        <v>39</v>
      </c>
      <c r="AD9" t="s">
        <v>121</v>
      </c>
      <c r="AG9" t="s">
        <v>38</v>
      </c>
      <c r="AH9" t="s">
        <v>39</v>
      </c>
    </row>
    <row r="10" spans="3:34" x14ac:dyDescent="0.25">
      <c r="K10" t="s">
        <v>17</v>
      </c>
      <c r="L10">
        <v>130</v>
      </c>
      <c r="M10">
        <v>140</v>
      </c>
      <c r="N10">
        <v>135</v>
      </c>
      <c r="P10">
        <f>M8/Q5</f>
        <v>29.133333333333333</v>
      </c>
      <c r="Q10">
        <f>M8/Q6</f>
        <v>58.266666666666666</v>
      </c>
      <c r="R10">
        <f>L14/Q6</f>
        <v>15.333333333333334</v>
      </c>
      <c r="U10">
        <f>U9/24</f>
        <v>11.313888888888888</v>
      </c>
      <c r="AB10">
        <f>M4</f>
        <v>40</v>
      </c>
      <c r="AC10">
        <f>M5</f>
        <v>36</v>
      </c>
      <c r="AD10">
        <f>AC10+AB10</f>
        <v>76</v>
      </c>
      <c r="AE10">
        <f>AD10</f>
        <v>76</v>
      </c>
      <c r="AG10">
        <v>0</v>
      </c>
      <c r="AH10">
        <v>20</v>
      </c>
    </row>
    <row r="11" spans="3:34" x14ac:dyDescent="0.25">
      <c r="F11" t="s">
        <v>33</v>
      </c>
      <c r="G11">
        <f>K4/K5</f>
        <v>1.1111111111111112</v>
      </c>
      <c r="K11" t="s">
        <v>89</v>
      </c>
      <c r="L11">
        <v>225</v>
      </c>
      <c r="M11">
        <v>238</v>
      </c>
      <c r="Q11" s="18">
        <f>(L5*R2+L5*S2*2)</f>
        <v>23.200000000000003</v>
      </c>
      <c r="Z11" t="s">
        <v>54</v>
      </c>
      <c r="AA11" t="s">
        <v>55</v>
      </c>
      <c r="AB11">
        <f>AB10+AC10</f>
        <v>76</v>
      </c>
      <c r="AE11">
        <v>8</v>
      </c>
      <c r="AF11" t="s">
        <v>55</v>
      </c>
      <c r="AG11">
        <f>AG10+AH10</f>
        <v>20</v>
      </c>
      <c r="AH11">
        <f>AG11*20</f>
        <v>400</v>
      </c>
    </row>
    <row r="12" spans="3:34" x14ac:dyDescent="0.25">
      <c r="H12">
        <v>221.751048394088</v>
      </c>
      <c r="L12">
        <f>L11/24</f>
        <v>9.375</v>
      </c>
      <c r="M12">
        <f>M11/24</f>
        <v>9.9166666666666661</v>
      </c>
      <c r="N12">
        <v>230</v>
      </c>
      <c r="AA12" t="s">
        <v>56</v>
      </c>
      <c r="AB12" s="7">
        <f>AD12</f>
        <v>1.3043478260869565</v>
      </c>
      <c r="AD12" s="7">
        <f>Q6</f>
        <v>1.3043478260869565</v>
      </c>
      <c r="AE12">
        <f>AD10*20</f>
        <v>1520</v>
      </c>
      <c r="AF12" t="s">
        <v>56</v>
      </c>
      <c r="AG12">
        <v>1.8</v>
      </c>
      <c r="AH12">
        <f>AG12*20</f>
        <v>36</v>
      </c>
    </row>
    <row r="13" spans="3:34" x14ac:dyDescent="0.25">
      <c r="J13" s="9" t="s">
        <v>37</v>
      </c>
      <c r="K13" s="9" t="s">
        <v>38</v>
      </c>
      <c r="L13" s="9">
        <v>0</v>
      </c>
      <c r="Q13" t="s">
        <v>114</v>
      </c>
      <c r="AA13" t="s">
        <v>57</v>
      </c>
      <c r="AB13">
        <f>AB11/AB12</f>
        <v>58.266666666666666</v>
      </c>
      <c r="AD13" s="11">
        <f>AD10/AD12</f>
        <v>58.266666666666666</v>
      </c>
      <c r="AF13" t="s">
        <v>57</v>
      </c>
      <c r="AG13">
        <f>AG11/AG12</f>
        <v>11.111111111111111</v>
      </c>
    </row>
    <row r="14" spans="3:34" x14ac:dyDescent="0.25">
      <c r="H14">
        <v>221.751048394088</v>
      </c>
      <c r="J14" s="9"/>
      <c r="K14" s="9" t="s">
        <v>39</v>
      </c>
      <c r="L14" s="9">
        <v>20</v>
      </c>
      <c r="Q14">
        <f>S24+AD13</f>
        <v>247.5333333333333</v>
      </c>
    </row>
    <row r="15" spans="3:34" x14ac:dyDescent="0.25">
      <c r="H15" s="2">
        <f>H14-H12</f>
        <v>0</v>
      </c>
      <c r="L15" t="s">
        <v>9</v>
      </c>
      <c r="M15">
        <v>26397</v>
      </c>
      <c r="N15">
        <f>M15/24</f>
        <v>1099.875</v>
      </c>
      <c r="O15">
        <f>N15/365</f>
        <v>3.0133561643835618</v>
      </c>
      <c r="Y15" t="s">
        <v>90</v>
      </c>
      <c r="Z15" s="11" t="s">
        <v>58</v>
      </c>
      <c r="AA15" s="11">
        <f>AD13+1</f>
        <v>59.266666666666666</v>
      </c>
      <c r="AE15" t="s">
        <v>70</v>
      </c>
    </row>
    <row r="16" spans="3:34" x14ac:dyDescent="0.25">
      <c r="M16">
        <f>365*24*2</f>
        <v>17520</v>
      </c>
      <c r="R16" t="s">
        <v>51</v>
      </c>
      <c r="T16" t="s">
        <v>50</v>
      </c>
      <c r="V16" t="s">
        <v>52</v>
      </c>
      <c r="AD16">
        <f>AD13*2</f>
        <v>116.53333333333333</v>
      </c>
      <c r="AF16">
        <f>S20-24-6</f>
        <v>268</v>
      </c>
    </row>
    <row r="17" spans="3:32" x14ac:dyDescent="0.25">
      <c r="J17" t="s">
        <v>41</v>
      </c>
      <c r="R17" t="s">
        <v>44</v>
      </c>
      <c r="S17" t="s">
        <v>22</v>
      </c>
      <c r="AD17">
        <f>2*R10</f>
        <v>30.666666666666668</v>
      </c>
      <c r="AE17">
        <f>AD16+AD17</f>
        <v>147.19999999999999</v>
      </c>
      <c r="AF17">
        <f>168-AE17</f>
        <v>20.800000000000011</v>
      </c>
    </row>
    <row r="18" spans="3:32" ht="15.75" thickBot="1" x14ac:dyDescent="0.3">
      <c r="F18" s="13">
        <v>2034</v>
      </c>
      <c r="G18" s="13"/>
      <c r="H18" s="13"/>
      <c r="I18" s="13"/>
      <c r="J18" s="1" t="s">
        <v>31</v>
      </c>
      <c r="K18" s="9">
        <f>M4+L13</f>
        <v>40</v>
      </c>
      <c r="N18" t="s">
        <v>42</v>
      </c>
      <c r="O18">
        <f>128/7</f>
        <v>18.285714285714285</v>
      </c>
      <c r="P18">
        <f>R19-R18</f>
        <v>-7</v>
      </c>
      <c r="R18">
        <v>7</v>
      </c>
      <c r="S18">
        <f>7*24</f>
        <v>168</v>
      </c>
      <c r="T18" s="15"/>
      <c r="U18" s="22" t="s">
        <v>59</v>
      </c>
      <c r="V18" s="22"/>
      <c r="W18" s="22"/>
      <c r="X18" s="15"/>
      <c r="Y18" s="15"/>
      <c r="Z18" s="15"/>
      <c r="AA18" s="15"/>
    </row>
    <row r="19" spans="3:32" ht="15.75" thickBot="1" x14ac:dyDescent="0.3">
      <c r="E19" s="23" t="s">
        <v>6</v>
      </c>
      <c r="F19" s="24"/>
      <c r="G19" s="24"/>
      <c r="H19" s="24"/>
      <c r="I19" s="25"/>
      <c r="J19" s="1" t="s">
        <v>32</v>
      </c>
      <c r="K19" s="9">
        <f>M5+L14</f>
        <v>56</v>
      </c>
      <c r="L19" t="s">
        <v>72</v>
      </c>
      <c r="N19" t="s">
        <v>43</v>
      </c>
      <c r="P19">
        <f>P18*24</f>
        <v>-168</v>
      </c>
      <c r="Q19" t="s">
        <v>45</v>
      </c>
      <c r="S19" s="4">
        <v>250</v>
      </c>
      <c r="T19" s="15">
        <f>R19+7</f>
        <v>7</v>
      </c>
      <c r="U19" s="15">
        <f>S19+7*24</f>
        <v>418</v>
      </c>
      <c r="V19" s="15">
        <f>T19+7</f>
        <v>14</v>
      </c>
      <c r="W19" s="15">
        <f>U19+7*24</f>
        <v>586</v>
      </c>
      <c r="X19" s="15">
        <f>V19+7</f>
        <v>21</v>
      </c>
      <c r="Y19" s="15">
        <f>W19+7*24</f>
        <v>754</v>
      </c>
      <c r="Z19" s="15">
        <f>Y19+7*24</f>
        <v>922</v>
      </c>
      <c r="AA19" s="15">
        <f>Z19+7*24</f>
        <v>1090</v>
      </c>
      <c r="AB19" t="s">
        <v>87</v>
      </c>
      <c r="AC19" t="s">
        <v>84</v>
      </c>
      <c r="AD19" t="s">
        <v>85</v>
      </c>
      <c r="AE19" t="s">
        <v>86</v>
      </c>
    </row>
    <row r="20" spans="3:32" x14ac:dyDescent="0.25">
      <c r="E20" s="14" t="s">
        <v>38</v>
      </c>
      <c r="F20" s="14"/>
      <c r="G20" s="14"/>
      <c r="H20" s="14"/>
      <c r="I20" s="14"/>
      <c r="J20" t="s">
        <v>71</v>
      </c>
      <c r="K20">
        <f>K19+K18</f>
        <v>96</v>
      </c>
      <c r="L20" s="11">
        <f>K20*20</f>
        <v>1920</v>
      </c>
      <c r="R20">
        <v>15</v>
      </c>
      <c r="S20" s="4">
        <f>S19+48</f>
        <v>298</v>
      </c>
      <c r="T20" s="15">
        <f>R20+7</f>
        <v>22</v>
      </c>
      <c r="U20" s="15">
        <f>T20*24</f>
        <v>528</v>
      </c>
      <c r="V20" s="15">
        <f>T20+7</f>
        <v>29</v>
      </c>
      <c r="W20" s="15">
        <f>V20*24</f>
        <v>696</v>
      </c>
      <c r="X20" s="15">
        <f>V20+7</f>
        <v>36</v>
      </c>
      <c r="Y20" s="15">
        <f>Y19+48</f>
        <v>802</v>
      </c>
      <c r="Z20" s="15">
        <f>Y20+7*24</f>
        <v>970</v>
      </c>
      <c r="AA20" s="15"/>
      <c r="AB20">
        <v>3</v>
      </c>
      <c r="AC20">
        <v>52</v>
      </c>
      <c r="AD20">
        <v>7</v>
      </c>
      <c r="AE20">
        <v>24</v>
      </c>
      <c r="AF20">
        <f>AE20*AD20*AC20*AB20</f>
        <v>26208</v>
      </c>
    </row>
    <row r="21" spans="3:32" ht="15.75" thickBot="1" x14ac:dyDescent="0.3">
      <c r="E21" s="13" t="s">
        <v>39</v>
      </c>
      <c r="F21" s="13">
        <v>3021</v>
      </c>
      <c r="G21" s="13"/>
      <c r="H21" s="13"/>
      <c r="I21" s="13"/>
      <c r="R21" s="11"/>
      <c r="S21" t="s">
        <v>44</v>
      </c>
      <c r="Y21" t="s">
        <v>95</v>
      </c>
      <c r="Z21" s="15" t="s">
        <v>96</v>
      </c>
      <c r="AA21" s="15" t="s">
        <v>97</v>
      </c>
      <c r="AD21" t="s">
        <v>88</v>
      </c>
      <c r="AE21">
        <f>S19</f>
        <v>250</v>
      </c>
      <c r="AF21">
        <f>AF20+AE21</f>
        <v>26458</v>
      </c>
    </row>
    <row r="22" spans="3:32" ht="15.75" thickBot="1" x14ac:dyDescent="0.3">
      <c r="E22" s="23" t="s">
        <v>76</v>
      </c>
      <c r="F22" s="24"/>
      <c r="G22" s="24"/>
      <c r="H22" s="24"/>
      <c r="I22" s="25"/>
      <c r="P22" t="s">
        <v>46</v>
      </c>
      <c r="Q22" t="s">
        <v>47</v>
      </c>
      <c r="R22" s="11"/>
      <c r="S22">
        <f>T22/24</f>
        <v>5.416666666666667</v>
      </c>
      <c r="T22">
        <v>130</v>
      </c>
      <c r="X22" t="s">
        <v>75</v>
      </c>
      <c r="Y22">
        <f>S20+(AC10/AD12)</f>
        <v>325.60000000000002</v>
      </c>
    </row>
    <row r="23" spans="3:32" x14ac:dyDescent="0.25">
      <c r="E23" s="14" t="s">
        <v>38</v>
      </c>
      <c r="F23" s="14">
        <f t="shared" ref="F23:H24" si="0">F20/20</f>
        <v>0</v>
      </c>
      <c r="G23" s="14">
        <f t="shared" si="0"/>
        <v>0</v>
      </c>
      <c r="H23" s="14">
        <f t="shared" si="0"/>
        <v>0</v>
      </c>
      <c r="I23" s="14"/>
      <c r="O23" t="s">
        <v>91</v>
      </c>
      <c r="Q23" t="s">
        <v>48</v>
      </c>
      <c r="R23" s="11"/>
      <c r="S23">
        <f>T23/24</f>
        <v>9.375</v>
      </c>
      <c r="T23">
        <v>225</v>
      </c>
      <c r="Z23" t="s">
        <v>112</v>
      </c>
      <c r="AA23" t="s">
        <v>113</v>
      </c>
    </row>
    <row r="24" spans="3:32" x14ac:dyDescent="0.25">
      <c r="E24" s="12" t="s">
        <v>39</v>
      </c>
      <c r="F24" s="12">
        <f t="shared" si="0"/>
        <v>151.05000000000001</v>
      </c>
      <c r="G24" s="12">
        <f t="shared" si="0"/>
        <v>0</v>
      </c>
      <c r="H24" s="12">
        <f t="shared" si="0"/>
        <v>0</v>
      </c>
      <c r="I24" s="12"/>
      <c r="J24">
        <v>1265</v>
      </c>
      <c r="K24">
        <v>120</v>
      </c>
      <c r="L24">
        <v>1636</v>
      </c>
      <c r="M24">
        <f>(J24+K24)/L24</f>
        <v>0.8465770171149144</v>
      </c>
      <c r="O24">
        <f>S19-AA15-T22-AD13</f>
        <v>2.4666666666666828</v>
      </c>
      <c r="P24" t="s">
        <v>49</v>
      </c>
      <c r="Q24" s="5">
        <v>0</v>
      </c>
      <c r="R24" s="11">
        <f t="shared" ref="R24:R29" si="1">Q24+$AA$15</f>
        <v>59.266666666666666</v>
      </c>
      <c r="S24">
        <f t="shared" ref="S24:S29" si="2">R24+$T$22</f>
        <v>189.26666666666665</v>
      </c>
      <c r="T24" s="6">
        <f t="shared" ref="T24:T29" si="3">S24+$AD$13*2</f>
        <v>305.79999999999995</v>
      </c>
      <c r="U24">
        <f t="shared" ref="U24:U29" si="4">T24+$T$23</f>
        <v>530.79999999999995</v>
      </c>
      <c r="V24">
        <f t="shared" ref="V24:V29" si="5">U24+$AA$15</f>
        <v>590.06666666666661</v>
      </c>
      <c r="W24" s="21">
        <f>V24+AA15</f>
        <v>649.33333333333326</v>
      </c>
      <c r="X24">
        <f>R28-W24</f>
        <v>81.933333333333394</v>
      </c>
      <c r="Z24" s="8"/>
      <c r="AA24">
        <f>2*AG13</f>
        <v>22.222222222222221</v>
      </c>
    </row>
    <row r="25" spans="3:32" x14ac:dyDescent="0.25">
      <c r="J25">
        <v>1385</v>
      </c>
      <c r="K25">
        <v>251</v>
      </c>
      <c r="L25">
        <f>J25*2+K25</f>
        <v>3021</v>
      </c>
      <c r="M25" t="s">
        <v>73</v>
      </c>
      <c r="O25">
        <f>U19-AA15-T22-AD13</f>
        <v>170.4666666666667</v>
      </c>
      <c r="P25" t="s">
        <v>53</v>
      </c>
      <c r="Q25" s="5">
        <f>Q24+168</f>
        <v>168</v>
      </c>
      <c r="R25" s="11">
        <f t="shared" si="1"/>
        <v>227.26666666666665</v>
      </c>
      <c r="S25">
        <f t="shared" si="2"/>
        <v>357.26666666666665</v>
      </c>
      <c r="T25" s="6">
        <f t="shared" si="3"/>
        <v>473.79999999999995</v>
      </c>
      <c r="U25">
        <f t="shared" si="4"/>
        <v>698.8</v>
      </c>
      <c r="V25">
        <f t="shared" si="5"/>
        <v>758.06666666666661</v>
      </c>
      <c r="Z25" s="8"/>
    </row>
    <row r="26" spans="3:32" x14ac:dyDescent="0.25">
      <c r="G26" t="s">
        <v>77</v>
      </c>
      <c r="O26">
        <f>Q25+7*24</f>
        <v>336</v>
      </c>
      <c r="P26" t="s">
        <v>60</v>
      </c>
      <c r="Q26" s="5">
        <f>Q25+168</f>
        <v>336</v>
      </c>
      <c r="R26" s="11">
        <f t="shared" si="1"/>
        <v>395.26666666666665</v>
      </c>
      <c r="S26">
        <f t="shared" si="2"/>
        <v>525.26666666666665</v>
      </c>
      <c r="T26" s="6">
        <f t="shared" si="3"/>
        <v>641.79999999999995</v>
      </c>
      <c r="U26">
        <f t="shared" si="4"/>
        <v>866.8</v>
      </c>
      <c r="V26">
        <f t="shared" si="5"/>
        <v>926.06666666666661</v>
      </c>
      <c r="X26">
        <v>0.6</v>
      </c>
      <c r="Z26" s="8"/>
      <c r="AB26">
        <v>10666</v>
      </c>
      <c r="AC26">
        <v>10712</v>
      </c>
    </row>
    <row r="27" spans="3:32" x14ac:dyDescent="0.25">
      <c r="G27">
        <v>3272</v>
      </c>
      <c r="O27">
        <f>Q26+7*24</f>
        <v>504</v>
      </c>
      <c r="P27" t="s">
        <v>61</v>
      </c>
      <c r="Q27" s="5">
        <f>Q26+168</f>
        <v>504</v>
      </c>
      <c r="R27" s="11">
        <f t="shared" si="1"/>
        <v>563.26666666666665</v>
      </c>
      <c r="S27">
        <f t="shared" si="2"/>
        <v>693.26666666666665</v>
      </c>
      <c r="T27" s="6">
        <f t="shared" si="3"/>
        <v>809.8</v>
      </c>
      <c r="U27">
        <f t="shared" si="4"/>
        <v>1034.8</v>
      </c>
      <c r="V27">
        <f t="shared" si="5"/>
        <v>1094.0666666666666</v>
      </c>
      <c r="Z27" s="8"/>
      <c r="AB27">
        <f>MOD(AB26,168)</f>
        <v>82</v>
      </c>
      <c r="AC27">
        <f>MOD(AC26,168)</f>
        <v>128</v>
      </c>
    </row>
    <row r="28" spans="3:32" x14ac:dyDescent="0.25">
      <c r="D28" s="26" t="s">
        <v>80</v>
      </c>
      <c r="E28" s="26"/>
      <c r="G28" s="26" t="s">
        <v>81</v>
      </c>
      <c r="H28" s="26"/>
      <c r="L28" t="s">
        <v>101</v>
      </c>
      <c r="O28">
        <f>Q27+7*24</f>
        <v>672</v>
      </c>
      <c r="Q28" s="21">
        <f>Q27+168</f>
        <v>672</v>
      </c>
      <c r="R28" s="11">
        <f t="shared" si="1"/>
        <v>731.26666666666665</v>
      </c>
      <c r="S28">
        <f t="shared" si="2"/>
        <v>861.26666666666665</v>
      </c>
      <c r="T28" s="6">
        <f t="shared" si="3"/>
        <v>977.8</v>
      </c>
      <c r="U28">
        <f t="shared" si="4"/>
        <v>1202.8</v>
      </c>
      <c r="V28">
        <f t="shared" si="5"/>
        <v>1262.0666666666666</v>
      </c>
      <c r="AB28">
        <f>MOD(U19,168)</f>
        <v>82</v>
      </c>
    </row>
    <row r="29" spans="3:32" x14ac:dyDescent="0.25">
      <c r="D29" t="s">
        <v>38</v>
      </c>
      <c r="E29">
        <f>781+144+637+18</f>
        <v>1580</v>
      </c>
      <c r="G29" t="s">
        <v>38</v>
      </c>
      <c r="L29" t="s">
        <v>102</v>
      </c>
      <c r="M29">
        <v>4821</v>
      </c>
      <c r="Q29" s="5">
        <f>AA19-AA15-T22-AD13</f>
        <v>842.4666666666667</v>
      </c>
      <c r="R29" s="11">
        <f t="shared" si="1"/>
        <v>901.73333333333335</v>
      </c>
      <c r="S29">
        <f t="shared" si="2"/>
        <v>1031.7333333333333</v>
      </c>
      <c r="T29" s="6">
        <f t="shared" si="3"/>
        <v>1148.2666666666667</v>
      </c>
      <c r="U29">
        <f t="shared" si="4"/>
        <v>1373.2666666666667</v>
      </c>
      <c r="V29">
        <f t="shared" si="5"/>
        <v>1432.5333333333333</v>
      </c>
      <c r="AB29">
        <f>168+AB28</f>
        <v>250</v>
      </c>
      <c r="AC29">
        <f>168+AC27</f>
        <v>296</v>
      </c>
    </row>
    <row r="30" spans="3:32" x14ac:dyDescent="0.25">
      <c r="D30" t="s">
        <v>39</v>
      </c>
      <c r="E30">
        <f>855+679+176+10</f>
        <v>1720</v>
      </c>
      <c r="F30">
        <f>E29+E30</f>
        <v>3300</v>
      </c>
      <c r="G30" t="s">
        <v>39</v>
      </c>
      <c r="L30" t="s">
        <v>103</v>
      </c>
      <c r="M30">
        <v>4827</v>
      </c>
      <c r="Q30" s="21"/>
      <c r="R30" s="11" t="s">
        <v>64</v>
      </c>
      <c r="S30" t="s">
        <v>62</v>
      </c>
      <c r="T30" t="s">
        <v>63</v>
      </c>
      <c r="U30" t="s">
        <v>93</v>
      </c>
      <c r="V30" t="s">
        <v>94</v>
      </c>
    </row>
    <row r="31" spans="3:32" x14ac:dyDescent="0.25">
      <c r="L31" t="s">
        <v>104</v>
      </c>
      <c r="M31">
        <v>4867</v>
      </c>
      <c r="R31" s="11"/>
      <c r="U31" t="s">
        <v>92</v>
      </c>
      <c r="V31">
        <f>S23+S22</f>
        <v>14.791666666666668</v>
      </c>
    </row>
    <row r="32" spans="3:32" x14ac:dyDescent="0.25">
      <c r="C32" t="s">
        <v>78</v>
      </c>
      <c r="D32" t="s">
        <v>38</v>
      </c>
      <c r="E32">
        <f>114+93+21</f>
        <v>228</v>
      </c>
      <c r="F32" t="s">
        <v>78</v>
      </c>
      <c r="G32" t="s">
        <v>38</v>
      </c>
      <c r="L32" t="s">
        <v>105</v>
      </c>
      <c r="M32">
        <v>5013</v>
      </c>
      <c r="N32">
        <f>M32-M31</f>
        <v>146</v>
      </c>
      <c r="O32">
        <f>N32/24</f>
        <v>6.083333333333333</v>
      </c>
      <c r="P32">
        <f>S19-AA15-T22-AD13-24</f>
        <v>-21.533333333333317</v>
      </c>
      <c r="R32" s="11"/>
      <c r="S32" t="s">
        <v>65</v>
      </c>
      <c r="T32" t="s">
        <v>66</v>
      </c>
      <c r="AF32">
        <f>365*24</f>
        <v>8760</v>
      </c>
    </row>
    <row r="33" spans="3:31" x14ac:dyDescent="0.25">
      <c r="D33" t="s">
        <v>39</v>
      </c>
      <c r="E33">
        <f>137+43+94</f>
        <v>274</v>
      </c>
      <c r="G33" t="s">
        <v>39</v>
      </c>
      <c r="L33" t="s">
        <v>106</v>
      </c>
      <c r="S33">
        <f>S24+$AB$13</f>
        <v>247.5333333333333</v>
      </c>
      <c r="T33" s="7">
        <f>S19-S33</f>
        <v>2.466666666666697</v>
      </c>
    </row>
    <row r="34" spans="3:31" x14ac:dyDescent="0.25">
      <c r="S34">
        <f>S25+$AB$13</f>
        <v>415.5333333333333</v>
      </c>
      <c r="W34" t="s">
        <v>69</v>
      </c>
      <c r="X34" t="s">
        <v>68</v>
      </c>
    </row>
    <row r="35" spans="3:31" x14ac:dyDescent="0.25">
      <c r="C35" t="s">
        <v>79</v>
      </c>
      <c r="D35" t="s">
        <v>38</v>
      </c>
      <c r="E35">
        <f>631+36+51+580+36</f>
        <v>1334</v>
      </c>
      <c r="F35" t="s">
        <v>79</v>
      </c>
      <c r="G35" t="s">
        <v>38</v>
      </c>
      <c r="S35">
        <f>S26+$AB$13</f>
        <v>583.5333333333333</v>
      </c>
    </row>
    <row r="36" spans="3:31" x14ac:dyDescent="0.25">
      <c r="D36" t="s">
        <v>39</v>
      </c>
      <c r="E36">
        <f>634+84+602+34+32+50</f>
        <v>1436</v>
      </c>
      <c r="G36" t="s">
        <v>39</v>
      </c>
      <c r="P36">
        <v>591</v>
      </c>
      <c r="Q36">
        <f>7*24</f>
        <v>168</v>
      </c>
      <c r="S36">
        <f>S27+$AB$13</f>
        <v>751.5333333333333</v>
      </c>
    </row>
    <row r="37" spans="3:31" x14ac:dyDescent="0.25">
      <c r="P37">
        <f>MOD(P36,Q36)</f>
        <v>87</v>
      </c>
      <c r="Q37">
        <f>P36/Q36</f>
        <v>3.5178571428571428</v>
      </c>
      <c r="R37">
        <f>3*Q36</f>
        <v>504</v>
      </c>
      <c r="W37" t="s">
        <v>115</v>
      </c>
      <c r="Y37" t="s">
        <v>118</v>
      </c>
      <c r="AB37" s="12" t="s">
        <v>39</v>
      </c>
      <c r="AC37" s="12"/>
      <c r="AD37" t="s">
        <v>38</v>
      </c>
    </row>
    <row r="38" spans="3:31" x14ac:dyDescent="0.25">
      <c r="E38">
        <f>E32+E33</f>
        <v>502</v>
      </c>
      <c r="F38">
        <f>E38/F30</f>
        <v>0.15212121212121213</v>
      </c>
      <c r="G38">
        <v>0.16</v>
      </c>
      <c r="M38" t="s">
        <v>82</v>
      </c>
      <c r="T38">
        <v>9597.9147286821699</v>
      </c>
      <c r="U38">
        <f>T39-T38</f>
        <v>168</v>
      </c>
      <c r="W38" t="s">
        <v>116</v>
      </c>
      <c r="X38" t="s">
        <v>117</v>
      </c>
      <c r="Y38" t="s">
        <v>116</v>
      </c>
      <c r="Z38" t="s">
        <v>117</v>
      </c>
      <c r="AB38" s="12" t="s">
        <v>119</v>
      </c>
      <c r="AC38" s="12" t="s">
        <v>120</v>
      </c>
      <c r="AD38" t="s">
        <v>119</v>
      </c>
      <c r="AE38" t="s">
        <v>120</v>
      </c>
    </row>
    <row r="39" spans="3:31" x14ac:dyDescent="0.25">
      <c r="E39">
        <f>E35+E36</f>
        <v>2770</v>
      </c>
      <c r="F39">
        <f>E39/F30</f>
        <v>0.83939393939393936</v>
      </c>
      <c r="G39">
        <v>0.84</v>
      </c>
      <c r="M39" t="s">
        <v>83</v>
      </c>
      <c r="T39">
        <v>9765.9147286821699</v>
      </c>
      <c r="U39">
        <f t="shared" ref="U39:U50" si="6">T40-T39</f>
        <v>168</v>
      </c>
      <c r="W39">
        <v>10363.92</v>
      </c>
      <c r="X39">
        <v>10412.99</v>
      </c>
      <c r="Y39">
        <v>10497.99</v>
      </c>
      <c r="Z39">
        <v>10528.76</v>
      </c>
      <c r="AB39" s="12">
        <f>X39-W39</f>
        <v>49.069999999999709</v>
      </c>
      <c r="AC39" s="12">
        <f>Z39-Y39</f>
        <v>30.770000000000437</v>
      </c>
    </row>
    <row r="40" spans="3:31" x14ac:dyDescent="0.25">
      <c r="T40">
        <v>9933.9147286821699</v>
      </c>
      <c r="U40">
        <f t="shared" si="6"/>
        <v>167.99999999993088</v>
      </c>
      <c r="W40">
        <v>10537.92</v>
      </c>
      <c r="X40">
        <v>10586</v>
      </c>
      <c r="Y40">
        <v>10665.99</v>
      </c>
      <c r="Z40">
        <v>10696.76</v>
      </c>
      <c r="AB40" s="12">
        <f>X40-W40</f>
        <v>48.079999999999927</v>
      </c>
      <c r="AC40" s="12">
        <f>Z40-Y40</f>
        <v>30.770000000000437</v>
      </c>
    </row>
    <row r="41" spans="3:31" x14ac:dyDescent="0.25">
      <c r="R41">
        <v>147</v>
      </c>
      <c r="T41">
        <v>10101.914728682101</v>
      </c>
      <c r="U41">
        <f t="shared" si="6"/>
        <v>168</v>
      </c>
      <c r="X41">
        <v>10412.99</v>
      </c>
      <c r="Y41">
        <v>10497.99</v>
      </c>
      <c r="Z41">
        <v>10528.76</v>
      </c>
      <c r="AB41" s="12">
        <f>X41-W41</f>
        <v>10412.99</v>
      </c>
      <c r="AC41" s="12">
        <f>Z41-Y41</f>
        <v>30.770000000000437</v>
      </c>
    </row>
    <row r="42" spans="3:31" x14ac:dyDescent="0.25">
      <c r="T42">
        <v>10269.914728682101</v>
      </c>
      <c r="U42">
        <f t="shared" si="6"/>
        <v>168</v>
      </c>
      <c r="W42">
        <v>10363.92</v>
      </c>
      <c r="X42">
        <v>10412.99</v>
      </c>
      <c r="Y42">
        <v>10497.99</v>
      </c>
      <c r="Z42">
        <v>10528.76</v>
      </c>
      <c r="AB42" s="12">
        <f>X42-W42</f>
        <v>49.069999999999709</v>
      </c>
      <c r="AC42" s="12">
        <f>Z42-Y42</f>
        <v>30.770000000000437</v>
      </c>
    </row>
    <row r="43" spans="3:31" x14ac:dyDescent="0.25">
      <c r="T43">
        <v>10437.914728682101</v>
      </c>
      <c r="U43">
        <f t="shared" si="6"/>
        <v>168</v>
      </c>
      <c r="W43">
        <v>10537.92</v>
      </c>
      <c r="X43">
        <v>10586</v>
      </c>
      <c r="Y43">
        <v>10665.99</v>
      </c>
      <c r="Z43">
        <v>10696.76</v>
      </c>
      <c r="AB43" s="12">
        <f>X43-W43</f>
        <v>48.079999999999927</v>
      </c>
      <c r="AC43" s="12">
        <f>Z43-Y43</f>
        <v>30.770000000000437</v>
      </c>
    </row>
    <row r="44" spans="3:31" x14ac:dyDescent="0.25">
      <c r="P44">
        <v>4842.8399167163398</v>
      </c>
      <c r="Q44">
        <f>P45-P44</f>
        <v>168</v>
      </c>
      <c r="T44">
        <v>10605.914728682101</v>
      </c>
      <c r="U44">
        <f t="shared" si="6"/>
        <v>170.85505764259869</v>
      </c>
      <c r="X44">
        <v>10412.99</v>
      </c>
      <c r="Y44">
        <v>10497.99</v>
      </c>
      <c r="Z44">
        <v>10528.76</v>
      </c>
      <c r="AB44" s="12">
        <f>X44-W44</f>
        <v>10412.99</v>
      </c>
      <c r="AC44" s="12">
        <f>Z44-Y44</f>
        <v>30.770000000000437</v>
      </c>
    </row>
    <row r="45" spans="3:31" x14ac:dyDescent="0.25">
      <c r="P45">
        <v>5010.8399167163398</v>
      </c>
      <c r="Q45">
        <f t="shared" ref="Q45:Q51" si="7">P46-P45</f>
        <v>168</v>
      </c>
      <c r="T45">
        <v>10776.769786324699</v>
      </c>
      <c r="U45">
        <f t="shared" si="6"/>
        <v>174</v>
      </c>
      <c r="W45">
        <v>10537.92</v>
      </c>
      <c r="X45">
        <v>10586</v>
      </c>
      <c r="Y45">
        <v>10665.99</v>
      </c>
      <c r="Z45">
        <v>10696.76</v>
      </c>
      <c r="AB45" s="12">
        <f>X45-W45</f>
        <v>48.079999999999927</v>
      </c>
      <c r="AC45" s="12">
        <f>Z45-Y45</f>
        <v>30.770000000000437</v>
      </c>
    </row>
    <row r="46" spans="3:31" x14ac:dyDescent="0.25">
      <c r="P46">
        <v>5178.8399167163398</v>
      </c>
      <c r="Q46">
        <f t="shared" si="7"/>
        <v>173.16008328366024</v>
      </c>
      <c r="T46">
        <v>10950.769786324699</v>
      </c>
      <c r="U46">
        <f t="shared" si="6"/>
        <v>174</v>
      </c>
    </row>
    <row r="47" spans="3:31" x14ac:dyDescent="0.25">
      <c r="P47">
        <v>5352</v>
      </c>
      <c r="Q47">
        <f t="shared" si="7"/>
        <v>174</v>
      </c>
      <c r="T47">
        <v>11124.769786324699</v>
      </c>
      <c r="U47">
        <f t="shared" si="6"/>
        <v>174</v>
      </c>
    </row>
    <row r="48" spans="3:31" x14ac:dyDescent="0.25">
      <c r="P48">
        <v>5526</v>
      </c>
      <c r="Q48">
        <f t="shared" si="7"/>
        <v>174</v>
      </c>
      <c r="T48">
        <v>11298.769786324699</v>
      </c>
      <c r="U48">
        <f t="shared" si="6"/>
        <v>174</v>
      </c>
    </row>
    <row r="49" spans="16:21" x14ac:dyDescent="0.25">
      <c r="P49">
        <v>5700</v>
      </c>
      <c r="Q49">
        <f t="shared" si="7"/>
        <v>174</v>
      </c>
      <c r="T49">
        <v>11472.769786324699</v>
      </c>
      <c r="U49">
        <f t="shared" si="6"/>
        <v>141.14494235740131</v>
      </c>
    </row>
    <row r="50" spans="16:21" x14ac:dyDescent="0.25">
      <c r="P50">
        <v>5874</v>
      </c>
      <c r="Q50">
        <f t="shared" si="7"/>
        <v>174</v>
      </c>
      <c r="T50">
        <v>11613.914728682101</v>
      </c>
    </row>
    <row r="51" spans="16:21" x14ac:dyDescent="0.25">
      <c r="P51">
        <v>6048</v>
      </c>
    </row>
    <row r="52" spans="16:21" x14ac:dyDescent="0.25">
      <c r="P52">
        <v>6222</v>
      </c>
    </row>
    <row r="53" spans="16:21" x14ac:dyDescent="0.25">
      <c r="P53">
        <v>6396</v>
      </c>
    </row>
    <row r="54" spans="16:21" x14ac:dyDescent="0.25">
      <c r="P54">
        <v>6570</v>
      </c>
    </row>
    <row r="55" spans="16:21" x14ac:dyDescent="0.25">
      <c r="P55">
        <v>6858.8399167163398</v>
      </c>
    </row>
    <row r="56" spans="16:21" x14ac:dyDescent="0.25">
      <c r="P56">
        <v>7026.8399167163398</v>
      </c>
    </row>
    <row r="57" spans="16:21" x14ac:dyDescent="0.25">
      <c r="P57">
        <v>7194.8399167163398</v>
      </c>
    </row>
    <row r="58" spans="16:21" x14ac:dyDescent="0.25">
      <c r="P58">
        <v>7362.8399167163398</v>
      </c>
    </row>
    <row r="59" spans="16:21" x14ac:dyDescent="0.25">
      <c r="P59">
        <v>7530.8399167163398</v>
      </c>
    </row>
    <row r="60" spans="16:21" x14ac:dyDescent="0.25">
      <c r="P60">
        <v>7698.8399167163398</v>
      </c>
    </row>
    <row r="61" spans="16:21" x14ac:dyDescent="0.25">
      <c r="P61">
        <v>7866.8399167163398</v>
      </c>
    </row>
    <row r="62" spans="16:21" x14ac:dyDescent="0.25">
      <c r="P62">
        <v>8034.8399167163398</v>
      </c>
    </row>
    <row r="63" spans="16:21" x14ac:dyDescent="0.25">
      <c r="P63">
        <v>8202.8399167163407</v>
      </c>
    </row>
    <row r="64" spans="16:21" x14ac:dyDescent="0.25">
      <c r="P64">
        <v>8370.8399167163407</v>
      </c>
    </row>
    <row r="65" spans="16:16" x14ac:dyDescent="0.25">
      <c r="P65">
        <v>8538.8399167163407</v>
      </c>
    </row>
    <row r="66" spans="16:16" x14ac:dyDescent="0.25">
      <c r="P66">
        <v>8706.8399167163298</v>
      </c>
    </row>
    <row r="67" spans="16:16" x14ac:dyDescent="0.25">
      <c r="P67">
        <v>8874.8399167163298</v>
      </c>
    </row>
    <row r="68" spans="16:16" x14ac:dyDescent="0.25">
      <c r="P68">
        <v>9042.8399167163298</v>
      </c>
    </row>
    <row r="69" spans="16:16" x14ac:dyDescent="0.25">
      <c r="P69">
        <v>9210.8399167163298</v>
      </c>
    </row>
    <row r="70" spans="16:16" x14ac:dyDescent="0.25">
      <c r="P70">
        <v>9378.8399167163298</v>
      </c>
    </row>
    <row r="71" spans="16:16" x14ac:dyDescent="0.25">
      <c r="P71">
        <v>9546.8399167163298</v>
      </c>
    </row>
    <row r="72" spans="16:16" x14ac:dyDescent="0.25">
      <c r="P72">
        <v>9714.8399167163298</v>
      </c>
    </row>
    <row r="73" spans="16:16" x14ac:dyDescent="0.25">
      <c r="P73">
        <v>9882.8399167163298</v>
      </c>
    </row>
    <row r="74" spans="16:16" x14ac:dyDescent="0.25">
      <c r="P74">
        <v>10050.839916716301</v>
      </c>
    </row>
    <row r="75" spans="16:16" x14ac:dyDescent="0.25">
      <c r="P75">
        <v>10224</v>
      </c>
    </row>
  </sheetData>
  <mergeCells count="6">
    <mergeCell ref="U18:W18"/>
    <mergeCell ref="E22:I22"/>
    <mergeCell ref="E19:I19"/>
    <mergeCell ref="AB8:AC8"/>
    <mergeCell ref="D28:E28"/>
    <mergeCell ref="G28:H2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D702-A918-4BE0-B9E1-2013F75C9A13}">
  <dimension ref="C1:Q30"/>
  <sheetViews>
    <sheetView zoomScale="85" zoomScaleNormal="85" workbookViewId="0">
      <selection activeCell="O4" sqref="O4"/>
    </sheetView>
  </sheetViews>
  <sheetFormatPr defaultRowHeight="15" x14ac:dyDescent="0.25"/>
  <cols>
    <col min="3" max="3" width="12" bestFit="1" customWidth="1"/>
    <col min="8" max="8" width="14.7109375" bestFit="1" customWidth="1"/>
    <col min="11" max="11" width="13.28515625" customWidth="1"/>
    <col min="12" max="12" width="31.85546875" customWidth="1"/>
    <col min="13" max="13" width="23.140625" customWidth="1"/>
    <col min="14" max="14" width="12" bestFit="1" customWidth="1"/>
  </cols>
  <sheetData>
    <row r="1" spans="3:17" x14ac:dyDescent="0.25">
      <c r="K1" t="s">
        <v>27</v>
      </c>
      <c r="L1">
        <v>1440</v>
      </c>
    </row>
    <row r="2" spans="3:17" x14ac:dyDescent="0.25">
      <c r="H2">
        <v>864</v>
      </c>
    </row>
    <row r="3" spans="3:17" x14ac:dyDescent="0.25">
      <c r="G3" t="s">
        <v>28</v>
      </c>
      <c r="H3">
        <f>H2*0.3</f>
        <v>259.2</v>
      </c>
      <c r="I3">
        <f>H2*0.7</f>
        <v>604.79999999999995</v>
      </c>
      <c r="J3" s="1"/>
      <c r="K3" s="1" t="s">
        <v>6</v>
      </c>
      <c r="L3" s="1" t="s">
        <v>7</v>
      </c>
      <c r="M3" s="1" t="s">
        <v>8</v>
      </c>
      <c r="N3" s="1"/>
      <c r="O3" s="1" t="s">
        <v>11</v>
      </c>
      <c r="P3" s="1" t="s">
        <v>12</v>
      </c>
      <c r="Q3" t="s">
        <v>10</v>
      </c>
    </row>
    <row r="4" spans="3:17" x14ac:dyDescent="0.25">
      <c r="C4">
        <v>0.16216</v>
      </c>
      <c r="D4" t="s">
        <v>3</v>
      </c>
      <c r="H4">
        <f>H5*2</f>
        <v>2000</v>
      </c>
      <c r="I4">
        <f>I5*2</f>
        <v>2280</v>
      </c>
      <c r="J4" s="1" t="s">
        <v>4</v>
      </c>
      <c r="K4" s="1">
        <f>K5*2</f>
        <v>2280</v>
      </c>
      <c r="L4" s="1">
        <v>20</v>
      </c>
      <c r="M4" s="1">
        <f>K4/L4</f>
        <v>114</v>
      </c>
      <c r="N4" s="1">
        <f>3*20/L4</f>
        <v>3</v>
      </c>
      <c r="O4" s="3">
        <f>3*18/(L4*0.7+L4*0.3*2)</f>
        <v>2.0769230769230771</v>
      </c>
      <c r="P4" s="3">
        <f>3*21/(L4*0.7+L4*0.3*2)</f>
        <v>2.4230769230769229</v>
      </c>
      <c r="Q4" s="3">
        <f>3*20/(L4*0.7+L4*0.3*2)</f>
        <v>2.3076923076923075</v>
      </c>
    </row>
    <row r="5" spans="3:17" x14ac:dyDescent="0.25">
      <c r="C5">
        <f>C4*E5</f>
        <v>0.97296000000000005</v>
      </c>
      <c r="D5" t="s">
        <v>0</v>
      </c>
      <c r="E5">
        <v>6</v>
      </c>
      <c r="F5" t="s">
        <v>2</v>
      </c>
      <c r="H5">
        <v>1000</v>
      </c>
      <c r="I5">
        <v>1140</v>
      </c>
      <c r="J5" s="1" t="s">
        <v>5</v>
      </c>
      <c r="K5" s="1">
        <v>1140</v>
      </c>
      <c r="L5" s="1">
        <v>20</v>
      </c>
      <c r="M5" s="1">
        <f>K5/L5</f>
        <v>57</v>
      </c>
      <c r="N5" s="1">
        <f>3*12/L5</f>
        <v>1.8</v>
      </c>
      <c r="O5" s="3">
        <f>3*10/(L5*0.7+L5*0.3*2)</f>
        <v>1.1538461538461537</v>
      </c>
      <c r="P5" s="3">
        <f>3*13/(L5*0.7+L5*0.3*2)</f>
        <v>1.5</v>
      </c>
      <c r="Q5" s="3">
        <f>3*12/(L5*0.7+L5*0.3*2)</f>
        <v>1.3846153846153846</v>
      </c>
    </row>
    <row r="6" spans="3:17" x14ac:dyDescent="0.25">
      <c r="C6">
        <v>36</v>
      </c>
      <c r="D6" t="s">
        <v>1</v>
      </c>
      <c r="K6">
        <f>K4/K5</f>
        <v>2</v>
      </c>
      <c r="L6">
        <f>M6*2</f>
        <v>1760</v>
      </c>
      <c r="M6">
        <f>20*44</f>
        <v>880</v>
      </c>
      <c r="N6">
        <f>20*58</f>
        <v>1160</v>
      </c>
    </row>
    <row r="7" spans="3:17" x14ac:dyDescent="0.25">
      <c r="C7">
        <f>C6/C5</f>
        <v>37.000493339911195</v>
      </c>
      <c r="I7">
        <f>I5/2</f>
        <v>570</v>
      </c>
      <c r="L7">
        <f>L8/24</f>
        <v>4.958333333333333</v>
      </c>
      <c r="M7">
        <f>M8/24</f>
        <v>5.833333333333333</v>
      </c>
    </row>
    <row r="8" spans="3:17" x14ac:dyDescent="0.25">
      <c r="K8" t="s">
        <v>17</v>
      </c>
      <c r="L8">
        <v>119</v>
      </c>
      <c r="M8">
        <v>140</v>
      </c>
      <c r="N8">
        <v>135</v>
      </c>
    </row>
    <row r="9" spans="3:17" x14ac:dyDescent="0.25">
      <c r="L9">
        <v>216</v>
      </c>
      <c r="M9">
        <v>238</v>
      </c>
    </row>
    <row r="10" spans="3:17" x14ac:dyDescent="0.25">
      <c r="H10">
        <v>221.751048394088</v>
      </c>
      <c r="L10">
        <f>L9/24</f>
        <v>9</v>
      </c>
      <c r="M10">
        <f>M9/24</f>
        <v>9.9166666666666661</v>
      </c>
      <c r="N10">
        <v>230</v>
      </c>
    </row>
    <row r="12" spans="3:17" x14ac:dyDescent="0.25">
      <c r="H12">
        <v>221.751048394088</v>
      </c>
    </row>
    <row r="13" spans="3:17" x14ac:dyDescent="0.25">
      <c r="H13" s="2">
        <f>H12-H10</f>
        <v>0</v>
      </c>
      <c r="L13" t="s">
        <v>9</v>
      </c>
      <c r="M13">
        <v>26397</v>
      </c>
      <c r="N13">
        <f>M13/24</f>
        <v>1099.875</v>
      </c>
      <c r="O13">
        <f>N13/365</f>
        <v>3.0133561643835618</v>
      </c>
    </row>
    <row r="14" spans="3:17" x14ac:dyDescent="0.25">
      <c r="E14">
        <v>52</v>
      </c>
      <c r="F14">
        <v>24</v>
      </c>
      <c r="G14">
        <v>7</v>
      </c>
      <c r="H14">
        <f>G14*F14*E14*3</f>
        <v>26208</v>
      </c>
      <c r="I14">
        <v>26397</v>
      </c>
      <c r="M14">
        <f>365*24*2</f>
        <v>17520</v>
      </c>
    </row>
    <row r="15" spans="3:17" x14ac:dyDescent="0.25">
      <c r="H15">
        <f>G14*F14*E14*2</f>
        <v>17472</v>
      </c>
      <c r="I15">
        <f>I14-H14</f>
        <v>189</v>
      </c>
    </row>
    <row r="16" spans="3:17" x14ac:dyDescent="0.25">
      <c r="J16">
        <v>5</v>
      </c>
      <c r="K16">
        <v>24</v>
      </c>
    </row>
    <row r="17" spans="8:16" x14ac:dyDescent="0.25">
      <c r="K17">
        <f>K16*J16</f>
        <v>120</v>
      </c>
      <c r="L17">
        <v>262</v>
      </c>
      <c r="M17">
        <f>L17/24</f>
        <v>10.916666666666666</v>
      </c>
    </row>
    <row r="18" spans="8:16" x14ac:dyDescent="0.25">
      <c r="J18" t="s">
        <v>15</v>
      </c>
      <c r="K18" t="s">
        <v>16</v>
      </c>
    </row>
    <row r="19" spans="8:16" x14ac:dyDescent="0.25">
      <c r="H19" t="s">
        <v>13</v>
      </c>
      <c r="I19">
        <v>140</v>
      </c>
      <c r="J19">
        <f>7*24</f>
        <v>168</v>
      </c>
      <c r="K19">
        <f>J19+I19</f>
        <v>308</v>
      </c>
    </row>
    <row r="20" spans="8:16" x14ac:dyDescent="0.25">
      <c r="H20" t="s">
        <v>14</v>
      </c>
      <c r="I20">
        <v>152</v>
      </c>
      <c r="J20">
        <f>7*24</f>
        <v>168</v>
      </c>
      <c r="K20">
        <f>J20+I20</f>
        <v>320</v>
      </c>
    </row>
    <row r="21" spans="8:16" x14ac:dyDescent="0.25">
      <c r="L21" t="s">
        <v>20</v>
      </c>
      <c r="N21" t="s">
        <v>21</v>
      </c>
    </row>
    <row r="22" spans="8:16" x14ac:dyDescent="0.25">
      <c r="H22" t="s">
        <v>18</v>
      </c>
      <c r="J22">
        <v>155.16120000000001</v>
      </c>
      <c r="L22">
        <v>21</v>
      </c>
      <c r="N22">
        <v>36</v>
      </c>
      <c r="O22">
        <v>1.8</v>
      </c>
    </row>
    <row r="23" spans="8:16" x14ac:dyDescent="0.25">
      <c r="H23" t="s">
        <v>19</v>
      </c>
      <c r="J23">
        <v>159.79349999999999</v>
      </c>
      <c r="L23">
        <v>23</v>
      </c>
      <c r="O23">
        <f>N22/O22</f>
        <v>20</v>
      </c>
      <c r="P23" t="s">
        <v>22</v>
      </c>
    </row>
    <row r="24" spans="8:16" x14ac:dyDescent="0.25">
      <c r="L24">
        <v>45</v>
      </c>
    </row>
    <row r="25" spans="8:16" x14ac:dyDescent="0.25">
      <c r="L25">
        <v>47</v>
      </c>
    </row>
    <row r="26" spans="8:16" x14ac:dyDescent="0.25">
      <c r="L26" t="s">
        <v>25</v>
      </c>
    </row>
    <row r="27" spans="8:16" x14ac:dyDescent="0.25">
      <c r="L27">
        <f>J22-L22</f>
        <v>134.16120000000001</v>
      </c>
      <c r="N27" t="s">
        <v>23</v>
      </c>
    </row>
    <row r="28" spans="8:16" x14ac:dyDescent="0.25">
      <c r="N28">
        <v>72</v>
      </c>
      <c r="O28">
        <v>3.6</v>
      </c>
    </row>
    <row r="29" spans="8:16" x14ac:dyDescent="0.25">
      <c r="K29" t="s">
        <v>26</v>
      </c>
      <c r="L29">
        <f>L27+O30</f>
        <v>174.16120000000001</v>
      </c>
      <c r="O29">
        <f>N28/O28</f>
        <v>20</v>
      </c>
    </row>
    <row r="30" spans="8:16" x14ac:dyDescent="0.25">
      <c r="N30" t="s">
        <v>24</v>
      </c>
      <c r="O30">
        <f>O29*2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valores_entradad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dieferson massarotto</dc:creator>
  <cp:lastModifiedBy>dieferson massarotto</cp:lastModifiedBy>
  <dcterms:created xsi:type="dcterms:W3CDTF">2025-01-14T14:19:43Z</dcterms:created>
  <dcterms:modified xsi:type="dcterms:W3CDTF">2025-02-28T17:46:27Z</dcterms:modified>
</cp:coreProperties>
</file>