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theme/themeOverride3.xml" ContentType="application/vnd.openxmlformats-officedocument.themeOverrid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slicers/slicer1.xml" ContentType="application/vnd.ms-excel.slicer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EstaPastaDeTrabalho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-python\"/>
    </mc:Choice>
  </mc:AlternateContent>
  <xr:revisionPtr revIDLastSave="0" documentId="13_ncr:1_{79F4355E-10F8-461C-83C6-344E7215988C}" xr6:coauthVersionLast="47" xr6:coauthVersionMax="47" xr10:uidLastSave="{00000000-0000-0000-0000-000000000000}"/>
  <bookViews>
    <workbookView xWindow="0" yWindow="0" windowWidth="14400" windowHeight="15600" firstSheet="4" activeTab="5" xr2:uid="{F4861128-A186-49E5-918A-C8C1B9913296}"/>
  </bookViews>
  <sheets>
    <sheet name="Visão Global" sheetId="6" r:id="rId1"/>
    <sheet name="Resumo | Onshore" sheetId="7" r:id="rId2"/>
    <sheet name="Resumo por Classes | Onshore" sheetId="5" r:id="rId3"/>
    <sheet name="Resumo Carteira | Onshore" sheetId="1" r:id="rId4"/>
    <sheet name="Carteira Atualizada" sheetId="9" r:id="rId5"/>
    <sheet name="Dados" sheetId="2" r:id="rId6"/>
    <sheet name="Informações Complementares" sheetId="3" r:id="rId7"/>
    <sheet name="BancoDeDados" sheetId="8" r:id="rId8"/>
  </sheets>
  <definedNames>
    <definedName name="_xlnm._FilterDatabase" localSheetId="7" hidden="1">BancoDeDados!$B$2:$V$2</definedName>
    <definedName name="SegmentaçãodeDados_Custódia">#N/A</definedName>
    <definedName name="SegmentaçãodeDados_Nomenclatura_Classe">#N/A</definedName>
  </definedNames>
  <calcPr calcId="191029"/>
  <pivotCaches>
    <pivotCache cacheId="0" r:id="rId9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0"/>
        <x14:slicerCache r:id="rId11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9" i="7" l="1"/>
  <c r="N9" i="7"/>
  <c r="L9" i="7"/>
  <c r="H9" i="7"/>
  <c r="AF7" i="3"/>
  <c r="AF8" i="3"/>
  <c r="AF9" i="3" l="1"/>
  <c r="AF10" i="3"/>
  <c r="AF11" i="3"/>
  <c r="W6" i="2"/>
  <c r="G8" i="6" l="1"/>
  <c r="G3" i="6"/>
  <c r="L21" i="1"/>
  <c r="M21" i="1" s="1"/>
  <c r="B7" i="2"/>
  <c r="B8" i="2"/>
  <c r="B9" i="2"/>
  <c r="B10" i="2"/>
  <c r="C7" i="2"/>
  <c r="C8" i="2"/>
  <c r="C9" i="2"/>
  <c r="C10" i="2"/>
  <c r="R7" i="2"/>
  <c r="AA7" i="2" s="1"/>
  <c r="AW7" i="2" s="1"/>
  <c r="R8" i="2"/>
  <c r="AA8" i="2" s="1"/>
  <c r="AW8" i="2" s="1"/>
  <c r="O21" i="1" s="1"/>
  <c r="R9" i="2"/>
  <c r="R10" i="2"/>
  <c r="S7" i="2"/>
  <c r="S8" i="2"/>
  <c r="S9" i="2"/>
  <c r="S10" i="2"/>
  <c r="T7" i="2"/>
  <c r="T8" i="2"/>
  <c r="T9" i="2"/>
  <c r="T10" i="2"/>
  <c r="U7" i="2"/>
  <c r="U8" i="2"/>
  <c r="U9" i="2"/>
  <c r="U10" i="2"/>
  <c r="Y7" i="2" a="1"/>
  <c r="Y7" i="2" s="1"/>
  <c r="Y8" i="2" a="1"/>
  <c r="Y8" i="2" s="1"/>
  <c r="Y9" i="2" a="1"/>
  <c r="Y9" i="2" s="1"/>
  <c r="Y10" i="2" a="1"/>
  <c r="Y10" i="2" s="1"/>
  <c r="AA9" i="2"/>
  <c r="AW9" i="2" s="1"/>
  <c r="O17" i="1" s="1"/>
  <c r="AA10" i="2"/>
  <c r="AW10" i="2" s="1"/>
  <c r="AL7" i="2"/>
  <c r="AL8" i="2"/>
  <c r="AL9" i="2"/>
  <c r="AL10" i="2"/>
  <c r="AM7" i="2"/>
  <c r="AM8" i="2"/>
  <c r="AM9" i="2"/>
  <c r="AM10" i="2"/>
  <c r="AX7" i="2"/>
  <c r="AX8" i="2"/>
  <c r="AX9" i="2"/>
  <c r="AX10" i="2"/>
  <c r="AY7" i="2"/>
  <c r="AY8" i="2"/>
  <c r="AY9" i="2"/>
  <c r="AY10" i="2"/>
  <c r="BM7" i="2"/>
  <c r="BM8" i="2"/>
  <c r="BM9" i="2"/>
  <c r="BM10" i="2"/>
  <c r="BO7" i="2" a="1"/>
  <c r="BO7" i="2" s="1"/>
  <c r="BO8" i="2" a="1"/>
  <c r="BO8" i="2" s="1"/>
  <c r="BO9" i="2" a="1"/>
  <c r="BO9" i="2" s="1"/>
  <c r="BO10" i="2" a="1"/>
  <c r="BO10" i="2" s="1"/>
  <c r="L24" i="1"/>
  <c r="M24" i="1" s="1"/>
  <c r="L17" i="1"/>
  <c r="M17" i="1" s="1"/>
  <c r="B6" i="2"/>
  <c r="C6" i="2"/>
  <c r="R6" i="2"/>
  <c r="S6" i="2"/>
  <c r="T6" i="2"/>
  <c r="U6" i="2"/>
  <c r="Y6" i="2" a="1"/>
  <c r="Y6" i="2" s="1"/>
  <c r="AL6" i="2"/>
  <c r="AM6" i="2"/>
  <c r="AX6" i="2"/>
  <c r="AY6" i="2"/>
  <c r="BM6" i="2"/>
  <c r="BO6" i="2" a="1"/>
  <c r="BO6" i="2" s="1"/>
  <c r="AU9" i="2" l="1"/>
  <c r="AU8" i="2"/>
  <c r="AU10" i="2"/>
  <c r="AU7" i="2"/>
  <c r="W7" i="2"/>
  <c r="W10" i="2"/>
  <c r="Z7" i="2"/>
  <c r="AT7" i="2" s="1"/>
  <c r="Z10" i="2"/>
  <c r="AT10" i="2" s="1"/>
  <c r="Z9" i="2"/>
  <c r="AT9" i="2" s="1"/>
  <c r="Z6" i="2"/>
  <c r="Z8" i="2"/>
  <c r="AT8" i="2" s="1"/>
  <c r="P17" i="1"/>
  <c r="W9" i="2"/>
  <c r="P21" i="1"/>
  <c r="W8" i="2"/>
  <c r="P24" i="1"/>
  <c r="BQ9" i="2"/>
  <c r="BT9" i="2" s="1"/>
  <c r="B12" i="5" a="1"/>
  <c r="B12" i="5" s="1"/>
  <c r="C12" i="5" s="1"/>
  <c r="L20" i="1"/>
  <c r="M20" i="1" s="1"/>
  <c r="O24" i="1"/>
  <c r="B10" i="5" a="1"/>
  <c r="B10" i="5" s="1"/>
  <c r="P20" i="1"/>
  <c r="O20" i="1"/>
  <c r="BQ8" i="2"/>
  <c r="BT8" i="2" s="1"/>
  <c r="BA8" i="2"/>
  <c r="BQ7" i="2"/>
  <c r="BT7" i="2" s="1"/>
  <c r="BA9" i="2"/>
  <c r="BQ10" i="2"/>
  <c r="BT10" i="2" s="1"/>
  <c r="BC8" i="2"/>
  <c r="L16" i="1"/>
  <c r="M16" i="1" s="1"/>
  <c r="AA6" i="2"/>
  <c r="AW6" i="2" s="1"/>
  <c r="BA10" i="2"/>
  <c r="BC10" i="2"/>
  <c r="BA7" i="2"/>
  <c r="BC7" i="2"/>
  <c r="BC9" i="2"/>
  <c r="O16" i="1"/>
  <c r="P16" i="1"/>
  <c r="AU6" i="2" l="1"/>
  <c r="BQ6" i="2"/>
  <c r="BS6" i="2" s="1"/>
  <c r="F14" i="1" a="1"/>
  <c r="F14" i="1" s="1"/>
  <c r="BS9" i="2"/>
  <c r="C13" i="5"/>
  <c r="BS8" i="2"/>
  <c r="D11" i="5"/>
  <c r="AT6" i="2"/>
  <c r="Q17" i="1"/>
  <c r="Q20" i="1"/>
  <c r="Q21" i="1"/>
  <c r="Q16" i="1"/>
  <c r="BC6" i="2"/>
  <c r="BA6" i="2"/>
  <c r="Q24" i="1"/>
  <c r="BS7" i="2"/>
  <c r="BH8" i="2"/>
  <c r="BS10" i="2"/>
  <c r="BJ8" i="2"/>
  <c r="BJ9" i="2"/>
  <c r="BH9" i="2"/>
  <c r="BH7" i="2"/>
  <c r="BJ7" i="2"/>
  <c r="BJ10" i="2"/>
  <c r="BH10" i="2"/>
  <c r="BT6" i="2" l="1"/>
  <c r="F18" i="1" a="1"/>
  <c r="F18" i="1" s="1"/>
  <c r="L18" i="1" s="1"/>
  <c r="M18" i="1" s="1"/>
  <c r="BF10" i="2"/>
  <c r="F25" i="1" a="1"/>
  <c r="J26" i="1" s="1"/>
  <c r="BH6" i="2"/>
  <c r="BI6" i="2" s="1" a="1"/>
  <c r="BI6" i="2" s="1"/>
  <c r="BF6" i="2"/>
  <c r="BF7" i="2"/>
  <c r="BF9" i="2"/>
  <c r="BD8" i="2"/>
  <c r="BF8" i="2"/>
  <c r="BD10" i="2"/>
  <c r="BD7" i="2"/>
  <c r="F22" i="1" a="1"/>
  <c r="F22" i="1" s="1"/>
  <c r="BD9" i="2"/>
  <c r="BI7" i="2" a="1"/>
  <c r="BI7" i="2" s="1"/>
  <c r="S24" i="1" s="1"/>
  <c r="BI10" i="2" a="1"/>
  <c r="BI10" i="2" s="1"/>
  <c r="BI8" i="2" a="1"/>
  <c r="BI8" i="2" s="1"/>
  <c r="S21" i="1" s="1"/>
  <c r="BI9" i="2" a="1"/>
  <c r="BI9" i="2" s="1"/>
  <c r="S17" i="1" s="1"/>
  <c r="X29" i="5"/>
  <c r="X28" i="5"/>
  <c r="X27" i="5"/>
  <c r="X26" i="5"/>
  <c r="X25" i="5"/>
  <c r="X24" i="5"/>
  <c r="X21" i="5"/>
  <c r="X22" i="5"/>
  <c r="X23" i="5"/>
  <c r="X19" i="5"/>
  <c r="X18" i="5"/>
  <c r="H18" i="1" l="1"/>
  <c r="P18" i="1"/>
  <c r="J18" i="1"/>
  <c r="S18" i="1"/>
  <c r="O18" i="1"/>
  <c r="Q18" i="1" s="1"/>
  <c r="L26" i="1"/>
  <c r="M26" i="1" s="1"/>
  <c r="P26" i="1"/>
  <c r="F25" i="1"/>
  <c r="H25" i="1" s="1"/>
  <c r="S26" i="1"/>
  <c r="H26" i="1"/>
  <c r="O26" i="1"/>
  <c r="Q26" i="1" s="1"/>
  <c r="P22" i="1"/>
  <c r="L22" i="1"/>
  <c r="M22" i="1" s="1"/>
  <c r="J22" i="1"/>
  <c r="O22" i="1"/>
  <c r="Q22" i="1" s="1"/>
  <c r="S22" i="1"/>
  <c r="H22" i="1"/>
  <c r="G5" i="9" a="1"/>
  <c r="G5" i="9" s="1"/>
  <c r="L5" i="9" a="1"/>
  <c r="L5" i="9" s="1"/>
  <c r="E5" i="9" a="1"/>
  <c r="E5" i="9" s="1"/>
  <c r="I5" i="9" a="1"/>
  <c r="I5" i="9" s="1"/>
  <c r="D5" i="9" a="1"/>
  <c r="D5" i="9" s="1"/>
  <c r="H5" i="9" a="1"/>
  <c r="H5" i="9" s="1"/>
  <c r="BJ6" i="2"/>
  <c r="X16" i="5"/>
  <c r="X17" i="5"/>
  <c r="X15" i="5"/>
  <c r="X20" i="5"/>
  <c r="X14" i="5"/>
  <c r="S25" i="1" l="1"/>
  <c r="O25" i="1"/>
  <c r="Q25" i="1" s="1"/>
  <c r="L25" i="1"/>
  <c r="M25" i="1" s="1"/>
  <c r="P25" i="1"/>
  <c r="J25" i="1"/>
  <c r="BK6" i="2" a="1"/>
  <c r="BK6" i="2" s="1"/>
  <c r="BK7" i="2" a="1"/>
  <c r="BK7" i="2" s="1"/>
  <c r="S20" i="1" s="1"/>
  <c r="BK8" i="2" a="1"/>
  <c r="BK8" i="2" s="1"/>
  <c r="BK9" i="2" a="1"/>
  <c r="BK9" i="2" s="1"/>
  <c r="S16" i="1" s="1"/>
  <c r="BK10" i="2" a="1"/>
  <c r="BK10" i="2" s="1"/>
  <c r="BD6" i="2"/>
  <c r="X10" i="5"/>
  <c r="X11" i="5"/>
  <c r="X13" i="5"/>
  <c r="X12" i="5"/>
  <c r="AF12" i="3" l="1"/>
  <c r="U20" i="6"/>
  <c r="T20" i="6"/>
  <c r="E4" i="3"/>
  <c r="E5" i="3"/>
  <c r="E6" i="3"/>
  <c r="E7" i="3"/>
  <c r="E8" i="3"/>
  <c r="E9" i="3"/>
  <c r="E10" i="3"/>
  <c r="E11" i="3"/>
  <c r="E13" i="3"/>
  <c r="E16" i="3"/>
  <c r="E17" i="3"/>
  <c r="E19" i="3"/>
  <c r="E20" i="3"/>
  <c r="E21" i="3"/>
  <c r="B21" i="1" s="1"/>
  <c r="E22" i="3"/>
  <c r="E14" i="3"/>
  <c r="F14" i="7" a="1"/>
  <c r="F14" i="7" s="1"/>
  <c r="N14" i="7" a="1"/>
  <c r="N14" i="7" s="1"/>
  <c r="P14" i="7" a="1"/>
  <c r="P14" i="7" s="1"/>
  <c r="X3" i="3"/>
  <c r="N16" i="7" a="1"/>
  <c r="N16" i="7" s="1"/>
  <c r="P16" i="7" a="1"/>
  <c r="P16" i="7" s="1"/>
  <c r="B2" i="9"/>
  <c r="L2" i="9"/>
  <c r="BR8" i="2" l="1"/>
  <c r="BR10" i="2"/>
  <c r="BR7" i="2"/>
  <c r="BR9" i="2"/>
  <c r="P14" i="1"/>
  <c r="J14" i="1"/>
  <c r="O14" i="1"/>
  <c r="H14" i="1"/>
  <c r="L14" i="1"/>
  <c r="M14" i="1" s="1"/>
  <c r="BU10" i="2" l="1"/>
  <c r="BU9" i="2"/>
  <c r="BU7" i="2"/>
  <c r="BU8" i="2"/>
  <c r="BR6" i="2"/>
  <c r="K5" i="9" a="1"/>
  <c r="K5" i="9" s="1"/>
  <c r="S14" i="1"/>
  <c r="E15" i="3"/>
  <c r="B17" i="1" s="1"/>
  <c r="Q14" i="1"/>
  <c r="E12" i="3"/>
  <c r="B13" i="1" s="1"/>
  <c r="E23" i="3"/>
  <c r="BU6" i="2" l="1"/>
  <c r="M5" i="9" a="1"/>
  <c r="M5" i="9" s="1"/>
  <c r="E25" i="3"/>
  <c r="E24" i="3"/>
  <c r="E3" i="8" a="1"/>
  <c r="E3" i="8" s="1"/>
  <c r="D3" i="8" a="1"/>
  <c r="D3" i="8" s="1"/>
  <c r="G3" i="8" a="1"/>
  <c r="G3" i="8" s="1"/>
  <c r="S3" i="8" l="1" a="1"/>
  <c r="S3" i="8" s="1"/>
  <c r="N8" i="7" l="1" a="1"/>
  <c r="N8" i="7" s="1"/>
  <c r="M3" i="8" a="1"/>
  <c r="M3" i="8" s="1"/>
  <c r="N52" i="8" l="1"/>
  <c r="N56" i="8"/>
  <c r="N60" i="8"/>
  <c r="N64" i="8"/>
  <c r="N68" i="8"/>
  <c r="N72" i="8"/>
  <c r="N76" i="8"/>
  <c r="N80" i="8"/>
  <c r="N84" i="8"/>
  <c r="N88" i="8"/>
  <c r="N92" i="8"/>
  <c r="N96" i="8"/>
  <c r="N100" i="8"/>
  <c r="N104" i="8"/>
  <c r="N108" i="8"/>
  <c r="N112" i="8"/>
  <c r="N124" i="8"/>
  <c r="N136" i="8"/>
  <c r="N137" i="8"/>
  <c r="N145" i="8"/>
  <c r="N53" i="8"/>
  <c r="N57" i="8"/>
  <c r="N61" i="8"/>
  <c r="N65" i="8"/>
  <c r="N69" i="8"/>
  <c r="N73" i="8"/>
  <c r="N77" i="8"/>
  <c r="N81" i="8"/>
  <c r="N85" i="8"/>
  <c r="N89" i="8"/>
  <c r="N93" i="8"/>
  <c r="N97" i="8"/>
  <c r="N101" i="8"/>
  <c r="N105" i="8"/>
  <c r="N109" i="8"/>
  <c r="N113" i="8"/>
  <c r="N117" i="8"/>
  <c r="N121" i="8"/>
  <c r="N125" i="8"/>
  <c r="N133" i="8"/>
  <c r="N50" i="8"/>
  <c r="N54" i="8"/>
  <c r="N58" i="8"/>
  <c r="N62" i="8"/>
  <c r="N66" i="8"/>
  <c r="N70" i="8"/>
  <c r="N74" i="8"/>
  <c r="N78" i="8"/>
  <c r="N82" i="8"/>
  <c r="N86" i="8"/>
  <c r="N90" i="8"/>
  <c r="N94" i="8"/>
  <c r="N98" i="8"/>
  <c r="N102" i="8"/>
  <c r="N106" i="8"/>
  <c r="N110" i="8"/>
  <c r="N114" i="8"/>
  <c r="N118" i="8"/>
  <c r="N122" i="8"/>
  <c r="N126" i="8"/>
  <c r="N130" i="8"/>
  <c r="N134" i="8"/>
  <c r="N138" i="8"/>
  <c r="N142" i="8"/>
  <c r="N146" i="8"/>
  <c r="N150" i="8"/>
  <c r="N120" i="8"/>
  <c r="N132" i="8"/>
  <c r="N144" i="8"/>
  <c r="N129" i="8"/>
  <c r="N149" i="8"/>
  <c r="N51" i="8"/>
  <c r="N55" i="8"/>
  <c r="N59" i="8"/>
  <c r="N63" i="8"/>
  <c r="N67" i="8"/>
  <c r="N71" i="8"/>
  <c r="N75" i="8"/>
  <c r="N79" i="8"/>
  <c r="N83" i="8"/>
  <c r="N87" i="8"/>
  <c r="N91" i="8"/>
  <c r="N95" i="8"/>
  <c r="N99" i="8"/>
  <c r="N103" i="8"/>
  <c r="N107" i="8"/>
  <c r="N111" i="8"/>
  <c r="N115" i="8"/>
  <c r="N119" i="8"/>
  <c r="N123" i="8"/>
  <c r="N127" i="8"/>
  <c r="N131" i="8"/>
  <c r="N135" i="8"/>
  <c r="N139" i="8"/>
  <c r="N143" i="8"/>
  <c r="N147" i="8"/>
  <c r="N116" i="8"/>
  <c r="N128" i="8"/>
  <c r="N140" i="8"/>
  <c r="N148" i="8"/>
  <c r="N141" i="8"/>
  <c r="B3" i="8" a="1"/>
  <c r="B3" i="8" s="1"/>
  <c r="I50" i="8"/>
  <c r="H51" i="8"/>
  <c r="L51" i="8"/>
  <c r="K52" i="8"/>
  <c r="J53" i="8"/>
  <c r="I54" i="8"/>
  <c r="H55" i="8"/>
  <c r="L55" i="8"/>
  <c r="K56" i="8"/>
  <c r="J57" i="8"/>
  <c r="I58" i="8"/>
  <c r="H59" i="8"/>
  <c r="L59" i="8"/>
  <c r="K60" i="8"/>
  <c r="J61" i="8"/>
  <c r="I62" i="8"/>
  <c r="H63" i="8"/>
  <c r="L63" i="8"/>
  <c r="K64" i="8"/>
  <c r="J65" i="8"/>
  <c r="I66" i="8"/>
  <c r="H67" i="8"/>
  <c r="L67" i="8"/>
  <c r="K68" i="8"/>
  <c r="J69" i="8"/>
  <c r="I70" i="8"/>
  <c r="J50" i="8"/>
  <c r="I51" i="8"/>
  <c r="H52" i="8"/>
  <c r="L52" i="8"/>
  <c r="K53" i="8"/>
  <c r="J54" i="8"/>
  <c r="I55" i="8"/>
  <c r="H56" i="8"/>
  <c r="L56" i="8"/>
  <c r="K57" i="8"/>
  <c r="J58" i="8"/>
  <c r="I59" i="8"/>
  <c r="H60" i="8"/>
  <c r="L60" i="8"/>
  <c r="K61" i="8"/>
  <c r="J62" i="8"/>
  <c r="I63" i="8"/>
  <c r="H64" i="8"/>
  <c r="L64" i="8"/>
  <c r="K65" i="8"/>
  <c r="J66" i="8"/>
  <c r="I67" i="8"/>
  <c r="H68" i="8"/>
  <c r="L68" i="8"/>
  <c r="K69" i="8"/>
  <c r="H50" i="8"/>
  <c r="L50" i="8"/>
  <c r="K51" i="8"/>
  <c r="J52" i="8"/>
  <c r="I53" i="8"/>
  <c r="H54" i="8"/>
  <c r="L54" i="8"/>
  <c r="K55" i="8"/>
  <c r="J56" i="8"/>
  <c r="I57" i="8"/>
  <c r="H58" i="8"/>
  <c r="L58" i="8"/>
  <c r="K59" i="8"/>
  <c r="J60" i="8"/>
  <c r="I61" i="8"/>
  <c r="H62" i="8"/>
  <c r="L62" i="8"/>
  <c r="K63" i="8"/>
  <c r="J64" i="8"/>
  <c r="I65" i="8"/>
  <c r="H66" i="8"/>
  <c r="L66" i="8"/>
  <c r="K67" i="8"/>
  <c r="J68" i="8"/>
  <c r="I69" i="8"/>
  <c r="H70" i="8"/>
  <c r="L70" i="8"/>
  <c r="H53" i="8"/>
  <c r="I56" i="8"/>
  <c r="J59" i="8"/>
  <c r="K62" i="8"/>
  <c r="L65" i="8"/>
  <c r="H69" i="8"/>
  <c r="H71" i="8"/>
  <c r="L71" i="8"/>
  <c r="K72" i="8"/>
  <c r="J73" i="8"/>
  <c r="I74" i="8"/>
  <c r="H75" i="8"/>
  <c r="L75" i="8"/>
  <c r="K76" i="8"/>
  <c r="J77" i="8"/>
  <c r="I78" i="8"/>
  <c r="H79" i="8"/>
  <c r="L79" i="8"/>
  <c r="K80" i="8"/>
  <c r="J81" i="8"/>
  <c r="I82" i="8"/>
  <c r="H83" i="8"/>
  <c r="L83" i="8"/>
  <c r="K84" i="8"/>
  <c r="J85" i="8"/>
  <c r="I86" i="8"/>
  <c r="H87" i="8"/>
  <c r="L87" i="8"/>
  <c r="K88" i="8"/>
  <c r="J89" i="8"/>
  <c r="I90" i="8"/>
  <c r="H91" i="8"/>
  <c r="L91" i="8"/>
  <c r="K92" i="8"/>
  <c r="J93" i="8"/>
  <c r="I94" i="8"/>
  <c r="H95" i="8"/>
  <c r="L95" i="8"/>
  <c r="K96" i="8"/>
  <c r="J97" i="8"/>
  <c r="I98" i="8"/>
  <c r="H99" i="8"/>
  <c r="L99" i="8"/>
  <c r="K100" i="8"/>
  <c r="J101" i="8"/>
  <c r="I102" i="8"/>
  <c r="H103" i="8"/>
  <c r="L103" i="8"/>
  <c r="K104" i="8"/>
  <c r="J105" i="8"/>
  <c r="I106" i="8"/>
  <c r="H107" i="8"/>
  <c r="L107" i="8"/>
  <c r="K108" i="8"/>
  <c r="J109" i="8"/>
  <c r="I110" i="8"/>
  <c r="H111" i="8"/>
  <c r="L111" i="8"/>
  <c r="K112" i="8"/>
  <c r="J113" i="8"/>
  <c r="I114" i="8"/>
  <c r="H115" i="8"/>
  <c r="L115" i="8"/>
  <c r="K116" i="8"/>
  <c r="J117" i="8"/>
  <c r="I118" i="8"/>
  <c r="H119" i="8"/>
  <c r="L119" i="8"/>
  <c r="K120" i="8"/>
  <c r="J121" i="8"/>
  <c r="I122" i="8"/>
  <c r="H123" i="8"/>
  <c r="L123" i="8"/>
  <c r="K124" i="8"/>
  <c r="J125" i="8"/>
  <c r="I126" i="8"/>
  <c r="H127" i="8"/>
  <c r="L127" i="8"/>
  <c r="K128" i="8"/>
  <c r="J129" i="8"/>
  <c r="I130" i="8"/>
  <c r="H131" i="8"/>
  <c r="K50" i="8"/>
  <c r="L53" i="8"/>
  <c r="H57" i="8"/>
  <c r="I60" i="8"/>
  <c r="J63" i="8"/>
  <c r="K66" i="8"/>
  <c r="L69" i="8"/>
  <c r="I71" i="8"/>
  <c r="H72" i="8"/>
  <c r="L72" i="8"/>
  <c r="K73" i="8"/>
  <c r="J74" i="8"/>
  <c r="I75" i="8"/>
  <c r="H76" i="8"/>
  <c r="L76" i="8"/>
  <c r="K77" i="8"/>
  <c r="J78" i="8"/>
  <c r="I79" i="8"/>
  <c r="H80" i="8"/>
  <c r="L80" i="8"/>
  <c r="K81" i="8"/>
  <c r="J82" i="8"/>
  <c r="I83" i="8"/>
  <c r="H84" i="8"/>
  <c r="L84" i="8"/>
  <c r="K85" i="8"/>
  <c r="J86" i="8"/>
  <c r="I87" i="8"/>
  <c r="H88" i="8"/>
  <c r="L88" i="8"/>
  <c r="K89" i="8"/>
  <c r="J90" i="8"/>
  <c r="I91" i="8"/>
  <c r="H92" i="8"/>
  <c r="L92" i="8"/>
  <c r="K93" i="8"/>
  <c r="J94" i="8"/>
  <c r="I95" i="8"/>
  <c r="H96" i="8"/>
  <c r="L96" i="8"/>
  <c r="K97" i="8"/>
  <c r="J98" i="8"/>
  <c r="I99" i="8"/>
  <c r="H100" i="8"/>
  <c r="L100" i="8"/>
  <c r="K101" i="8"/>
  <c r="J102" i="8"/>
  <c r="I103" i="8"/>
  <c r="H104" i="8"/>
  <c r="L104" i="8"/>
  <c r="K105" i="8"/>
  <c r="J106" i="8"/>
  <c r="I107" i="8"/>
  <c r="H108" i="8"/>
  <c r="L108" i="8"/>
  <c r="K109" i="8"/>
  <c r="J110" i="8"/>
  <c r="I111" i="8"/>
  <c r="H112" i="8"/>
  <c r="L112" i="8"/>
  <c r="K113" i="8"/>
  <c r="J114" i="8"/>
  <c r="I115" i="8"/>
  <c r="H116" i="8"/>
  <c r="L116" i="8"/>
  <c r="K117" i="8"/>
  <c r="J118" i="8"/>
  <c r="I119" i="8"/>
  <c r="H120" i="8"/>
  <c r="L120" i="8"/>
  <c r="K121" i="8"/>
  <c r="J122" i="8"/>
  <c r="I123" i="8"/>
  <c r="H124" i="8"/>
  <c r="L124" i="8"/>
  <c r="K125" i="8"/>
  <c r="J126" i="8"/>
  <c r="I127" i="8"/>
  <c r="H128" i="8"/>
  <c r="L128" i="8"/>
  <c r="K129" i="8"/>
  <c r="J130" i="8"/>
  <c r="J51" i="8"/>
  <c r="K54" i="8"/>
  <c r="L57" i="8"/>
  <c r="H61" i="8"/>
  <c r="I64" i="8"/>
  <c r="J67" i="8"/>
  <c r="J70" i="8"/>
  <c r="J71" i="8"/>
  <c r="I72" i="8"/>
  <c r="H73" i="8"/>
  <c r="L73" i="8"/>
  <c r="K74" i="8"/>
  <c r="J75" i="8"/>
  <c r="I76" i="8"/>
  <c r="H77" i="8"/>
  <c r="L77" i="8"/>
  <c r="K78" i="8"/>
  <c r="J79" i="8"/>
  <c r="I80" i="8"/>
  <c r="H81" i="8"/>
  <c r="L81" i="8"/>
  <c r="K82" i="8"/>
  <c r="J83" i="8"/>
  <c r="I84" i="8"/>
  <c r="H85" i="8"/>
  <c r="L85" i="8"/>
  <c r="K86" i="8"/>
  <c r="J87" i="8"/>
  <c r="I88" i="8"/>
  <c r="H89" i="8"/>
  <c r="L89" i="8"/>
  <c r="K90" i="8"/>
  <c r="J91" i="8"/>
  <c r="I92" i="8"/>
  <c r="H93" i="8"/>
  <c r="L93" i="8"/>
  <c r="K94" i="8"/>
  <c r="J95" i="8"/>
  <c r="I96" i="8"/>
  <c r="H97" i="8"/>
  <c r="L97" i="8"/>
  <c r="K98" i="8"/>
  <c r="J99" i="8"/>
  <c r="I100" i="8"/>
  <c r="H101" i="8"/>
  <c r="L101" i="8"/>
  <c r="K102" i="8"/>
  <c r="J103" i="8"/>
  <c r="I104" i="8"/>
  <c r="H105" i="8"/>
  <c r="L105" i="8"/>
  <c r="K106" i="8"/>
  <c r="J107" i="8"/>
  <c r="I108" i="8"/>
  <c r="H109" i="8"/>
  <c r="L109" i="8"/>
  <c r="K110" i="8"/>
  <c r="J111" i="8"/>
  <c r="I112" i="8"/>
  <c r="H113" i="8"/>
  <c r="L113" i="8"/>
  <c r="K114" i="8"/>
  <c r="J115" i="8"/>
  <c r="I116" i="8"/>
  <c r="H117" i="8"/>
  <c r="L117" i="8"/>
  <c r="K118" i="8"/>
  <c r="J119" i="8"/>
  <c r="I120" i="8"/>
  <c r="H121" i="8"/>
  <c r="L121" i="8"/>
  <c r="K122" i="8"/>
  <c r="J123" i="8"/>
  <c r="I124" i="8"/>
  <c r="H125" i="8"/>
  <c r="L125" i="8"/>
  <c r="K126" i="8"/>
  <c r="J127" i="8"/>
  <c r="I128" i="8"/>
  <c r="H129" i="8"/>
  <c r="L129" i="8"/>
  <c r="K130" i="8"/>
  <c r="I52" i="8"/>
  <c r="J55" i="8"/>
  <c r="K58" i="8"/>
  <c r="L61" i="8"/>
  <c r="H65" i="8"/>
  <c r="I68" i="8"/>
  <c r="K70" i="8"/>
  <c r="K71" i="8"/>
  <c r="J72" i="8"/>
  <c r="I73" i="8"/>
  <c r="H74" i="8"/>
  <c r="L74" i="8"/>
  <c r="K75" i="8"/>
  <c r="J76" i="8"/>
  <c r="I77" i="8"/>
  <c r="H78" i="8"/>
  <c r="L78" i="8"/>
  <c r="K79" i="8"/>
  <c r="J80" i="8"/>
  <c r="I81" i="8"/>
  <c r="H82" i="8"/>
  <c r="L82" i="8"/>
  <c r="K83" i="8"/>
  <c r="J84" i="8"/>
  <c r="I85" i="8"/>
  <c r="H86" i="8"/>
  <c r="L86" i="8"/>
  <c r="K87" i="8"/>
  <c r="J88" i="8"/>
  <c r="I89" i="8"/>
  <c r="H90" i="8"/>
  <c r="L90" i="8"/>
  <c r="K91" i="8"/>
  <c r="J92" i="8"/>
  <c r="I93" i="8"/>
  <c r="H94" i="8"/>
  <c r="L94" i="8"/>
  <c r="K95" i="8"/>
  <c r="J96" i="8"/>
  <c r="I97" i="8"/>
  <c r="H98" i="8"/>
  <c r="L98" i="8"/>
  <c r="K99" i="8"/>
  <c r="J100" i="8"/>
  <c r="I101" i="8"/>
  <c r="H102" i="8"/>
  <c r="L102" i="8"/>
  <c r="K103" i="8"/>
  <c r="J104" i="8"/>
  <c r="I105" i="8"/>
  <c r="H106" i="8"/>
  <c r="L106" i="8"/>
  <c r="K107" i="8"/>
  <c r="J108" i="8"/>
  <c r="I109" i="8"/>
  <c r="H110" i="8"/>
  <c r="L110" i="8"/>
  <c r="K111" i="8"/>
  <c r="J112" i="8"/>
  <c r="I113" i="8"/>
  <c r="H114" i="8"/>
  <c r="L114" i="8"/>
  <c r="K115" i="8"/>
  <c r="J116" i="8"/>
  <c r="I117" i="8"/>
  <c r="H118" i="8"/>
  <c r="L118" i="8"/>
  <c r="K119" i="8"/>
  <c r="J120" i="8"/>
  <c r="I121" i="8"/>
  <c r="H122" i="8"/>
  <c r="L122" i="8"/>
  <c r="K123" i="8"/>
  <c r="J124" i="8"/>
  <c r="I125" i="8"/>
  <c r="H126" i="8"/>
  <c r="L126" i="8"/>
  <c r="K127" i="8"/>
  <c r="J128" i="8"/>
  <c r="I129" i="8"/>
  <c r="H130" i="8"/>
  <c r="L130" i="8"/>
  <c r="K131" i="8"/>
  <c r="J132" i="8"/>
  <c r="I133" i="8"/>
  <c r="H134" i="8"/>
  <c r="L134" i="8"/>
  <c r="K135" i="8"/>
  <c r="J136" i="8"/>
  <c r="I137" i="8"/>
  <c r="H138" i="8"/>
  <c r="L138" i="8"/>
  <c r="K139" i="8"/>
  <c r="J140" i="8"/>
  <c r="I141" i="8"/>
  <c r="H142" i="8"/>
  <c r="L142" i="8"/>
  <c r="K143" i="8"/>
  <c r="J144" i="8"/>
  <c r="I145" i="8"/>
  <c r="H146" i="8"/>
  <c r="L146" i="8"/>
  <c r="K147" i="8"/>
  <c r="J148" i="8"/>
  <c r="I149" i="8"/>
  <c r="H150" i="8"/>
  <c r="L150" i="8"/>
  <c r="I131" i="8"/>
  <c r="I132" i="8"/>
  <c r="J133" i="8"/>
  <c r="J134" i="8"/>
  <c r="J135" i="8"/>
  <c r="K137" i="8"/>
  <c r="K138" i="8"/>
  <c r="L140" i="8"/>
  <c r="H143" i="8"/>
  <c r="H145" i="8"/>
  <c r="I147" i="8"/>
  <c r="J149" i="8"/>
  <c r="J131" i="8"/>
  <c r="K132" i="8"/>
  <c r="K133" i="8"/>
  <c r="K134" i="8"/>
  <c r="L135" i="8"/>
  <c r="L136" i="8"/>
  <c r="L137" i="8"/>
  <c r="H139" i="8"/>
  <c r="H140" i="8"/>
  <c r="H141" i="8"/>
  <c r="I142" i="8"/>
  <c r="I143" i="8"/>
  <c r="I144" i="8"/>
  <c r="J145" i="8"/>
  <c r="J146" i="8"/>
  <c r="J147" i="8"/>
  <c r="K148" i="8"/>
  <c r="K149" i="8"/>
  <c r="L131" i="8"/>
  <c r="L132" i="8"/>
  <c r="L133" i="8"/>
  <c r="H135" i="8"/>
  <c r="H136" i="8"/>
  <c r="H137" i="8"/>
  <c r="I138" i="8"/>
  <c r="I139" i="8"/>
  <c r="I140" i="8"/>
  <c r="J141" i="8"/>
  <c r="J142" i="8"/>
  <c r="J143" i="8"/>
  <c r="K144" i="8"/>
  <c r="K145" i="8"/>
  <c r="K146" i="8"/>
  <c r="L147" i="8"/>
  <c r="L148" i="8"/>
  <c r="L149" i="8"/>
  <c r="H132" i="8"/>
  <c r="H133" i="8"/>
  <c r="I134" i="8"/>
  <c r="I135" i="8"/>
  <c r="I136" i="8"/>
  <c r="J137" i="8"/>
  <c r="J138" i="8"/>
  <c r="J139" i="8"/>
  <c r="K140" i="8"/>
  <c r="K141" i="8"/>
  <c r="K142" i="8"/>
  <c r="L143" i="8"/>
  <c r="L144" i="8"/>
  <c r="L145" i="8"/>
  <c r="H147" i="8"/>
  <c r="H148" i="8"/>
  <c r="H149" i="8"/>
  <c r="I150" i="8"/>
  <c r="K136" i="8"/>
  <c r="L139" i="8"/>
  <c r="L141" i="8"/>
  <c r="H144" i="8"/>
  <c r="I146" i="8"/>
  <c r="I148" i="8"/>
  <c r="J150" i="8"/>
  <c r="K150" i="8"/>
  <c r="P3" i="8" a="1"/>
  <c r="Q3" i="8" a="1"/>
  <c r="Q3" i="8" s="1"/>
  <c r="N26" i="8" l="1"/>
  <c r="N49" i="8"/>
  <c r="I49" i="8"/>
  <c r="L49" i="8"/>
  <c r="K49" i="8"/>
  <c r="H49" i="8"/>
  <c r="J49" i="8"/>
  <c r="I41" i="8"/>
  <c r="I28" i="8"/>
  <c r="L44" i="8"/>
  <c r="I48" i="8"/>
  <c r="L30" i="8"/>
  <c r="H36" i="8"/>
  <c r="L45" i="8"/>
  <c r="J28" i="8"/>
  <c r="H32" i="8"/>
  <c r="I38" i="8"/>
  <c r="N38" i="8"/>
  <c r="K43" i="8"/>
  <c r="K30" i="8"/>
  <c r="L48" i="8"/>
  <c r="J37" i="8"/>
  <c r="J43" i="8"/>
  <c r="I37" i="8"/>
  <c r="H37" i="8"/>
  <c r="J42" i="8"/>
  <c r="K29" i="8"/>
  <c r="K44" i="8"/>
  <c r="L31" i="8"/>
  <c r="N33" i="8"/>
  <c r="K47" i="8"/>
  <c r="L34" i="8"/>
  <c r="K34" i="8"/>
  <c r="J38" i="8"/>
  <c r="L43" i="8"/>
  <c r="H31" i="8"/>
  <c r="N35" i="8"/>
  <c r="N42" i="8"/>
  <c r="N29" i="8"/>
  <c r="L46" i="8"/>
  <c r="J40" i="8"/>
  <c r="H34" i="8"/>
  <c r="K27" i="8"/>
  <c r="L33" i="8"/>
  <c r="J27" i="8"/>
  <c r="H48" i="8"/>
  <c r="K41" i="8"/>
  <c r="I35" i="8"/>
  <c r="L28" i="8"/>
  <c r="L47" i="8"/>
  <c r="J41" i="8"/>
  <c r="H35" i="8"/>
  <c r="K28" i="8"/>
  <c r="N40" i="8"/>
  <c r="H41" i="8"/>
  <c r="K46" i="8"/>
  <c r="J44" i="8"/>
  <c r="H38" i="8"/>
  <c r="K31" i="8"/>
  <c r="L37" i="8"/>
  <c r="J31" i="8"/>
  <c r="K45" i="8"/>
  <c r="I39" i="8"/>
  <c r="L32" i="8"/>
  <c r="H47" i="8"/>
  <c r="K40" i="8"/>
  <c r="I34" i="8"/>
  <c r="L27" i="8"/>
  <c r="N39" i="8"/>
  <c r="N45" i="8"/>
  <c r="N36" i="8"/>
  <c r="K42" i="8"/>
  <c r="H45" i="8"/>
  <c r="J47" i="8"/>
  <c r="I40" i="8"/>
  <c r="H46" i="8"/>
  <c r="L42" i="8"/>
  <c r="K39" i="8"/>
  <c r="J36" i="8"/>
  <c r="I33" i="8"/>
  <c r="H30" i="8"/>
  <c r="J39" i="8"/>
  <c r="I36" i="8"/>
  <c r="H33" i="8"/>
  <c r="L29" i="8"/>
  <c r="I47" i="8"/>
  <c r="H44" i="8"/>
  <c r="L40" i="8"/>
  <c r="K37" i="8"/>
  <c r="J34" i="8"/>
  <c r="I31" i="8"/>
  <c r="H28" i="8"/>
  <c r="I46" i="8"/>
  <c r="H43" i="8"/>
  <c r="L39" i="8"/>
  <c r="K36" i="8"/>
  <c r="J33" i="8"/>
  <c r="I30" i="8"/>
  <c r="H27" i="8"/>
  <c r="N47" i="8"/>
  <c r="N31" i="8"/>
  <c r="N34" i="8"/>
  <c r="N41" i="8"/>
  <c r="N48" i="8"/>
  <c r="N32" i="8"/>
  <c r="L41" i="8"/>
  <c r="I44" i="8"/>
  <c r="J48" i="8"/>
  <c r="I45" i="8"/>
  <c r="H42" i="8"/>
  <c r="L38" i="8"/>
  <c r="K35" i="8"/>
  <c r="J32" i="8"/>
  <c r="I29" i="8"/>
  <c r="K38" i="8"/>
  <c r="J35" i="8"/>
  <c r="I32" i="8"/>
  <c r="H29" i="8"/>
  <c r="J46" i="8"/>
  <c r="I43" i="8"/>
  <c r="H40" i="8"/>
  <c r="L36" i="8"/>
  <c r="K33" i="8"/>
  <c r="J30" i="8"/>
  <c r="I27" i="8"/>
  <c r="K48" i="8"/>
  <c r="J45" i="8"/>
  <c r="I42" i="8"/>
  <c r="H39" i="8"/>
  <c r="L35" i="8"/>
  <c r="K32" i="8"/>
  <c r="J29" i="8"/>
  <c r="N43" i="8"/>
  <c r="N27" i="8"/>
  <c r="N46" i="8"/>
  <c r="N30" i="8"/>
  <c r="N37" i="8"/>
  <c r="N44" i="8"/>
  <c r="N28" i="8"/>
  <c r="N4" i="8"/>
  <c r="N8" i="8"/>
  <c r="N12" i="8"/>
  <c r="N16" i="8"/>
  <c r="N20" i="8"/>
  <c r="N24" i="8"/>
  <c r="N5" i="8"/>
  <c r="N9" i="8"/>
  <c r="N13" i="8"/>
  <c r="N17" i="8"/>
  <c r="N21" i="8"/>
  <c r="N25" i="8"/>
  <c r="N6" i="8"/>
  <c r="N10" i="8"/>
  <c r="N14" i="8"/>
  <c r="N18" i="8"/>
  <c r="N22" i="8"/>
  <c r="N7" i="8"/>
  <c r="N11" i="8"/>
  <c r="N15" i="8"/>
  <c r="N19" i="8"/>
  <c r="N23" i="8"/>
  <c r="P3" i="8"/>
  <c r="K4" i="8"/>
  <c r="J5" i="8"/>
  <c r="I6" i="8"/>
  <c r="H7" i="8"/>
  <c r="L7" i="8"/>
  <c r="K8" i="8"/>
  <c r="J9" i="8"/>
  <c r="I10" i="8"/>
  <c r="H11" i="8"/>
  <c r="L11" i="8"/>
  <c r="K12" i="8"/>
  <c r="J13" i="8"/>
  <c r="I14" i="8"/>
  <c r="H15" i="8"/>
  <c r="L15" i="8"/>
  <c r="K16" i="8"/>
  <c r="J17" i="8"/>
  <c r="I18" i="8"/>
  <c r="H19" i="8"/>
  <c r="L19" i="8"/>
  <c r="K20" i="8"/>
  <c r="J21" i="8"/>
  <c r="I22" i="8"/>
  <c r="H23" i="8"/>
  <c r="L23" i="8"/>
  <c r="K24" i="8"/>
  <c r="J25" i="8"/>
  <c r="I26" i="8"/>
  <c r="H4" i="8"/>
  <c r="L4" i="8"/>
  <c r="K5" i="8"/>
  <c r="J6" i="8"/>
  <c r="I7" i="8"/>
  <c r="H8" i="8"/>
  <c r="L8" i="8"/>
  <c r="K9" i="8"/>
  <c r="J10" i="8"/>
  <c r="I11" i="8"/>
  <c r="H12" i="8"/>
  <c r="L12" i="8"/>
  <c r="K13" i="8"/>
  <c r="J14" i="8"/>
  <c r="I15" i="8"/>
  <c r="H16" i="8"/>
  <c r="L16" i="8"/>
  <c r="K17" i="8"/>
  <c r="J18" i="8"/>
  <c r="I19" i="8"/>
  <c r="H20" i="8"/>
  <c r="L20" i="8"/>
  <c r="K21" i="8"/>
  <c r="J22" i="8"/>
  <c r="I23" i="8"/>
  <c r="H24" i="8"/>
  <c r="L24" i="8"/>
  <c r="K25" i="8"/>
  <c r="J26" i="8"/>
  <c r="I4" i="8"/>
  <c r="H5" i="8"/>
  <c r="L5" i="8"/>
  <c r="K6" i="8"/>
  <c r="J7" i="8"/>
  <c r="I8" i="8"/>
  <c r="H9" i="8"/>
  <c r="L9" i="8"/>
  <c r="K10" i="8"/>
  <c r="J11" i="8"/>
  <c r="I12" i="8"/>
  <c r="H13" i="8"/>
  <c r="L13" i="8"/>
  <c r="K14" i="8"/>
  <c r="J15" i="8"/>
  <c r="I16" i="8"/>
  <c r="H17" i="8"/>
  <c r="L17" i="8"/>
  <c r="K18" i="8"/>
  <c r="J19" i="8"/>
  <c r="I20" i="8"/>
  <c r="H21" i="8"/>
  <c r="L21" i="8"/>
  <c r="K22" i="8"/>
  <c r="J23" i="8"/>
  <c r="I24" i="8"/>
  <c r="H25" i="8"/>
  <c r="L25" i="8"/>
  <c r="K26" i="8"/>
  <c r="J4" i="8"/>
  <c r="I5" i="8"/>
  <c r="H6" i="8"/>
  <c r="L6" i="8"/>
  <c r="K7" i="8"/>
  <c r="J8" i="8"/>
  <c r="I9" i="8"/>
  <c r="H10" i="8"/>
  <c r="L10" i="8"/>
  <c r="K11" i="8"/>
  <c r="J12" i="8"/>
  <c r="I13" i="8"/>
  <c r="H14" i="8"/>
  <c r="L14" i="8"/>
  <c r="K15" i="8"/>
  <c r="J16" i="8"/>
  <c r="I17" i="8"/>
  <c r="H18" i="8"/>
  <c r="L18" i="8"/>
  <c r="K19" i="8"/>
  <c r="J20" i="8"/>
  <c r="I21" i="8"/>
  <c r="H22" i="8"/>
  <c r="L22" i="8"/>
  <c r="K23" i="8"/>
  <c r="J24" i="8"/>
  <c r="I25" i="8"/>
  <c r="H26" i="8"/>
  <c r="L26" i="8"/>
  <c r="L13" i="1"/>
  <c r="M13" i="1" s="1"/>
  <c r="D5" i="6" l="1"/>
  <c r="D9" i="6" l="1"/>
  <c r="S16" i="6" l="1" a="1"/>
  <c r="S16" i="6" s="1"/>
  <c r="B6" i="6" a="1"/>
  <c r="D8" i="6"/>
  <c r="X15" i="6"/>
  <c r="U8" i="5" a="1"/>
  <c r="U8" i="5" s="1"/>
  <c r="P12" i="7" a="1"/>
  <c r="P12" i="7" s="1"/>
  <c r="P11" i="7" a="1"/>
  <c r="P11" i="7" s="1"/>
  <c r="P10" i="7" a="1"/>
  <c r="P10" i="7" s="1"/>
  <c r="N12" i="7" a="1"/>
  <c r="N12" i="7" s="1"/>
  <c r="N11" i="7" a="1"/>
  <c r="N11" i="7" s="1"/>
  <c r="N10" i="7" a="1"/>
  <c r="N10" i="7" s="1"/>
  <c r="P8" i="7" a="1"/>
  <c r="P8" i="7" s="1"/>
  <c r="E16" i="6" s="1"/>
  <c r="AT45" i="3"/>
  <c r="AT34" i="3" s="1"/>
  <c r="U19" i="6" l="1"/>
  <c r="T19" i="6"/>
  <c r="O3" i="8" a="1"/>
  <c r="O3" i="8" s="1"/>
  <c r="P5" i="1"/>
  <c r="H5" i="1"/>
  <c r="L4" i="1"/>
  <c r="M4" i="1" s="1"/>
  <c r="P3" i="1"/>
  <c r="H3" i="1"/>
  <c r="L2" i="1"/>
  <c r="M2" i="1" s="1"/>
  <c r="O5" i="1"/>
  <c r="S4" i="1"/>
  <c r="J4" i="1"/>
  <c r="O3" i="1"/>
  <c r="S2" i="1"/>
  <c r="J2" i="1"/>
  <c r="L5" i="1"/>
  <c r="M5" i="1" s="1"/>
  <c r="P4" i="1"/>
  <c r="H4" i="1"/>
  <c r="L3" i="1"/>
  <c r="M3" i="1" s="1"/>
  <c r="P2" i="1"/>
  <c r="H2" i="1"/>
  <c r="S5" i="1"/>
  <c r="J5" i="1"/>
  <c r="O4" i="1"/>
  <c r="S3" i="1"/>
  <c r="J3" i="1"/>
  <c r="O2" i="1"/>
  <c r="D3" i="6"/>
  <c r="T15" i="6" s="1"/>
  <c r="P13" i="1"/>
  <c r="U15" i="6"/>
  <c r="G11" i="6"/>
  <c r="H9" i="6"/>
  <c r="B6" i="6"/>
  <c r="T18" i="6"/>
  <c r="U18" i="6"/>
  <c r="T16" i="6"/>
  <c r="T17" i="6"/>
  <c r="AU34" i="3"/>
  <c r="AV34" i="3" s="1"/>
  <c r="AW34" i="3"/>
  <c r="AX34" i="3" s="1"/>
  <c r="AT40" i="3"/>
  <c r="AY40" i="3" s="1"/>
  <c r="AY45" i="3"/>
  <c r="AT43" i="3"/>
  <c r="AT38" i="3"/>
  <c r="AY38" i="3" s="1"/>
  <c r="AT35" i="3"/>
  <c r="AT37" i="3"/>
  <c r="AW45" i="3"/>
  <c r="AT44" i="3"/>
  <c r="AY44" i="3" s="1"/>
  <c r="AT41" i="3"/>
  <c r="AT36" i="3"/>
  <c r="AY36" i="3" s="1"/>
  <c r="AU45" i="3"/>
  <c r="AT42" i="3"/>
  <c r="AY42" i="3" s="1"/>
  <c r="AT39" i="3"/>
  <c r="AY34" i="3"/>
  <c r="N3" i="8" l="1"/>
  <c r="L3" i="8"/>
  <c r="H3" i="8"/>
  <c r="K3" i="8"/>
  <c r="J3" i="8"/>
  <c r="I3" i="8"/>
  <c r="T13" i="6"/>
  <c r="W20" i="6" s="1"/>
  <c r="B2" i="7"/>
  <c r="Q5" i="1"/>
  <c r="Q2" i="1"/>
  <c r="Q3" i="1"/>
  <c r="Q4" i="1"/>
  <c r="W15" i="6"/>
  <c r="D11" i="6"/>
  <c r="D10" i="6" s="1"/>
  <c r="E9" i="6"/>
  <c r="O13" i="1"/>
  <c r="R3" i="8" a="1"/>
  <c r="R3" i="8" s="1"/>
  <c r="C1" i="5"/>
  <c r="D6" i="6"/>
  <c r="E6" i="6" s="1"/>
  <c r="X8" i="5"/>
  <c r="U17" i="6"/>
  <c r="AU36" i="3"/>
  <c r="AW36" i="3"/>
  <c r="AW37" i="3"/>
  <c r="AU37" i="3"/>
  <c r="AY37" i="3"/>
  <c r="AW39" i="3"/>
  <c r="AU39" i="3"/>
  <c r="AY39" i="3"/>
  <c r="AW41" i="3"/>
  <c r="AY41" i="3"/>
  <c r="AU41" i="3"/>
  <c r="AW35" i="3"/>
  <c r="AX35" i="3" s="1"/>
  <c r="AY35" i="3"/>
  <c r="AU35" i="3"/>
  <c r="AV35" i="3" s="1"/>
  <c r="AU40" i="3"/>
  <c r="AW40" i="3"/>
  <c r="AU42" i="3"/>
  <c r="AW42" i="3"/>
  <c r="AU44" i="3"/>
  <c r="AW44" i="3"/>
  <c r="AU38" i="3"/>
  <c r="AW38" i="3"/>
  <c r="AW43" i="3"/>
  <c r="AY43" i="3"/>
  <c r="AU43" i="3"/>
  <c r="W17" i="6" l="1"/>
  <c r="E18" i="3"/>
  <c r="B24" i="1" s="1"/>
  <c r="K2" i="9"/>
  <c r="W18" i="6"/>
  <c r="W19" i="6"/>
  <c r="W16" i="6"/>
  <c r="AV36" i="3"/>
  <c r="AV37" i="3" s="1"/>
  <c r="AV38" i="3" s="1"/>
  <c r="AV39" i="3" s="1"/>
  <c r="AV40" i="3" s="1"/>
  <c r="AV41" i="3" s="1"/>
  <c r="AV42" i="3" s="1"/>
  <c r="AV43" i="3" s="1"/>
  <c r="AV44" i="3" s="1"/>
  <c r="AV45" i="3" s="1"/>
  <c r="AX36" i="3"/>
  <c r="AX37" i="3" s="1"/>
  <c r="AX38" i="3" s="1"/>
  <c r="AX39" i="3" s="1"/>
  <c r="AX40" i="3" s="1"/>
  <c r="AX41" i="3" s="1"/>
  <c r="AX42" i="3" s="1"/>
  <c r="AX43" i="3" s="1"/>
  <c r="AX44" i="3" s="1"/>
  <c r="AX45" i="3" s="1"/>
  <c r="AL36" i="3" l="1"/>
  <c r="AK36" i="3"/>
  <c r="AJ36" i="3"/>
  <c r="AF13" i="3" l="1"/>
  <c r="AF14" i="3"/>
  <c r="AF15" i="3"/>
  <c r="AF16" i="3"/>
  <c r="AF17" i="3"/>
  <c r="AF18" i="3"/>
  <c r="AF19" i="3"/>
  <c r="AF20" i="3"/>
  <c r="AF21" i="3"/>
  <c r="AF22" i="3"/>
  <c r="AF23" i="3"/>
  <c r="D11" i="7" l="1"/>
  <c r="D8" i="7"/>
  <c r="B2" i="2"/>
  <c r="B11" i="7" s="1"/>
  <c r="H8" i="5"/>
  <c r="K5" i="5"/>
  <c r="H5" i="5" s="1"/>
  <c r="F7" i="5" a="1"/>
  <c r="L28" i="1"/>
  <c r="F8" i="1"/>
  <c r="F7" i="5" l="1"/>
  <c r="H7" i="5" s="1"/>
  <c r="O11" i="1"/>
  <c r="L11" i="1" s="1"/>
  <c r="J6" i="7"/>
  <c r="B9" i="7"/>
  <c r="B8" i="7"/>
  <c r="B10" i="7"/>
  <c r="S11" i="1"/>
  <c r="S28" i="1" l="1"/>
  <c r="A1" i="8" s="1"/>
  <c r="W28" i="1"/>
  <c r="D2" i="7"/>
  <c r="J14" i="7"/>
  <c r="J16" i="7"/>
  <c r="D14" i="7"/>
  <c r="J8" i="7"/>
  <c r="J12" i="7"/>
  <c r="J11" i="7"/>
  <c r="J10" i="7"/>
  <c r="L6" i="7"/>
  <c r="H6" i="7"/>
  <c r="J9" i="7" l="1"/>
  <c r="H14" i="7"/>
  <c r="H16" i="7"/>
  <c r="D10" i="7"/>
  <c r="H8" i="7"/>
  <c r="H12" i="7"/>
  <c r="H11" i="7"/>
  <c r="H10" i="7"/>
  <c r="D9" i="7"/>
  <c r="B3" i="2"/>
  <c r="N3" i="3"/>
  <c r="AF24" i="3"/>
  <c r="L14" i="7" s="1" a="1"/>
  <c r="L14" i="7" s="1"/>
  <c r="AE3" i="3"/>
  <c r="AD3" i="3"/>
  <c r="AC3" i="3"/>
  <c r="AB3" i="3"/>
  <c r="AA3" i="3"/>
  <c r="Z3" i="3"/>
  <c r="Z5" i="3" a="1"/>
  <c r="Z5" i="3" s="1"/>
  <c r="I9" i="3"/>
  <c r="I8" i="3"/>
  <c r="L9" i="3"/>
  <c r="J9" i="3"/>
  <c r="H9" i="3"/>
  <c r="L8" i="3"/>
  <c r="J8" i="3"/>
  <c r="H8" i="3"/>
  <c r="G4" i="3" a="1"/>
  <c r="AI4" i="3" a="1"/>
  <c r="AO4" i="3" a="1"/>
  <c r="AY27" i="3"/>
  <c r="AX27" i="3"/>
  <c r="AW27" i="3"/>
  <c r="AV27" i="3"/>
  <c r="AY26" i="3"/>
  <c r="AX26" i="3"/>
  <c r="AW26" i="3"/>
  <c r="AV26" i="3"/>
  <c r="AY25" i="3"/>
  <c r="AX25" i="3"/>
  <c r="AW25" i="3"/>
  <c r="AV25" i="3"/>
  <c r="AY24" i="3"/>
  <c r="AX24" i="3"/>
  <c r="AW24" i="3"/>
  <c r="AV24" i="3"/>
  <c r="AY23" i="3"/>
  <c r="AX23" i="3"/>
  <c r="AW23" i="3"/>
  <c r="AV23" i="3"/>
  <c r="AY22" i="3"/>
  <c r="AX22" i="3"/>
  <c r="AW22" i="3"/>
  <c r="AV22" i="3"/>
  <c r="AY21" i="3"/>
  <c r="AX21" i="3"/>
  <c r="AW21" i="3"/>
  <c r="AV21" i="3"/>
  <c r="AY20" i="3"/>
  <c r="AX20" i="3"/>
  <c r="AW20" i="3"/>
  <c r="AV20" i="3"/>
  <c r="AY19" i="3"/>
  <c r="AX19" i="3"/>
  <c r="AW19" i="3"/>
  <c r="AV19" i="3"/>
  <c r="AY18" i="3"/>
  <c r="AX18" i="3"/>
  <c r="AW18" i="3"/>
  <c r="AV18" i="3"/>
  <c r="AY17" i="3"/>
  <c r="AX17" i="3"/>
  <c r="AW17" i="3"/>
  <c r="AV17" i="3"/>
  <c r="AY16" i="3"/>
  <c r="AX16" i="3"/>
  <c r="AW16" i="3"/>
  <c r="AV16" i="3"/>
  <c r="AY15" i="3"/>
  <c r="AX15" i="3"/>
  <c r="AW15" i="3"/>
  <c r="AV15" i="3"/>
  <c r="AY14" i="3"/>
  <c r="AX14" i="3"/>
  <c r="AW14" i="3"/>
  <c r="AV14" i="3"/>
  <c r="AY13" i="3"/>
  <c r="AX13" i="3"/>
  <c r="AW13" i="3"/>
  <c r="AV13" i="3"/>
  <c r="AY12" i="3"/>
  <c r="AX12" i="3"/>
  <c r="AW12" i="3"/>
  <c r="AV12" i="3"/>
  <c r="AY11" i="3"/>
  <c r="AX11" i="3"/>
  <c r="AW11" i="3"/>
  <c r="AV11" i="3"/>
  <c r="AY10" i="3"/>
  <c r="AX10" i="3"/>
  <c r="AW10" i="3"/>
  <c r="AV10" i="3"/>
  <c r="AS27" i="3"/>
  <c r="AR27" i="3"/>
  <c r="AQ27" i="3"/>
  <c r="AP27" i="3"/>
  <c r="AS26" i="3"/>
  <c r="AR26" i="3"/>
  <c r="AQ26" i="3"/>
  <c r="AP26" i="3"/>
  <c r="AS25" i="3"/>
  <c r="AR25" i="3"/>
  <c r="AQ25" i="3"/>
  <c r="AP25" i="3"/>
  <c r="AS24" i="3"/>
  <c r="AR24" i="3"/>
  <c r="AQ24" i="3"/>
  <c r="AP24" i="3"/>
  <c r="AS23" i="3"/>
  <c r="AR23" i="3"/>
  <c r="AQ23" i="3"/>
  <c r="AP23" i="3"/>
  <c r="AS22" i="3"/>
  <c r="AR22" i="3"/>
  <c r="AQ22" i="3"/>
  <c r="AP22" i="3"/>
  <c r="AS21" i="3"/>
  <c r="AR21" i="3"/>
  <c r="AQ21" i="3"/>
  <c r="AP21" i="3"/>
  <c r="AS20" i="3"/>
  <c r="AR20" i="3"/>
  <c r="AQ20" i="3"/>
  <c r="AP20" i="3"/>
  <c r="AS19" i="3"/>
  <c r="AR19" i="3"/>
  <c r="AQ19" i="3"/>
  <c r="AP19" i="3"/>
  <c r="AS18" i="3"/>
  <c r="AR18" i="3"/>
  <c r="AQ18" i="3"/>
  <c r="AP18" i="3"/>
  <c r="AS17" i="3"/>
  <c r="AR17" i="3"/>
  <c r="AQ17" i="3"/>
  <c r="AP17" i="3"/>
  <c r="AS16" i="3"/>
  <c r="AR16" i="3"/>
  <c r="AQ16" i="3"/>
  <c r="AP16" i="3"/>
  <c r="AS15" i="3"/>
  <c r="AR15" i="3"/>
  <c r="AQ15" i="3"/>
  <c r="AP15" i="3"/>
  <c r="AS14" i="3"/>
  <c r="AR14" i="3"/>
  <c r="AQ14" i="3"/>
  <c r="AP14" i="3"/>
  <c r="AS13" i="3"/>
  <c r="AR13" i="3"/>
  <c r="AQ13" i="3"/>
  <c r="AP13" i="3"/>
  <c r="AS12" i="3"/>
  <c r="AR12" i="3"/>
  <c r="AQ12" i="3"/>
  <c r="AP12" i="3"/>
  <c r="AL27" i="3"/>
  <c r="AL26" i="3"/>
  <c r="AL25" i="3"/>
  <c r="AL24" i="3"/>
  <c r="AL23" i="3"/>
  <c r="AL22" i="3"/>
  <c r="AL21" i="3"/>
  <c r="AL20" i="3"/>
  <c r="AL19" i="3"/>
  <c r="AL18" i="3"/>
  <c r="AL17" i="3"/>
  <c r="AL16" i="3"/>
  <c r="AL15" i="3"/>
  <c r="AL14" i="3"/>
  <c r="AL13" i="3"/>
  <c r="AL12" i="3"/>
  <c r="AL11" i="3"/>
  <c r="AL10" i="3"/>
  <c r="AL9" i="3"/>
  <c r="AL8" i="3"/>
  <c r="AM27" i="3"/>
  <c r="AK27" i="3"/>
  <c r="AJ27" i="3"/>
  <c r="AM26" i="3"/>
  <c r="AK26" i="3"/>
  <c r="AJ26" i="3"/>
  <c r="AM25" i="3"/>
  <c r="AK25" i="3"/>
  <c r="AJ25" i="3"/>
  <c r="AM24" i="3"/>
  <c r="AK24" i="3"/>
  <c r="AJ24" i="3"/>
  <c r="AM23" i="3"/>
  <c r="AK23" i="3"/>
  <c r="AJ23" i="3"/>
  <c r="AM22" i="3"/>
  <c r="AK22" i="3"/>
  <c r="AJ22" i="3"/>
  <c r="AM21" i="3"/>
  <c r="AK21" i="3"/>
  <c r="AJ21" i="3"/>
  <c r="AM20" i="3"/>
  <c r="AK20" i="3"/>
  <c r="AJ20" i="3"/>
  <c r="AM19" i="3"/>
  <c r="AK19" i="3"/>
  <c r="AJ19" i="3"/>
  <c r="AM18" i="3"/>
  <c r="AK18" i="3"/>
  <c r="AJ18" i="3"/>
  <c r="AM17" i="3"/>
  <c r="AK17" i="3"/>
  <c r="AJ17" i="3"/>
  <c r="AM16" i="3"/>
  <c r="AK16" i="3"/>
  <c r="AJ16" i="3"/>
  <c r="AM15" i="3"/>
  <c r="AK15" i="3"/>
  <c r="AJ15" i="3"/>
  <c r="AM14" i="3"/>
  <c r="AK14" i="3"/>
  <c r="AJ14" i="3"/>
  <c r="AM13" i="3"/>
  <c r="AK13" i="3"/>
  <c r="AJ13" i="3"/>
  <c r="AM12" i="3"/>
  <c r="AK12" i="3"/>
  <c r="AJ12" i="3"/>
  <c r="AM11" i="3"/>
  <c r="AK11" i="3"/>
  <c r="AJ11" i="3"/>
  <c r="AM10" i="3"/>
  <c r="AK10" i="3"/>
  <c r="AJ10" i="3"/>
  <c r="AM9" i="3"/>
  <c r="AK9" i="3"/>
  <c r="AJ9" i="3"/>
  <c r="AM8" i="3"/>
  <c r="AK8" i="3"/>
  <c r="AJ8" i="3"/>
  <c r="F3" i="8" a="1"/>
  <c r="F3" i="8" s="1"/>
  <c r="V3" i="8" a="1"/>
  <c r="V3" i="8" s="1"/>
  <c r="G4" i="3" l="1"/>
  <c r="J7" i="3"/>
  <c r="I7" i="3"/>
  <c r="H7" i="3"/>
  <c r="AI4" i="3"/>
  <c r="AK4" i="3" s="1"/>
  <c r="AM7" i="3"/>
  <c r="AJ7" i="3"/>
  <c r="AK7" i="3"/>
  <c r="L16" i="7" a="1"/>
  <c r="L16" i="7" s="1"/>
  <c r="L7" i="3"/>
  <c r="S8" i="5" a="1"/>
  <c r="S8" i="5" s="1"/>
  <c r="D7" i="5"/>
  <c r="B8" i="5" a="1"/>
  <c r="B8" i="5" s="1"/>
  <c r="C8" i="5" s="1"/>
  <c r="D9" i="5"/>
  <c r="L12" i="1"/>
  <c r="M12" i="1" s="1"/>
  <c r="P12" i="1"/>
  <c r="O12" i="1"/>
  <c r="L8" i="7" a="1"/>
  <c r="L8" i="7" s="1"/>
  <c r="L12" i="7" a="1"/>
  <c r="L12" i="7" s="1"/>
  <c r="L10" i="7" a="1"/>
  <c r="L10" i="7" s="1"/>
  <c r="L11" i="7" a="1"/>
  <c r="L11" i="7" s="1"/>
  <c r="AK6" i="3"/>
  <c r="AJ6" i="3"/>
  <c r="AP10" i="3"/>
  <c r="AP11" i="3"/>
  <c r="AQ11" i="3"/>
  <c r="AS11" i="3"/>
  <c r="AQ10" i="3"/>
  <c r="AQ9" i="3"/>
  <c r="AO4" i="3"/>
  <c r="AQ4" i="3" s="1"/>
  <c r="AQ8" i="3"/>
  <c r="AQ7" i="3"/>
  <c r="H6" i="3"/>
  <c r="I6" i="3"/>
  <c r="B12" i="7"/>
  <c r="B13" i="7"/>
  <c r="B14" i="7"/>
  <c r="B15" i="7"/>
  <c r="L8" i="5"/>
  <c r="L7" i="5"/>
  <c r="P28" i="1"/>
  <c r="U28" i="1" s="1"/>
  <c r="D15" i="7"/>
  <c r="H5" i="3"/>
  <c r="I4" i="3"/>
  <c r="I5" i="3"/>
  <c r="AJ5" i="3"/>
  <c r="AU4" i="3" a="1"/>
  <c r="AQ6" i="3"/>
  <c r="AK5" i="3"/>
  <c r="AQ5" i="3"/>
  <c r="AV9" i="3" l="1"/>
  <c r="AW8" i="3"/>
  <c r="AV8" i="3"/>
  <c r="AW9" i="3"/>
  <c r="C10" i="5"/>
  <c r="Q13" i="1"/>
  <c r="Q12" i="1"/>
  <c r="G5" i="6"/>
  <c r="G6" i="6"/>
  <c r="AP6" i="3"/>
  <c r="AW7" i="3"/>
  <c r="AV7" i="3"/>
  <c r="AP9" i="3"/>
  <c r="AP8" i="3"/>
  <c r="AP7" i="3"/>
  <c r="AU4" i="3"/>
  <c r="AV4" i="3" s="1"/>
  <c r="AV6" i="3"/>
  <c r="AW6" i="3"/>
  <c r="U16" i="6"/>
  <c r="U13" i="6" s="1"/>
  <c r="X20" i="6" s="1"/>
  <c r="Y5" i="5"/>
  <c r="X9" i="5"/>
  <c r="D12" i="7"/>
  <c r="C14" i="5"/>
  <c r="K7" i="5"/>
  <c r="K8" i="5"/>
  <c r="AP5" i="3"/>
  <c r="O28" i="1"/>
  <c r="AP4" i="3"/>
  <c r="AJ4" i="3"/>
  <c r="H4" i="3"/>
  <c r="H11" i="3" s="1"/>
  <c r="V3" i="3" s="1"/>
  <c r="D13" i="7"/>
  <c r="I11" i="3"/>
  <c r="W3" i="3" s="1"/>
  <c r="AV5" i="3"/>
  <c r="AW5" i="3"/>
  <c r="BG8" i="2" l="1" a="1"/>
  <c r="BG8" i="2" s="1"/>
  <c r="BG6" i="2" a="1"/>
  <c r="BG6" i="2" s="1"/>
  <c r="BG9" i="2" a="1"/>
  <c r="BG9" i="2" s="1"/>
  <c r="BG10" i="2" a="1"/>
  <c r="BG10" i="2" s="1"/>
  <c r="BG7" i="2" a="1"/>
  <c r="BG7" i="2" s="1"/>
  <c r="BE7" i="2"/>
  <c r="BE8" i="2"/>
  <c r="BE9" i="2"/>
  <c r="BE10" i="2"/>
  <c r="D12" i="5"/>
  <c r="D13" i="5"/>
  <c r="BE6" i="2"/>
  <c r="N5" i="9" a="1"/>
  <c r="N5" i="9" s="1"/>
  <c r="Y24" i="5"/>
  <c r="Y28" i="5"/>
  <c r="Y26" i="5"/>
  <c r="Y25" i="5"/>
  <c r="Y27" i="5"/>
  <c r="Y29" i="5"/>
  <c r="Y20" i="5"/>
  <c r="Y12" i="5"/>
  <c r="Y23" i="5"/>
  <c r="Y21" i="5"/>
  <c r="Y19" i="5"/>
  <c r="Y13" i="5"/>
  <c r="Y11" i="5"/>
  <c r="Y22" i="5"/>
  <c r="Y15" i="5"/>
  <c r="Y16" i="5"/>
  <c r="Y17" i="5"/>
  <c r="Y18" i="5"/>
  <c r="Y14" i="5"/>
  <c r="Y10" i="5"/>
  <c r="AL4" i="3"/>
  <c r="AL7" i="3"/>
  <c r="N2" i="9"/>
  <c r="U3" i="8" a="1"/>
  <c r="U3" i="8" s="1"/>
  <c r="AX8" i="3"/>
  <c r="AX9" i="3"/>
  <c r="T3" i="8" a="1"/>
  <c r="T3" i="8" s="1"/>
  <c r="C2" i="5"/>
  <c r="D10" i="5"/>
  <c r="D8" i="5"/>
  <c r="J6" i="3"/>
  <c r="Y8" i="5"/>
  <c r="Z8" i="5" s="1"/>
  <c r="H6" i="6"/>
  <c r="G9" i="6"/>
  <c r="G10" i="6" s="1"/>
  <c r="AX7" i="3"/>
  <c r="AR11" i="3"/>
  <c r="AR7" i="3"/>
  <c r="AW4" i="3"/>
  <c r="AR10" i="3"/>
  <c r="AX6" i="3"/>
  <c r="AR8" i="3"/>
  <c r="AR9" i="3"/>
  <c r="AL6" i="3"/>
  <c r="AR6" i="3"/>
  <c r="Y9" i="5"/>
  <c r="AR4" i="3"/>
  <c r="AR5" i="3"/>
  <c r="M7" i="5"/>
  <c r="I7" i="5"/>
  <c r="AL5" i="3"/>
  <c r="AX4" i="3"/>
  <c r="AX5" i="3"/>
  <c r="AY9" i="3" l="1"/>
  <c r="AS10" i="3"/>
  <c r="S12" i="1"/>
  <c r="Z9" i="5"/>
  <c r="Z10" i="5" s="1"/>
  <c r="Z11" i="5" s="1"/>
  <c r="Z12" i="5" s="1"/>
  <c r="Z13" i="5" s="1"/>
  <c r="Z14" i="5" s="1"/>
  <c r="Z15" i="5" s="1"/>
  <c r="S13" i="1"/>
  <c r="J5" i="3"/>
  <c r="X18" i="6"/>
  <c r="X19" i="6"/>
  <c r="X17" i="6"/>
  <c r="X16" i="6"/>
  <c r="AD2" i="2"/>
  <c r="J4" i="3"/>
  <c r="Z16" i="5" l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L5" i="3"/>
  <c r="AM5" i="3"/>
  <c r="AM6" i="3"/>
  <c r="L6" i="3"/>
  <c r="AY7" i="3"/>
  <c r="AY8" i="3"/>
  <c r="AM4" i="3"/>
  <c r="K11" i="3"/>
  <c r="Y3" i="3" s="1"/>
  <c r="AS9" i="3"/>
  <c r="AS7" i="3"/>
  <c r="AS8" i="3"/>
  <c r="AY6" i="3"/>
  <c r="AS6" i="3"/>
  <c r="AY4" i="3"/>
  <c r="AY5" i="3"/>
  <c r="AS5" i="3"/>
  <c r="L4" i="3"/>
  <c r="J11" i="3"/>
  <c r="AS4" i="3"/>
  <c r="L11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<sst xmlns="http://schemas.openxmlformats.org/spreadsheetml/2006/main" count="512" uniqueCount="211">
  <si>
    <t>Custódia</t>
  </si>
  <si>
    <t>Tipo do Ativo</t>
  </si>
  <si>
    <t>Emissor</t>
  </si>
  <si>
    <t>Complemento</t>
  </si>
  <si>
    <t>Vencimento</t>
  </si>
  <si>
    <t>Remuneração</t>
  </si>
  <si>
    <t>Ativo</t>
  </si>
  <si>
    <t>Subclasse</t>
  </si>
  <si>
    <t>Taxa</t>
  </si>
  <si>
    <t>Liquidez</t>
  </si>
  <si>
    <t>IR</t>
  </si>
  <si>
    <t>Coluna1</t>
  </si>
  <si>
    <t>-</t>
  </si>
  <si>
    <t>Saldo Líquido | Mês Anterior</t>
  </si>
  <si>
    <t>Saldo Bruto | Mês Anterior</t>
  </si>
  <si>
    <t>IR &amp; IOF | Mês Anterior</t>
  </si>
  <si>
    <t>Movimentaçao | Mês Anterior</t>
  </si>
  <si>
    <t>IR Pago | Mês Anterior</t>
  </si>
  <si>
    <t>Peso | Mês Anterior</t>
  </si>
  <si>
    <t>--</t>
  </si>
  <si>
    <t>Saldo Líquido | Mês Atual</t>
  </si>
  <si>
    <t>IR &amp; IOF | Mês Atual</t>
  </si>
  <si>
    <t>Movimentaçao | Mês Atual</t>
  </si>
  <si>
    <t>IR Pago | Mês Atual</t>
  </si>
  <si>
    <t>Peso | Mês Atual</t>
  </si>
  <si>
    <t>Aplicações</t>
  </si>
  <si>
    <t>Resgates</t>
  </si>
  <si>
    <t>Juros / Dividendos</t>
  </si>
  <si>
    <t>Demais</t>
  </si>
  <si>
    <t>---</t>
  </si>
  <si>
    <t>Saldo Corrigido</t>
  </si>
  <si>
    <t>Peso Corrigido | Carteira</t>
  </si>
  <si>
    <t>Peso Corrigido | SubClasse</t>
  </si>
  <si>
    <t>Peso Corrigido | Custódia</t>
  </si>
  <si>
    <t>Peso Corrigido | Classe</t>
  </si>
  <si>
    <t>Performance Classe</t>
  </si>
  <si>
    <t>Performance Carteira</t>
  </si>
  <si>
    <t>Performance Custódia</t>
  </si>
  <si>
    <t>Performance SubClasse</t>
  </si>
  <si>
    <t>Performance | Mês Atual</t>
  </si>
  <si>
    <t>Mês</t>
  </si>
  <si>
    <t>Conta Corrente</t>
  </si>
  <si>
    <t>Prefixado</t>
  </si>
  <si>
    <t>Classe</t>
  </si>
  <si>
    <t>COE</t>
  </si>
  <si>
    <t>Alternativos</t>
  </si>
  <si>
    <t>Ação</t>
  </si>
  <si>
    <t>Bolsa de Valores</t>
  </si>
  <si>
    <t>Fundo Imobiliário</t>
  </si>
  <si>
    <t>BDR</t>
  </si>
  <si>
    <t>ETF</t>
  </si>
  <si>
    <t>Corrente, Poupança e Empréstimo</t>
  </si>
  <si>
    <t>Renda Fixa</t>
  </si>
  <si>
    <t>Multimercado</t>
  </si>
  <si>
    <t>Participação</t>
  </si>
  <si>
    <t>Derivativos</t>
  </si>
  <si>
    <t>Opções</t>
  </si>
  <si>
    <t>Previdência</t>
  </si>
  <si>
    <t>Inflação</t>
  </si>
  <si>
    <t>Pós-Fixado</t>
  </si>
  <si>
    <t>Fundo Agro</t>
  </si>
  <si>
    <t>Consórcio</t>
  </si>
  <si>
    <t>Empréstimo</t>
  </si>
  <si>
    <t>SubClasse</t>
  </si>
  <si>
    <t>Saldo Bruto | Relatório</t>
  </si>
  <si>
    <t>Saldo Líquido | Relatório</t>
  </si>
  <si>
    <t>Taxa | Esperada</t>
  </si>
  <si>
    <t>Saldo Líquido Esperado</t>
  </si>
  <si>
    <t>Saldo Bruto Esperado</t>
  </si>
  <si>
    <t>-----</t>
  </si>
  <si>
    <t>Tabela IR para relatório</t>
  </si>
  <si>
    <t>Período</t>
  </si>
  <si>
    <t>Saldo Bruto</t>
  </si>
  <si>
    <t>Movimentação</t>
  </si>
  <si>
    <t>Peso</t>
  </si>
  <si>
    <t>Performance</t>
  </si>
  <si>
    <t>Peso Corrigido</t>
  </si>
  <si>
    <t xml:space="preserve">Performance Relório </t>
  </si>
  <si>
    <t>Performance United</t>
  </si>
  <si>
    <t>Total</t>
  </si>
  <si>
    <t>Dias Úteis</t>
  </si>
  <si>
    <t>CDI</t>
  </si>
  <si>
    <t>IPCA</t>
  </si>
  <si>
    <t>Ibovespa</t>
  </si>
  <si>
    <t>Dólar PTAX</t>
  </si>
  <si>
    <t>IPCA Cálculo</t>
  </si>
  <si>
    <t>Bco. 2</t>
  </si>
  <si>
    <t>Bco. 1</t>
  </si>
  <si>
    <t>Bco. 3</t>
  </si>
  <si>
    <t>Bco. 4</t>
  </si>
  <si>
    <t>Bco. 5</t>
  </si>
  <si>
    <t>Bco. 6</t>
  </si>
  <si>
    <t>Cliente?</t>
  </si>
  <si>
    <t>Ano</t>
  </si>
  <si>
    <t>Sim</t>
  </si>
  <si>
    <t>Liq. Diária</t>
  </si>
  <si>
    <t>Gross-Up</t>
  </si>
  <si>
    <t>Saldo Bruto | Mês Atual</t>
  </si>
  <si>
    <t>Perf. Aproximada</t>
  </si>
  <si>
    <t>Titular</t>
  </si>
  <si>
    <t>Classe de Ativos</t>
  </si>
  <si>
    <t>Saldo</t>
  </si>
  <si>
    <t>Perf. (%)</t>
  </si>
  <si>
    <t>(%)</t>
  </si>
  <si>
    <t>Onshore</t>
  </si>
  <si>
    <t>Patrimônio (BRL)</t>
  </si>
  <si>
    <t>% Benchmark</t>
  </si>
  <si>
    <t>Carteira</t>
  </si>
  <si>
    <t>Rentabilidade</t>
  </si>
  <si>
    <t>12M</t>
  </si>
  <si>
    <t>United MFO</t>
  </si>
  <si>
    <t>Por Instituição</t>
  </si>
  <si>
    <t>Perf.</t>
  </si>
  <si>
    <t>PL</t>
  </si>
  <si>
    <t>CDI A.</t>
  </si>
  <si>
    <t>Distribuição por Classe de Ativos (BRL - %)</t>
  </si>
  <si>
    <t>Liquidez do Portfólio(BRL -%)</t>
  </si>
  <si>
    <t>P. A.</t>
  </si>
  <si>
    <t>Total Geral</t>
  </si>
  <si>
    <t>Soma de Saldo Bruto | Mês Atual</t>
  </si>
  <si>
    <t>Rótulos de Coluna</t>
  </si>
  <si>
    <t>Onshore - Alocações (BRL)</t>
  </si>
  <si>
    <t>Onshore - Resumo por Classes (BRL)</t>
  </si>
  <si>
    <t>Resumo dos Resultados (BRL)</t>
  </si>
  <si>
    <t>Gráfico SubClasse</t>
  </si>
  <si>
    <t>Gráfico Liquidez</t>
  </si>
  <si>
    <t>Gráficos PL e Perf X CDI</t>
  </si>
  <si>
    <t>Resumo (BRL)</t>
  </si>
  <si>
    <t>Part. (%)</t>
  </si>
  <si>
    <t>Total Onshore</t>
  </si>
  <si>
    <t>Rent. (%)</t>
  </si>
  <si>
    <t>Total (BRL)</t>
  </si>
  <si>
    <t>Total (USD)</t>
  </si>
  <si>
    <t>USD (Ref. BCB)</t>
  </si>
  <si>
    <t>Ações</t>
  </si>
  <si>
    <t>Contagem</t>
  </si>
  <si>
    <t>Acumulado</t>
  </si>
  <si>
    <t>D+0</t>
  </si>
  <si>
    <t>Ordem (1 ou -1)</t>
  </si>
  <si>
    <t>Qtd de Ativos</t>
  </si>
  <si>
    <t>Ativos na lista (=azul)</t>
  </si>
  <si>
    <t>Imposto Pago</t>
  </si>
  <si>
    <t>"Isento"</t>
  </si>
  <si>
    <t>Nomenclatura</t>
  </si>
  <si>
    <t>Bolsa - Ação</t>
  </si>
  <si>
    <t>Fundos - Alternativo</t>
  </si>
  <si>
    <t>Bolsa - BDR</t>
  </si>
  <si>
    <t>Bolsa - ETF</t>
  </si>
  <si>
    <t>Bolsa - Fundo Agro</t>
  </si>
  <si>
    <t>Bolsa - Fundo Imobiliário</t>
  </si>
  <si>
    <t>Fundos - Multimercado</t>
  </si>
  <si>
    <t>Fundos - Participação</t>
  </si>
  <si>
    <t>Fundos - Renda Fixa</t>
  </si>
  <si>
    <t>Fundos - Ação</t>
  </si>
  <si>
    <t>Alternativos - COE</t>
  </si>
  <si>
    <t>Opções - Derivativos</t>
  </si>
  <si>
    <t>Renda Fixa - Inflação</t>
  </si>
  <si>
    <t>Renda Fixa - Pós-Fixado</t>
  </si>
  <si>
    <t>Renda Fixa - Prefixado</t>
  </si>
  <si>
    <t>Nomenclatura Ativo</t>
  </si>
  <si>
    <t>Nomenclatura Classe</t>
  </si>
  <si>
    <t>Data</t>
  </si>
  <si>
    <t>Cliente</t>
  </si>
  <si>
    <t>"%" ou "+"</t>
  </si>
  <si>
    <t>Check</t>
  </si>
  <si>
    <t>Histórico 12M</t>
  </si>
  <si>
    <t>Criptomoeda</t>
  </si>
  <si>
    <t>Alternativos - Cripto</t>
  </si>
  <si>
    <t>Ticker do Ativo</t>
  </si>
  <si>
    <t>Cashback</t>
  </si>
  <si>
    <t>"Código / CNPJ"</t>
  </si>
  <si>
    <t>"Sim"</t>
  </si>
  <si>
    <t>Peso (%)</t>
  </si>
  <si>
    <t>Coluna2</t>
  </si>
  <si>
    <t>Apagar Linha</t>
  </si>
  <si>
    <t>Estruturado</t>
  </si>
  <si>
    <t>Rótulos de Linha</t>
  </si>
  <si>
    <t>Opções - Estruturado</t>
  </si>
  <si>
    <t>Resumo por Classes</t>
  </si>
  <si>
    <t>Código do Ativo</t>
  </si>
  <si>
    <t>Ativo Cliente</t>
  </si>
  <si>
    <t>ea</t>
  </si>
  <si>
    <t>Dias</t>
  </si>
  <si>
    <t>Taxa RF / FI</t>
  </si>
  <si>
    <t>Movimentações</t>
  </si>
  <si>
    <t>Saldo Atualizado</t>
  </si>
  <si>
    <t>Peso Atualizado</t>
  </si>
  <si>
    <t>Performance Atualizado</t>
  </si>
  <si>
    <t>Saldo Corrigido Atualizado</t>
  </si>
  <si>
    <t>Peso Corrigido Atualizado</t>
  </si>
  <si>
    <t>Movimentações Atualizadas</t>
  </si>
  <si>
    <t>Código</t>
  </si>
  <si>
    <t>TickerExcel</t>
  </si>
  <si>
    <t>"Não"</t>
  </si>
  <si>
    <t>Fundos de Investimento</t>
  </si>
  <si>
    <t>Poupança</t>
  </si>
  <si>
    <t>S. Atual</t>
  </si>
  <si>
    <t>S. Esperado</t>
  </si>
  <si>
    <t>Lista?</t>
  </si>
  <si>
    <t>Retorno Acumulado e Mensalizado (12 Meses/BRL - %)</t>
  </si>
  <si>
    <t xml:space="preserve">     Distribuição por Instituição (BRL)</t>
  </si>
  <si>
    <t>Evolução Patrimonial (12 Meses; R$MM)</t>
  </si>
  <si>
    <t>Resultado Acumulado em 12 Meses (BRL - % )</t>
  </si>
  <si>
    <t>BTG</t>
  </si>
  <si>
    <t>Conta Corrente -</t>
  </si>
  <si>
    <t>Call Vendida WEGE3</t>
  </si>
  <si>
    <t>WEGE3 Smart Hedge</t>
  </si>
  <si>
    <t>BTG CDB Plus FI RF CP</t>
  </si>
  <si>
    <t>Put Comprada WEGE3</t>
  </si>
  <si>
    <t>AD</t>
  </si>
  <si>
    <t>27.717.359/0001-30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</si>
</sst>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-&quot;R$&quot;\ * #,##0.00_-;\-&quot;R$&quot;\ * #,##0.00_-;_-&quot;R$&quot;\ * &quot;-&quot;??_-;_-@_-"/>
    <numFmt numFmtId="164" formatCode="[$-416]mmm\-yy;@"/>
    <numFmt numFmtId="165" formatCode="0.0%"/>
    <numFmt numFmtId="166" formatCode="_-[$USD]\ * #,##0.00_-;\-[$USD]\ * #,##0.00_-;_-[$USD]\ * &quot;-&quot;??_-;_-@_-"/>
    <numFmt numFmtId="167" formatCode="_-[$USD]\ * #,##0.0000_-;\-[$USD]\ * #,##0.0000_-;_-[$USD]\ * &quot;-&quot;??_-;_-@_-"/>
  </numFmts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4345A"/>
      <name val="Gotham"/>
      <family val="3"/>
    </font>
    <font>
      <sz val="11"/>
      <color theme="1"/>
      <name val="Gotham"/>
      <family val="3"/>
    </font>
    <font>
      <b/>
      <sz val="11"/>
      <color rgb="FF04345A"/>
      <name val="Gotham"/>
      <family val="3"/>
    </font>
    <font>
      <b/>
      <sz val="10"/>
      <color theme="0"/>
      <name val="Gotham"/>
      <family val="3"/>
    </font>
    <font>
      <sz val="9"/>
      <color rgb="FF04345A"/>
      <name val="Gotham"/>
      <family val="3"/>
    </font>
    <font>
      <sz val="9"/>
      <color rgb="FF04345A"/>
      <name val="Gotham Book"/>
    </font>
    <font>
      <sz val="9"/>
      <color theme="1"/>
      <name val="Gotham"/>
      <family val="3"/>
    </font>
    <font>
      <sz val="11"/>
      <color rgb="FF04345A"/>
      <name val="Gotham"/>
      <family val="3"/>
    </font>
    <font>
      <sz val="11"/>
      <color rgb="FF04345A"/>
      <name val="Gotham Book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FF00"/>
      <name val="Calibri"/>
      <family val="2"/>
      <scheme val="minor"/>
    </font>
    <font>
      <sz val="11"/>
      <color rgb="FF04345A"/>
      <name val="Calibri"/>
      <family val="2"/>
      <scheme val="minor"/>
    </font>
    <font>
      <b/>
      <sz val="9"/>
      <color theme="0"/>
      <name val="Gotham"/>
      <family val="3"/>
    </font>
    <font>
      <sz val="8"/>
      <color rgb="FF04345A"/>
      <name val="Gotham Book"/>
    </font>
    <font>
      <sz val="10"/>
      <color theme="1"/>
      <name val="Gotham"/>
      <family val="3"/>
    </font>
    <font>
      <b/>
      <sz val="10"/>
      <color rgb="FF04345A"/>
      <name val="Gotham"/>
      <family val="3"/>
    </font>
    <font>
      <sz val="11"/>
      <color theme="0"/>
      <name val="Calibri"/>
      <family val="2"/>
      <scheme val="minor"/>
    </font>
    <font>
      <b/>
      <sz val="8"/>
      <color rgb="FF04345A"/>
      <name val="Gotham"/>
      <family val="3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Gotham"/>
      <family val="3"/>
    </font>
    <font>
      <b/>
      <sz val="11"/>
      <color theme="1"/>
      <name val="Gotham"/>
      <family val="3"/>
    </font>
    <font>
      <sz val="8"/>
      <name val="Calibri"/>
      <family val="2"/>
      <scheme val="minor"/>
    </font>
    <font>
      <b/>
      <sz val="12"/>
      <color theme="0"/>
      <name val="Gotham"/>
      <family val="3"/>
    </font>
    <font>
      <sz val="12"/>
      <color theme="1"/>
      <name val="Calibri"/>
      <family val="2"/>
      <scheme val="minor"/>
    </font>
    <font>
      <sz val="9"/>
      <color rgb="FF04345A"/>
      <name val="Calibri"/>
      <family val="2"/>
      <scheme val="minor"/>
    </font>
    <font>
      <sz val="11"/>
      <color rgb="FF23D287"/>
      <name val="Source Sans Pro"/>
      <family val="2"/>
    </font>
  </fonts>
  <fills count="25">
    <fill>
      <patternFill patternType="none"/>
    </fill>
    <fill>
      <patternFill patternType="gray125"/>
    </fill>
    <fill>
      <patternFill patternType="solid">
        <fgColor rgb="FFECF2F8"/>
        <bgColor indexed="64"/>
      </patternFill>
    </fill>
    <fill>
      <patternFill patternType="solid">
        <fgColor rgb="FF075BA1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4345A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rgb="FF04345A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theme="0"/>
      </top>
      <bottom/>
      <diagonal/>
    </border>
    <border>
      <left/>
      <right/>
      <top style="thin">
        <color theme="4" tint="-0.499984740745262"/>
      </top>
      <bottom/>
      <diagonal/>
    </border>
    <border>
      <left/>
      <right/>
      <top style="medium">
        <color theme="0"/>
      </top>
      <bottom/>
      <diagonal/>
    </border>
    <border>
      <left/>
      <right style="thick">
        <color theme="0"/>
      </right>
      <top/>
      <bottom/>
      <diagonal/>
    </border>
    <border>
      <left style="mediumDashed">
        <color rgb="FFFD9F02"/>
      </left>
      <right style="mediumDashed">
        <color rgb="FFFD9F02"/>
      </right>
      <top/>
      <bottom/>
      <diagonal/>
    </border>
    <border>
      <left style="mediumDashed">
        <color rgb="FFFD9F02"/>
      </left>
      <right style="mediumDashed">
        <color rgb="FFFD9F02"/>
      </right>
      <top style="mediumDashed">
        <color rgb="FFFD9F02"/>
      </top>
      <bottom/>
      <diagonal/>
    </border>
    <border>
      <left/>
      <right/>
      <top style="thin">
        <color indexed="64"/>
      </top>
      <bottom/>
      <diagonal/>
    </border>
    <border>
      <left style="mediumDashed">
        <color rgb="FFFD9F02"/>
      </left>
      <right style="mediumDashed">
        <color rgb="FFFD9F02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Dashed">
        <color rgb="FFFD9F02"/>
      </top>
      <bottom/>
      <diagonal/>
    </border>
    <border>
      <left/>
      <right/>
      <top/>
      <bottom style="thin">
        <color rgb="FF04345A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ed">
        <color theme="0"/>
      </bottom>
      <diagonal/>
    </border>
    <border>
      <left style="mediumDashed">
        <color rgb="FFFD9F02"/>
      </left>
      <right style="mediumDashed">
        <color rgb="FFFD9F02"/>
      </right>
      <top/>
      <bottom style="mediumDashed">
        <color rgb="FFFD9F0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9">
    <xf numFmtId="0" fontId="0" fillId="0" borderId="0" xfId="0"/>
    <xf numFmtId="0" fontId="4" fillId="2" borderId="0" xfId="0" applyFont="1" applyFill="1" applyAlignment="1">
      <alignment horizontal="left" vertical="center"/>
    </xf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4" fontId="4" fillId="4" borderId="0" xfId="0" applyNumberFormat="1" applyFont="1" applyFill="1" applyAlignment="1">
      <alignment horizontal="center" vertical="center"/>
    </xf>
    <xf numFmtId="10" fontId="4" fillId="4" borderId="0" xfId="2" applyNumberFormat="1" applyFont="1" applyFill="1" applyAlignment="1">
      <alignment horizontal="center" vertical="center"/>
    </xf>
    <xf numFmtId="44" fontId="9" fillId="2" borderId="0" xfId="0" applyNumberFormat="1" applyFont="1" applyFill="1" applyAlignment="1">
      <alignment horizontal="center" vertical="center"/>
    </xf>
    <xf numFmtId="44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0" fontId="9" fillId="2" borderId="0" xfId="2" applyNumberFormat="1" applyFont="1" applyFill="1" applyAlignment="1">
      <alignment horizontal="center" vertical="center"/>
    </xf>
    <xf numFmtId="44" fontId="9" fillId="2" borderId="0" xfId="1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2" applyNumberFormat="1" applyFont="1" applyAlignment="1">
      <alignment horizontal="center"/>
    </xf>
    <xf numFmtId="0" fontId="3" fillId="8" borderId="0" xfId="0" applyFont="1" applyFill="1" applyAlignment="1">
      <alignment horizontal="center"/>
    </xf>
    <xf numFmtId="10" fontId="3" fillId="8" borderId="0" xfId="0" applyNumberFormat="1" applyFont="1" applyFill="1" applyAlignment="1">
      <alignment horizontal="center"/>
    </xf>
    <xf numFmtId="165" fontId="0" fillId="0" borderId="0" xfId="2" applyNumberFormat="1" applyFont="1"/>
    <xf numFmtId="0" fontId="0" fillId="10" borderId="0" xfId="0" applyFill="1"/>
    <xf numFmtId="44" fontId="0" fillId="0" borderId="0" xfId="1" applyFont="1" applyFill="1"/>
    <xf numFmtId="44" fontId="0" fillId="10" borderId="0" xfId="1" applyFont="1" applyFill="1"/>
    <xf numFmtId="10" fontId="0" fillId="0" borderId="0" xfId="2" applyNumberFormat="1" applyFont="1" applyFill="1"/>
    <xf numFmtId="10" fontId="0" fillId="10" borderId="0" xfId="2" applyNumberFormat="1" applyFont="1" applyFill="1"/>
    <xf numFmtId="0" fontId="2" fillId="11" borderId="0" xfId="0" applyFont="1" applyFill="1" applyAlignment="1">
      <alignment horizontal="center"/>
    </xf>
    <xf numFmtId="44" fontId="0" fillId="0" borderId="0" xfId="1" applyFont="1"/>
    <xf numFmtId="44" fontId="0" fillId="0" borderId="0" xfId="1" applyFont="1" applyAlignment="1">
      <alignment horizontal="center"/>
    </xf>
    <xf numFmtId="10" fontId="0" fillId="0" borderId="0" xfId="2" applyNumberFormat="1" applyFont="1"/>
    <xf numFmtId="10" fontId="0" fillId="0" borderId="0" xfId="0" applyNumberFormat="1"/>
    <xf numFmtId="0" fontId="0" fillId="12" borderId="0" xfId="0" applyFill="1"/>
    <xf numFmtId="44" fontId="3" fillId="8" borderId="0" xfId="0" applyNumberFormat="1" applyFont="1" applyFill="1" applyAlignment="1">
      <alignment horizontal="center"/>
    </xf>
    <xf numFmtId="10" fontId="3" fillId="8" borderId="0" xfId="2" applyNumberFormat="1" applyFont="1" applyFill="1" applyAlignment="1">
      <alignment horizontal="center"/>
    </xf>
    <xf numFmtId="0" fontId="0" fillId="14" borderId="0" xfId="0" applyFill="1" applyAlignment="1">
      <alignment horizontal="center"/>
    </xf>
    <xf numFmtId="17" fontId="0" fillId="14" borderId="0" xfId="0" applyNumberFormat="1" applyFill="1" applyAlignment="1">
      <alignment horizontal="center"/>
    </xf>
    <xf numFmtId="10" fontId="0" fillId="14" borderId="0" xfId="2" applyNumberFormat="1" applyFont="1" applyFill="1" applyAlignment="1">
      <alignment horizontal="center"/>
    </xf>
    <xf numFmtId="44" fontId="0" fillId="14" borderId="0" xfId="0" applyNumberFormat="1" applyFill="1" applyAlignment="1">
      <alignment horizontal="center"/>
    </xf>
    <xf numFmtId="10" fontId="0" fillId="14" borderId="0" xfId="0" applyNumberFormat="1" applyFill="1" applyAlignment="1">
      <alignment horizontal="center"/>
    </xf>
    <xf numFmtId="17" fontId="0" fillId="0" borderId="0" xfId="0" applyNumberFormat="1" applyAlignment="1">
      <alignment horizontal="center"/>
    </xf>
    <xf numFmtId="10" fontId="0" fillId="0" borderId="0" xfId="2" applyNumberFormat="1" applyFont="1" applyFill="1" applyAlignment="1">
      <alignment horizontal="center"/>
    </xf>
    <xf numFmtId="10" fontId="0" fillId="10" borderId="0" xfId="2" applyNumberFormat="1" applyFont="1" applyFill="1" applyAlignment="1">
      <alignment horizontal="center"/>
    </xf>
    <xf numFmtId="0" fontId="13" fillId="13" borderId="0" xfId="0" applyFont="1" applyFill="1" applyAlignment="1">
      <alignment horizontal="center"/>
    </xf>
    <xf numFmtId="0" fontId="13" fillId="9" borderId="0" xfId="0" applyFont="1" applyFill="1" applyAlignment="1">
      <alignment horizontal="center"/>
    </xf>
    <xf numFmtId="0" fontId="13" fillId="15" borderId="0" xfId="0" applyFont="1" applyFill="1" applyAlignment="1">
      <alignment horizontal="center"/>
    </xf>
    <xf numFmtId="0" fontId="13" fillId="9" borderId="0" xfId="0" quotePrefix="1" applyFont="1" applyFill="1" applyAlignment="1">
      <alignment horizontal="center"/>
    </xf>
    <xf numFmtId="0" fontId="13" fillId="5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10" fontId="13" fillId="0" borderId="0" xfId="2" applyNumberFormat="1" applyFont="1" applyAlignment="1">
      <alignment horizontal="center"/>
    </xf>
    <xf numFmtId="0" fontId="14" fillId="8" borderId="2" xfId="0" applyFont="1" applyFill="1" applyBorder="1" applyAlignment="1">
      <alignment horizontal="center"/>
    </xf>
    <xf numFmtId="17" fontId="14" fillId="8" borderId="3" xfId="0" applyNumberFormat="1" applyFont="1" applyFill="1" applyBorder="1" applyAlignment="1">
      <alignment horizontal="center"/>
    </xf>
    <xf numFmtId="14" fontId="13" fillId="0" borderId="0" xfId="0" applyNumberFormat="1" applyFont="1" applyAlignment="1">
      <alignment horizontal="center"/>
    </xf>
    <xf numFmtId="44" fontId="13" fillId="0" borderId="0" xfId="0" applyNumberFormat="1" applyFont="1" applyAlignment="1">
      <alignment horizontal="center"/>
    </xf>
    <xf numFmtId="44" fontId="13" fillId="0" borderId="0" xfId="1" applyFont="1" applyAlignment="1">
      <alignment horizontal="center"/>
    </xf>
    <xf numFmtId="0" fontId="14" fillId="8" borderId="0" xfId="0" applyFont="1" applyFill="1" applyAlignment="1">
      <alignment horizontal="center"/>
    </xf>
    <xf numFmtId="10" fontId="14" fillId="8" borderId="0" xfId="2" applyNumberFormat="1" applyFont="1" applyFill="1" applyAlignment="1">
      <alignment horizontal="center"/>
    </xf>
    <xf numFmtId="0" fontId="16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 vertical="center"/>
    </xf>
    <xf numFmtId="0" fontId="4" fillId="16" borderId="0" xfId="0" applyFont="1" applyFill="1" applyAlignment="1">
      <alignment horizontal="center" vertical="center"/>
    </xf>
    <xf numFmtId="44" fontId="4" fillId="16" borderId="0" xfId="0" applyNumberFormat="1" applyFont="1" applyFill="1" applyAlignment="1">
      <alignment horizontal="center" vertical="center"/>
    </xf>
    <xf numFmtId="165" fontId="4" fillId="16" borderId="0" xfId="2" applyNumberFormat="1" applyFont="1" applyFill="1" applyAlignment="1">
      <alignment horizontal="center" vertical="center"/>
    </xf>
    <xf numFmtId="10" fontId="4" fillId="16" borderId="0" xfId="2" applyNumberFormat="1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165" fontId="9" fillId="2" borderId="0" xfId="2" applyNumberFormat="1" applyFont="1" applyFill="1" applyAlignment="1">
      <alignment horizontal="center" vertical="center"/>
    </xf>
    <xf numFmtId="0" fontId="9" fillId="17" borderId="0" xfId="0" applyFont="1" applyFill="1" applyAlignment="1">
      <alignment horizontal="left" vertical="center"/>
    </xf>
    <xf numFmtId="0" fontId="9" fillId="17" borderId="0" xfId="0" applyFont="1" applyFill="1" applyAlignment="1">
      <alignment horizontal="center" vertical="center"/>
    </xf>
    <xf numFmtId="44" fontId="9" fillId="17" borderId="0" xfId="0" applyNumberFormat="1" applyFont="1" applyFill="1" applyAlignment="1">
      <alignment horizontal="center" vertical="center"/>
    </xf>
    <xf numFmtId="165" fontId="9" fillId="17" borderId="0" xfId="2" applyNumberFormat="1" applyFont="1" applyFill="1" applyAlignment="1">
      <alignment horizontal="center" vertical="center"/>
    </xf>
    <xf numFmtId="10" fontId="9" fillId="17" borderId="0" xfId="2" applyNumberFormat="1" applyFont="1" applyFill="1" applyAlignment="1">
      <alignment horizontal="center" vertical="center"/>
    </xf>
    <xf numFmtId="165" fontId="9" fillId="17" borderId="0" xfId="2" applyNumberFormat="1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164" fontId="17" fillId="3" borderId="6" xfId="0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165" fontId="4" fillId="4" borderId="0" xfId="2" applyNumberFormat="1" applyFont="1" applyFill="1" applyAlignment="1">
      <alignment horizontal="center" vertical="center"/>
    </xf>
    <xf numFmtId="0" fontId="4" fillId="18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center" vertical="center"/>
    </xf>
    <xf numFmtId="0" fontId="18" fillId="17" borderId="0" xfId="0" applyFont="1" applyFill="1" applyAlignment="1">
      <alignment horizontal="center" vertical="center"/>
    </xf>
    <xf numFmtId="0" fontId="16" fillId="0" borderId="5" xfId="0" applyFont="1" applyBorder="1" applyAlignment="1">
      <alignment horizontal="center"/>
    </xf>
    <xf numFmtId="165" fontId="16" fillId="0" borderId="5" xfId="0" applyNumberFormat="1" applyFont="1" applyBorder="1" applyAlignment="1">
      <alignment horizontal="center"/>
    </xf>
    <xf numFmtId="0" fontId="9" fillId="0" borderId="0" xfId="0" applyFont="1" applyAlignment="1">
      <alignment horizontal="left" vertical="center"/>
    </xf>
    <xf numFmtId="0" fontId="17" fillId="3" borderId="0" xfId="0" applyFont="1" applyFill="1" applyAlignment="1">
      <alignment horizontal="left" vertical="center"/>
    </xf>
    <xf numFmtId="44" fontId="17" fillId="3" borderId="0" xfId="0" applyNumberFormat="1" applyFont="1" applyFill="1" applyAlignment="1">
      <alignment horizontal="center" vertical="center"/>
    </xf>
    <xf numFmtId="9" fontId="17" fillId="3" borderId="0" xfId="2" applyFont="1" applyFill="1" applyAlignment="1">
      <alignment horizontal="center" vertical="center"/>
    </xf>
    <xf numFmtId="10" fontId="17" fillId="3" borderId="0" xfId="2" applyNumberFormat="1" applyFont="1" applyFill="1" applyAlignment="1">
      <alignment horizontal="center" vertical="center"/>
    </xf>
    <xf numFmtId="44" fontId="5" fillId="0" borderId="0" xfId="0" applyNumberFormat="1" applyFont="1" applyAlignment="1">
      <alignment horizontal="center" vertical="center"/>
    </xf>
    <xf numFmtId="0" fontId="4" fillId="17" borderId="0" xfId="0" applyFont="1" applyFill="1" applyAlignment="1">
      <alignment horizontal="left" vertical="center"/>
    </xf>
    <xf numFmtId="44" fontId="9" fillId="17" borderId="0" xfId="1" applyFont="1" applyFill="1" applyBorder="1" applyAlignment="1">
      <alignment horizontal="center" vertical="center"/>
    </xf>
    <xf numFmtId="0" fontId="19" fillId="0" borderId="0" xfId="0" applyFont="1"/>
    <xf numFmtId="0" fontId="8" fillId="0" borderId="0" xfId="0" applyFont="1"/>
    <xf numFmtId="165" fontId="9" fillId="17" borderId="0" xfId="2" applyNumberFormat="1" applyFont="1" applyFill="1" applyBorder="1" applyAlignment="1">
      <alignment vertical="center"/>
    </xf>
    <xf numFmtId="165" fontId="9" fillId="17" borderId="7" xfId="2" applyNumberFormat="1" applyFont="1" applyFill="1" applyBorder="1" applyAlignment="1">
      <alignment vertical="center"/>
    </xf>
    <xf numFmtId="0" fontId="17" fillId="3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44" fontId="17" fillId="3" borderId="0" xfId="1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20" fillId="0" borderId="0" xfId="0" applyFont="1" applyAlignment="1">
      <alignment horizontal="left" vertical="center"/>
    </xf>
    <xf numFmtId="44" fontId="4" fillId="4" borderId="0" xfId="1" applyFont="1" applyFill="1" applyAlignment="1">
      <alignment vertical="center"/>
    </xf>
    <xf numFmtId="44" fontId="9" fillId="17" borderId="0" xfId="1" applyFont="1" applyFill="1" applyAlignment="1">
      <alignment horizontal="center" vertical="center"/>
    </xf>
    <xf numFmtId="10" fontId="8" fillId="0" borderId="0" xfId="2" applyNumberFormat="1" applyFont="1" applyFill="1" applyAlignment="1">
      <alignment horizontal="center" vertical="center"/>
    </xf>
    <xf numFmtId="10" fontId="9" fillId="2" borderId="8" xfId="2" applyNumberFormat="1" applyFont="1" applyFill="1" applyBorder="1" applyAlignment="1">
      <alignment horizontal="center" vertical="center"/>
    </xf>
    <xf numFmtId="10" fontId="4" fillId="4" borderId="8" xfId="2" applyNumberFormat="1" applyFont="1" applyFill="1" applyBorder="1" applyAlignment="1">
      <alignment horizontal="center" vertical="center"/>
    </xf>
    <xf numFmtId="0" fontId="4" fillId="18" borderId="0" xfId="0" applyFont="1" applyFill="1" applyAlignment="1">
      <alignment vertical="center"/>
    </xf>
    <xf numFmtId="10" fontId="4" fillId="18" borderId="0" xfId="2" applyNumberFormat="1" applyFont="1" applyFill="1" applyAlignment="1">
      <alignment horizontal="center" vertical="center"/>
    </xf>
    <xf numFmtId="0" fontId="9" fillId="17" borderId="0" xfId="0" applyFont="1" applyFill="1" applyAlignment="1">
      <alignment vertical="center"/>
    </xf>
    <xf numFmtId="10" fontId="9" fillId="17" borderId="8" xfId="2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4" fillId="4" borderId="10" xfId="0" applyFont="1" applyFill="1" applyBorder="1" applyAlignment="1">
      <alignment horizontal="left" vertical="center"/>
    </xf>
    <xf numFmtId="44" fontId="4" fillId="4" borderId="10" xfId="0" applyNumberFormat="1" applyFont="1" applyFill="1" applyBorder="1" applyAlignment="1">
      <alignment horizontal="center" vertical="center"/>
    </xf>
    <xf numFmtId="0" fontId="4" fillId="18" borderId="10" xfId="0" applyFont="1" applyFill="1" applyBorder="1" applyAlignment="1">
      <alignment horizontal="left" vertical="center"/>
    </xf>
    <xf numFmtId="0" fontId="16" fillId="0" borderId="0" xfId="0" applyFont="1"/>
    <xf numFmtId="0" fontId="9" fillId="2" borderId="12" xfId="0" applyFont="1" applyFill="1" applyBorder="1" applyAlignment="1">
      <alignment horizontal="left" vertical="center"/>
    </xf>
    <xf numFmtId="44" fontId="9" fillId="2" borderId="12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17" fontId="3" fillId="0" borderId="0" xfId="0" applyNumberFormat="1" applyFont="1" applyAlignment="1">
      <alignment horizontal="center"/>
    </xf>
    <xf numFmtId="17" fontId="3" fillId="12" borderId="0" xfId="0" applyNumberFormat="1" applyFont="1" applyFill="1" applyAlignment="1">
      <alignment horizontal="center"/>
    </xf>
    <xf numFmtId="10" fontId="0" fillId="12" borderId="0" xfId="2" applyNumberFormat="1" applyFont="1" applyFill="1" applyAlignment="1">
      <alignment horizontal="center"/>
    </xf>
    <xf numFmtId="44" fontId="0" fillId="12" borderId="0" xfId="1" applyFont="1" applyFill="1" applyAlignment="1">
      <alignment horizontal="center"/>
    </xf>
    <xf numFmtId="164" fontId="7" fillId="3" borderId="0" xfId="0" applyNumberFormat="1" applyFont="1" applyFill="1" applyAlignment="1">
      <alignment horizontal="center" vertical="center"/>
    </xf>
    <xf numFmtId="44" fontId="0" fillId="0" borderId="0" xfId="0" applyNumberFormat="1"/>
    <xf numFmtId="0" fontId="0" fillId="0" borderId="0" xfId="0" pivotButton="1"/>
    <xf numFmtId="10" fontId="4" fillId="18" borderId="10" xfId="2" applyNumberFormat="1" applyFont="1" applyFill="1" applyBorder="1" applyAlignment="1">
      <alignment horizontal="center" vertical="center"/>
    </xf>
    <xf numFmtId="10" fontId="8" fillId="0" borderId="0" xfId="2" applyNumberFormat="1" applyFont="1" applyAlignment="1">
      <alignment horizontal="center" vertical="center"/>
    </xf>
    <xf numFmtId="10" fontId="4" fillId="18" borderId="11" xfId="2" applyNumberFormat="1" applyFont="1" applyFill="1" applyBorder="1" applyAlignment="1">
      <alignment horizontal="center" vertical="center"/>
    </xf>
    <xf numFmtId="10" fontId="12" fillId="0" borderId="0" xfId="2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1" xfId="0" applyFont="1" applyBorder="1"/>
    <xf numFmtId="44" fontId="5" fillId="0" borderId="1" xfId="0" applyNumberFormat="1" applyFont="1" applyBorder="1"/>
    <xf numFmtId="10" fontId="5" fillId="0" borderId="1" xfId="2" applyNumberFormat="1" applyFont="1" applyBorder="1"/>
    <xf numFmtId="44" fontId="4" fillId="0" borderId="0" xfId="0" applyNumberFormat="1" applyFont="1" applyAlignment="1">
      <alignment horizontal="center" vertical="center"/>
    </xf>
    <xf numFmtId="10" fontId="4" fillId="0" borderId="0" xfId="2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6" fontId="9" fillId="2" borderId="0" xfId="0" applyNumberFormat="1" applyFont="1" applyFill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167" fontId="9" fillId="0" borderId="14" xfId="0" applyNumberFormat="1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10" fontId="9" fillId="0" borderId="14" xfId="2" applyNumberFormat="1" applyFont="1" applyBorder="1" applyAlignment="1">
      <alignment horizontal="center" vertical="center"/>
    </xf>
    <xf numFmtId="44" fontId="5" fillId="0" borderId="0" xfId="0" applyNumberFormat="1" applyFont="1"/>
    <xf numFmtId="10" fontId="5" fillId="0" borderId="0" xfId="2" applyNumberFormat="1" applyFont="1"/>
    <xf numFmtId="10" fontId="6" fillId="0" borderId="0" xfId="2" applyNumberFormat="1" applyFont="1" applyAlignment="1"/>
    <xf numFmtId="0" fontId="22" fillId="0" borderId="0" xfId="0" applyFont="1" applyAlignment="1">
      <alignment vertical="center"/>
    </xf>
    <xf numFmtId="10" fontId="9" fillId="0" borderId="0" xfId="2" applyNumberFormat="1" applyFont="1" applyFill="1" applyAlignment="1">
      <alignment horizontal="center" vertical="center"/>
    </xf>
    <xf numFmtId="164" fontId="21" fillId="20" borderId="0" xfId="0" applyNumberFormat="1" applyFont="1" applyFill="1"/>
    <xf numFmtId="44" fontId="0" fillId="12" borderId="0" xfId="1" applyFont="1" applyFill="1"/>
    <xf numFmtId="10" fontId="0" fillId="12" borderId="0" xfId="2" applyNumberFormat="1" applyFont="1" applyFill="1"/>
    <xf numFmtId="0" fontId="3" fillId="21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23" borderId="0" xfId="0" applyFill="1" applyAlignment="1">
      <alignment horizontal="center"/>
    </xf>
    <xf numFmtId="0" fontId="13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11" borderId="0" xfId="0" applyFont="1" applyFill="1" applyAlignment="1">
      <alignment horizontal="left"/>
    </xf>
    <xf numFmtId="0" fontId="0" fillId="10" borderId="0" xfId="0" applyFill="1" applyAlignment="1">
      <alignment horizontal="left"/>
    </xf>
    <xf numFmtId="44" fontId="0" fillId="0" borderId="0" xfId="1" applyFont="1" applyFill="1" applyAlignment="1">
      <alignment horizontal="center"/>
    </xf>
    <xf numFmtId="9" fontId="0" fillId="0" borderId="0" xfId="2" applyFont="1" applyFill="1" applyAlignment="1">
      <alignment horizontal="center"/>
    </xf>
    <xf numFmtId="44" fontId="0" fillId="10" borderId="0" xfId="1" applyFont="1" applyFill="1" applyAlignment="1">
      <alignment horizontal="center"/>
    </xf>
    <xf numFmtId="9" fontId="0" fillId="10" borderId="0" xfId="2" applyFont="1" applyFill="1" applyAlignment="1">
      <alignment horizontal="center"/>
    </xf>
    <xf numFmtId="10" fontId="3" fillId="8" borderId="15" xfId="2" applyNumberFormat="1" applyFont="1" applyFill="1" applyBorder="1" applyAlignment="1">
      <alignment horizontal="center"/>
    </xf>
    <xf numFmtId="44" fontId="13" fillId="6" borderId="0" xfId="1" applyFont="1" applyFill="1" applyAlignment="1">
      <alignment horizontal="center"/>
    </xf>
    <xf numFmtId="17" fontId="13" fillId="0" borderId="0" xfId="0" applyNumberFormat="1" applyFont="1" applyAlignment="1">
      <alignment horizontal="center"/>
    </xf>
    <xf numFmtId="0" fontId="3" fillId="0" borderId="16" xfId="0" applyFont="1" applyBorder="1" applyAlignment="1">
      <alignment horizontal="center"/>
    </xf>
    <xf numFmtId="14" fontId="0" fillId="0" borderId="0" xfId="0" applyNumberFormat="1"/>
    <xf numFmtId="10" fontId="13" fillId="15" borderId="0" xfId="2" quotePrefix="1" applyNumberFormat="1" applyFont="1" applyFill="1" applyAlignment="1">
      <alignment horizontal="center"/>
    </xf>
    <xf numFmtId="10" fontId="13" fillId="6" borderId="0" xfId="2" applyNumberFormat="1" applyFont="1" applyFill="1" applyAlignment="1">
      <alignment horizontal="center"/>
    </xf>
    <xf numFmtId="0" fontId="13" fillId="7" borderId="0" xfId="0" applyFont="1" applyFill="1" applyAlignment="1">
      <alignment horizontal="center"/>
    </xf>
    <xf numFmtId="0" fontId="15" fillId="15" borderId="17" xfId="0" applyFont="1" applyFill="1" applyBorder="1" applyAlignment="1">
      <alignment horizontal="center"/>
    </xf>
    <xf numFmtId="0" fontId="15" fillId="15" borderId="18" xfId="0" applyFont="1" applyFill="1" applyBorder="1" applyAlignment="1">
      <alignment horizontal="center"/>
    </xf>
    <xf numFmtId="44" fontId="15" fillId="15" borderId="19" xfId="1" applyFont="1" applyFill="1" applyBorder="1" applyAlignment="1">
      <alignment horizontal="center"/>
    </xf>
    <xf numFmtId="0" fontId="15" fillId="5" borderId="17" xfId="0" applyFont="1" applyFill="1" applyBorder="1" applyAlignment="1">
      <alignment horizontal="center"/>
    </xf>
    <xf numFmtId="0" fontId="15" fillId="5" borderId="18" xfId="0" applyFont="1" applyFill="1" applyBorder="1" applyAlignment="1">
      <alignment horizontal="center"/>
    </xf>
    <xf numFmtId="0" fontId="15" fillId="5" borderId="19" xfId="0" applyFont="1" applyFill="1" applyBorder="1" applyAlignment="1">
      <alignment horizontal="center"/>
    </xf>
    <xf numFmtId="0" fontId="15" fillId="7" borderId="15" xfId="0" applyFont="1" applyFill="1" applyBorder="1" applyAlignment="1">
      <alignment horizontal="center"/>
    </xf>
    <xf numFmtId="0" fontId="15" fillId="13" borderId="17" xfId="0" applyFont="1" applyFill="1" applyBorder="1" applyAlignment="1">
      <alignment horizontal="center"/>
    </xf>
    <xf numFmtId="0" fontId="15" fillId="13" borderId="19" xfId="0" applyFont="1" applyFill="1" applyBorder="1" applyAlignment="1">
      <alignment horizontal="center"/>
    </xf>
    <xf numFmtId="0" fontId="15" fillId="13" borderId="18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6" borderId="0" xfId="0" applyFont="1" applyFill="1" applyAlignment="1">
      <alignment horizontal="center"/>
    </xf>
    <xf numFmtId="10" fontId="14" fillId="0" borderId="0" xfId="2" applyNumberFormat="1" applyFont="1" applyAlignment="1">
      <alignment horizontal="center"/>
    </xf>
    <xf numFmtId="0" fontId="5" fillId="8" borderId="0" xfId="0" applyFont="1" applyFill="1" applyAlignment="1">
      <alignment horizontal="center" vertical="center"/>
    </xf>
    <xf numFmtId="17" fontId="0" fillId="0" borderId="0" xfId="0" applyNumberFormat="1"/>
    <xf numFmtId="10" fontId="3" fillId="0" borderId="16" xfId="2" applyNumberFormat="1" applyFont="1" applyBorder="1" applyAlignment="1">
      <alignment horizontal="center"/>
    </xf>
    <xf numFmtId="44" fontId="3" fillId="0" borderId="16" xfId="1" applyFont="1" applyBorder="1" applyAlignment="1">
      <alignment horizontal="center"/>
    </xf>
    <xf numFmtId="0" fontId="13" fillId="19" borderId="0" xfId="0" applyFont="1" applyFill="1" applyAlignment="1">
      <alignment horizontal="center"/>
    </xf>
    <xf numFmtId="0" fontId="0" fillId="0" borderId="0" xfId="0" applyAlignment="1">
      <alignment horizontal="left" indent="1"/>
    </xf>
    <xf numFmtId="44" fontId="14" fillId="0" borderId="0" xfId="1" applyFont="1" applyAlignment="1">
      <alignment horizontal="center"/>
    </xf>
    <xf numFmtId="44" fontId="3" fillId="8" borderId="0" xfId="0" applyNumberFormat="1" applyFont="1" applyFill="1"/>
    <xf numFmtId="10" fontId="15" fillId="13" borderId="18" xfId="2" applyNumberFormat="1" applyFont="1" applyFill="1" applyBorder="1" applyAlignment="1">
      <alignment horizontal="center"/>
    </xf>
    <xf numFmtId="10" fontId="13" fillId="0" borderId="0" xfId="2" applyNumberFormat="1" applyFont="1" applyAlignment="1">
      <alignment horizontal="left"/>
    </xf>
    <xf numFmtId="44" fontId="13" fillId="14" borderId="0" xfId="1" applyFont="1" applyFill="1" applyAlignment="1">
      <alignment horizontal="center"/>
    </xf>
    <xf numFmtId="0" fontId="13" fillId="14" borderId="0" xfId="0" applyFont="1" applyFill="1" applyAlignment="1">
      <alignment horizontal="center"/>
    </xf>
    <xf numFmtId="44" fontId="14" fillId="0" borderId="0" xfId="2" applyNumberFormat="1" applyFont="1" applyAlignment="1">
      <alignment horizontal="center"/>
    </xf>
    <xf numFmtId="165" fontId="0" fillId="0" borderId="0" xfId="2" applyNumberFormat="1" applyFont="1" applyAlignment="1">
      <alignment horizontal="center"/>
    </xf>
    <xf numFmtId="0" fontId="7" fillId="3" borderId="20" xfId="0" applyFont="1" applyFill="1" applyBorder="1" applyAlignment="1">
      <alignment horizontal="center" vertical="center"/>
    </xf>
    <xf numFmtId="0" fontId="28" fillId="3" borderId="0" xfId="0" applyFont="1" applyFill="1" applyAlignment="1">
      <alignment horizontal="left" vertical="center"/>
    </xf>
    <xf numFmtId="0" fontId="29" fillId="0" borderId="0" xfId="0" applyFont="1"/>
    <xf numFmtId="10" fontId="28" fillId="3" borderId="0" xfId="2" applyNumberFormat="1" applyFont="1" applyFill="1" applyAlignment="1">
      <alignment horizontal="center" vertical="center"/>
    </xf>
    <xf numFmtId="44" fontId="7" fillId="3" borderId="0" xfId="1" applyFont="1" applyFill="1" applyAlignment="1">
      <alignment horizontal="left" vertical="center"/>
    </xf>
    <xf numFmtId="0" fontId="3" fillId="24" borderId="0" xfId="0" applyFont="1" applyFill="1"/>
    <xf numFmtId="0" fontId="3" fillId="12" borderId="0" xfId="0" applyFont="1" applyFill="1"/>
    <xf numFmtId="0" fontId="0" fillId="24" borderId="0" xfId="0" applyFill="1" applyAlignment="1">
      <alignment horizontal="center"/>
    </xf>
    <xf numFmtId="10" fontId="0" fillId="24" borderId="0" xfId="2" applyNumberFormat="1" applyFont="1" applyFill="1" applyAlignment="1">
      <alignment horizontal="center"/>
    </xf>
    <xf numFmtId="0" fontId="26" fillId="6" borderId="0" xfId="0" applyFont="1" applyFill="1"/>
    <xf numFmtId="44" fontId="25" fillId="6" borderId="0" xfId="0" applyNumberFormat="1" applyFont="1" applyFill="1"/>
    <xf numFmtId="0" fontId="25" fillId="0" borderId="0" xfId="0" applyFont="1" applyAlignment="1">
      <alignment horizontal="center" vertical="center"/>
    </xf>
    <xf numFmtId="10" fontId="25" fillId="0" borderId="0" xfId="2" applyNumberFormat="1" applyFont="1" applyAlignment="1">
      <alignment horizontal="center" vertical="center"/>
    </xf>
    <xf numFmtId="44" fontId="25" fillId="0" borderId="0" xfId="1" applyFont="1" applyAlignment="1">
      <alignment horizontal="center" vertical="center"/>
    </xf>
    <xf numFmtId="44" fontId="25" fillId="6" borderId="0" xfId="1" applyFont="1" applyFill="1" applyAlignment="1">
      <alignment horizontal="center" vertical="center"/>
    </xf>
    <xf numFmtId="0" fontId="13" fillId="7" borderId="15" xfId="0" applyFont="1" applyFill="1" applyBorder="1" applyAlignment="1">
      <alignment horizontal="center"/>
    </xf>
    <xf numFmtId="0" fontId="23" fillId="0" borderId="0" xfId="0" applyFont="1"/>
    <xf numFmtId="0" fontId="23" fillId="8" borderId="0" xfId="0" applyFont="1" applyFill="1" applyAlignment="1">
      <alignment horizontal="center"/>
    </xf>
    <xf numFmtId="17" fontId="23" fillId="8" borderId="0" xfId="0" applyNumberFormat="1" applyFont="1" applyFill="1" applyAlignment="1">
      <alignment horizontal="center"/>
    </xf>
    <xf numFmtId="0" fontId="30" fillId="0" borderId="5" xfId="0" applyFont="1" applyBorder="1" applyAlignment="1">
      <alignment horizontal="center"/>
    </xf>
    <xf numFmtId="0" fontId="23" fillId="0" borderId="0" xfId="0" applyFont="1" applyAlignment="1">
      <alignment horizontal="center"/>
    </xf>
    <xf numFmtId="44" fontId="18" fillId="0" borderId="0" xfId="1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165" fontId="9" fillId="0" borderId="0" xfId="2" applyNumberFormat="1" applyFont="1" applyFill="1" applyAlignment="1">
      <alignment horizontal="center" vertical="center"/>
    </xf>
    <xf numFmtId="10" fontId="13" fillId="5" borderId="0" xfId="2" applyNumberFormat="1" applyFont="1" applyFill="1" applyAlignment="1">
      <alignment horizontal="center"/>
    </xf>
    <xf numFmtId="0" fontId="3" fillId="8" borderId="16" xfId="0" applyFont="1" applyFill="1" applyBorder="1" applyAlignment="1">
      <alignment horizontal="center"/>
    </xf>
    <xf numFmtId="10" fontId="31" fillId="0" borderId="0" xfId="0" applyNumberFormat="1" applyFont="1"/>
    <xf numFmtId="10" fontId="4" fillId="18" borderId="8" xfId="2" applyNumberFormat="1" applyFont="1" applyFill="1" applyBorder="1" applyAlignment="1">
      <alignment horizontal="center" vertical="center"/>
    </xf>
    <xf numFmtId="44" fontId="18" fillId="0" borderId="21" xfId="1" applyFont="1" applyFill="1" applyBorder="1" applyAlignment="1">
      <alignment horizontal="center" vertical="center"/>
    </xf>
    <xf numFmtId="0" fontId="21" fillId="19" borderId="0" xfId="0" applyFont="1" applyFill="1" applyAlignment="1">
      <alignment horizontal="center"/>
    </xf>
    <xf numFmtId="0" fontId="7" fillId="3" borderId="0" xfId="0" applyFont="1" applyFill="1" applyAlignment="1">
      <alignment horizontal="center" vertical="center"/>
    </xf>
    <xf numFmtId="164" fontId="7" fillId="3" borderId="0" xfId="0" applyNumberFormat="1" applyFont="1" applyFill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24" fillId="21" borderId="0" xfId="0" applyFont="1" applyFill="1" applyAlignment="1">
      <alignment horizontal="center" wrapText="1"/>
    </xf>
    <xf numFmtId="0" fontId="24" fillId="22" borderId="0" xfId="0" applyFont="1" applyFill="1" applyAlignment="1">
      <alignment horizontal="center" wrapText="1"/>
    </xf>
    <xf numFmtId="0" fontId="23" fillId="23" borderId="0" xfId="0" applyFont="1" applyFill="1" applyAlignment="1">
      <alignment horizontal="center" wrapText="1"/>
    </xf>
    <xf numFmtId="0" fontId="17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102">
    <dxf>
      <fill>
        <patternFill>
          <bgColor rgb="FFFFFF00"/>
        </patternFill>
      </fill>
    </dxf>
    <dxf>
      <font>
        <color rgb="FFFF0000"/>
      </font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2" formatCode="mmm/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numFmt numFmtId="0" formatCode="General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2" formatCode="mmm/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z val="8"/>
        <color theme="1"/>
      </font>
      <border>
        <bottom style="thin">
          <color theme="4"/>
        </bottom>
        <vertical/>
        <horizontal/>
      </border>
    </dxf>
    <dxf>
      <font>
        <sz val="8"/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</dxfs>
  <tableStyles count="1" defaultTableStyle="TableStyleMedium2" defaultPivotStyle="PivotStyleLight16">
    <tableStyle name="SlicerStyleLight1 2" pivot="0" table="0" count="10" xr9:uid="{EDD529A4-AC77-43A7-B9AE-10B90AD4A0CE}">
      <tableStyleElement type="wholeTable" dxfId="101"/>
      <tableStyleElement type="headerRow" dxfId="100"/>
    </tableStyle>
  </tableStyles>
  <colors>
    <mruColors>
      <color rgb="FF04345A"/>
      <color rgb="FF7F7F7F"/>
      <color rgb="FFECF2F8"/>
      <color rgb="FF1791F5"/>
    </mruColors>
  </colors>
  <extLst>
    <ext xmlns:x14="http://schemas.microsoft.com/office/spreadsheetml/2009/9/main" uri="{46F421CA-312F-682f-3DD2-61675219B42D}">
      <x14:dxfs count="8">
        <dxf>
          <font>
            <sz val="8"/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sz val="8"/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sz val="8"/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sz val="8"/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sz val="8"/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sz val="8"/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sz val="8"/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sz val="8"/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1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06/relationships/richStyles" Target="richData/richStyles.xml"/><Relationship Id="rId3" Type="http://schemas.openxmlformats.org/officeDocument/2006/relationships/worksheet" Target="worksheets/sheet3.xml"/><Relationship Id="rId21" Type="http://schemas.microsoft.com/office/2017/06/relationships/rdRichValueTypes" Target="richData/rdRichValueTypes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17/06/relationships/rdRichValue" Target="richData/rdrichvalue.xml"/><Relationship Id="rId20" Type="http://schemas.microsoft.com/office/2017/06/relationships/rdSupportingPropertyBag" Target="richData/rdsupportingpropertybag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2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microsoft.com/office/2007/relationships/slicerCache" Target="slicerCaches/slicerCache1.xml"/><Relationship Id="rId19" Type="http://schemas.microsoft.com/office/2017/06/relationships/rdSupportingPropertyBagStructure" Target="richData/rdsupportingpropertybagstructure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373786394591061E-2"/>
          <c:y val="5.0925925925925923E-2"/>
          <c:w val="0.90807068971600879"/>
          <c:h val="0.7638888888888888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'Informações Complementares'!$AU$33</c:f>
              <c:strCache>
                <c:ptCount val="1"/>
                <c:pt idx="0">
                  <c:v>Perf.</c:v>
                </c:pt>
              </c:strCache>
            </c:strRef>
          </c:tx>
          <c:spPr>
            <a:solidFill>
              <a:srgbClr val="04345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rgbClr val="04345A"/>
                    </a:solidFill>
                    <a:latin typeface="Gotham" panose="02000504050000020004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'Informações Complementares'!$AT$34:$AT$45</c:f>
              <c:numCache>
                <c:formatCode>mmm\-yy</c:formatCode>
                <c:ptCount val="12"/>
                <c:pt idx="0">
                  <c:v>45108</c:v>
                </c:pt>
                <c:pt idx="1">
                  <c:v>45139</c:v>
                </c:pt>
                <c:pt idx="2">
                  <c:v>45170</c:v>
                </c:pt>
                <c:pt idx="3">
                  <c:v>45200</c:v>
                </c:pt>
                <c:pt idx="4">
                  <c:v>45231</c:v>
                </c:pt>
                <c:pt idx="5">
                  <c:v>45261</c:v>
                </c:pt>
                <c:pt idx="6">
                  <c:v>45292</c:v>
                </c:pt>
                <c:pt idx="7">
                  <c:v>45323</c:v>
                </c:pt>
                <c:pt idx="8">
                  <c:v>45352</c:v>
                </c:pt>
                <c:pt idx="9">
                  <c:v>45383</c:v>
                </c:pt>
                <c:pt idx="10">
                  <c:v>45413</c:v>
                </c:pt>
                <c:pt idx="11">
                  <c:v>45444</c:v>
                </c:pt>
              </c:numCache>
            </c:numRef>
          </c:cat>
          <c:val>
            <c:numRef>
              <c:f>'Informações Complementares'!$AU$34:$AU$45</c:f>
              <c:numCache>
                <c:formatCode>0.00%</c:formatCode>
                <c:ptCount val="12"/>
                <c:pt idx="0">
                  <c:v>-3.3E-3</c:v>
                </c:pt>
                <c:pt idx="1">
                  <c:v>-1.49E-2</c:v>
                </c:pt>
                <c:pt idx="2">
                  <c:v>1.06E-2</c:v>
                </c:pt>
                <c:pt idx="3">
                  <c:v>8.9999999999999998E-4</c:v>
                </c:pt>
                <c:pt idx="4">
                  <c:v>1.04E-2</c:v>
                </c:pt>
                <c:pt idx="5">
                  <c:v>1.7999999999999999E-2</c:v>
                </c:pt>
                <c:pt idx="6">
                  <c:v>-7.6E-3</c:v>
                </c:pt>
                <c:pt idx="7">
                  <c:v>2.9499999999999998E-2</c:v>
                </c:pt>
                <c:pt idx="8">
                  <c:v>2.2599999999999995E-2</c:v>
                </c:pt>
                <c:pt idx="9">
                  <c:v>2.2599999999999995E-2</c:v>
                </c:pt>
                <c:pt idx="10">
                  <c:v>-3.1799999999999995E-2</c:v>
                </c:pt>
                <c:pt idx="11">
                  <c:v>0.1052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70-4DA5-A317-6EB72A4553B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484793151"/>
        <c:axId val="484789791"/>
      </c:barChart>
      <c:lineChart>
        <c:grouping val="standard"/>
        <c:varyColors val="0"/>
        <c:ser>
          <c:idx val="1"/>
          <c:order val="1"/>
          <c:tx>
            <c:strRef>
              <c:f>'Informações Complementares'!$AV$33</c:f>
              <c:strCache>
                <c:ptCount val="1"/>
                <c:pt idx="0">
                  <c:v>Acumulado</c:v>
                </c:pt>
              </c:strCache>
            </c:strRef>
          </c:tx>
          <c:spPr>
            <a:ln w="28575" cap="rnd">
              <a:solidFill>
                <a:srgbClr val="1791F5"/>
              </a:solidFill>
              <a:round/>
            </a:ln>
            <a:effectLst/>
          </c:spPr>
          <c:marker>
            <c:symbol val="none"/>
          </c:marker>
          <c:dLbls>
            <c:dLbl>
              <c:idx val="11"/>
              <c:layout>
                <c:manualLayout>
                  <c:x val="-5.4150928031370782E-2"/>
                  <c:y val="-2.196446016821158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rgbClr val="1791F5"/>
                      </a:solidFill>
                      <a:latin typeface="Gotham" panose="02000504050000020004" pitchFamily="2" charset="0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5577435897435896"/>
                      <c:h val="0.1201760176017601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2F3D-4FC7-90EE-25F282202E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Gotham" panose="02000504050000020004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'Informações Complementares'!$AT$34:$AT$45</c:f>
              <c:numCache>
                <c:formatCode>mmm\-yy</c:formatCode>
                <c:ptCount val="12"/>
                <c:pt idx="0">
                  <c:v>45108</c:v>
                </c:pt>
                <c:pt idx="1">
                  <c:v>45139</c:v>
                </c:pt>
                <c:pt idx="2">
                  <c:v>45170</c:v>
                </c:pt>
                <c:pt idx="3">
                  <c:v>45200</c:v>
                </c:pt>
                <c:pt idx="4">
                  <c:v>45231</c:v>
                </c:pt>
                <c:pt idx="5">
                  <c:v>45261</c:v>
                </c:pt>
                <c:pt idx="6">
                  <c:v>45292</c:v>
                </c:pt>
                <c:pt idx="7">
                  <c:v>45323</c:v>
                </c:pt>
                <c:pt idx="8">
                  <c:v>45352</c:v>
                </c:pt>
                <c:pt idx="9">
                  <c:v>45383</c:v>
                </c:pt>
                <c:pt idx="10">
                  <c:v>45413</c:v>
                </c:pt>
                <c:pt idx="11">
                  <c:v>45444</c:v>
                </c:pt>
              </c:numCache>
            </c:numRef>
          </c:cat>
          <c:val>
            <c:numRef>
              <c:f>'Informações Complementares'!$AV$34:$AV$45</c:f>
              <c:numCache>
                <c:formatCode>0.00%</c:formatCode>
                <c:ptCount val="12"/>
                <c:pt idx="0">
                  <c:v>-3.3E-3</c:v>
                </c:pt>
                <c:pt idx="1">
                  <c:v>-1.8150829999999951E-2</c:v>
                </c:pt>
                <c:pt idx="2">
                  <c:v>-7.7432287980000458E-3</c:v>
                </c:pt>
                <c:pt idx="3">
                  <c:v>-6.8501977039183704E-3</c:v>
                </c:pt>
                <c:pt idx="4">
                  <c:v>3.4785602399607374E-3</c:v>
                </c:pt>
                <c:pt idx="5">
                  <c:v>2.1541174324280155E-2</c:v>
                </c:pt>
                <c:pt idx="6">
                  <c:v>1.3777461399415492E-2</c:v>
                </c:pt>
                <c:pt idx="7">
                  <c:v>4.3683896510698261E-2</c:v>
                </c:pt>
                <c:pt idx="8">
                  <c:v>6.7271152571839909E-2</c:v>
                </c:pt>
                <c:pt idx="9">
                  <c:v>9.1391480619963383E-2</c:v>
                </c:pt>
                <c:pt idx="10">
                  <c:v>5.6685231536248493E-2</c:v>
                </c:pt>
                <c:pt idx="11">
                  <c:v>0.16784851789386179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670-4DA5-A317-6EB72A4553B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84793151"/>
        <c:axId val="484789791"/>
      </c:lineChart>
      <c:dateAx>
        <c:axId val="484793151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t" anchorCtr="0"/>
          <a:lstStyle/>
          <a:p>
            <a:pPr>
              <a:defRPr sz="800" b="0" i="0" u="none" strike="noStrike" kern="1200" baseline="0">
                <a:solidFill>
                  <a:srgbClr val="464646"/>
                </a:solidFill>
                <a:latin typeface="Gotham Book" panose="02000603040000020004" pitchFamily="2" charset="0"/>
                <a:ea typeface="+mn-ea"/>
                <a:cs typeface="+mn-cs"/>
              </a:defRPr>
            </a:pPr>
            <a:endParaRPr lang="pt-BR"/>
          </a:p>
        </c:txPr>
        <c:crossAx val="484789791"/>
        <c:crosses val="autoZero"/>
        <c:auto val="1"/>
        <c:lblOffset val="100"/>
        <c:baseTimeUnit val="months"/>
        <c:majorUnit val="1"/>
      </c:dateAx>
      <c:valAx>
        <c:axId val="48478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rgbClr val="464646"/>
                </a:solidFill>
                <a:latin typeface="Gotham Book" panose="02000603040000020004" pitchFamily="2" charset="0"/>
                <a:ea typeface="+mn-ea"/>
                <a:cs typeface="+mn-cs"/>
              </a:defRPr>
            </a:pPr>
            <a:endParaRPr lang="pt-BR"/>
          </a:p>
        </c:txPr>
        <c:crossAx val="484793151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3913527724534"/>
          <c:y val="4.751736468374762E-2"/>
          <c:w val="0.80545003038794827"/>
          <c:h val="0.83997926126265776"/>
        </c:manualLayout>
      </c:layout>
      <c:barChart>
        <c:barDir val="bar"/>
        <c:grouping val="stacked"/>
        <c:varyColors val="0"/>
        <c:ser>
          <c:idx val="1"/>
          <c:order val="0"/>
          <c:tx>
            <c:strRef>
              <c:f>'Visão Global'!$S$16</c:f>
              <c:strCache>
                <c:ptCount val="1"/>
                <c:pt idx="0">
                  <c:v>BTG</c:v>
                </c:pt>
              </c:strCache>
            </c:strRef>
          </c:tx>
          <c:spPr>
            <a:solidFill>
              <a:srgbClr val="04345A"/>
            </a:solidFill>
          </c:spPr>
          <c:invertIfNegative val="0"/>
          <c:cat>
            <c:numRef>
              <c:f>'Visão Global'!$W$15:$X$15</c:f>
              <c:numCache>
                <c:formatCode>[$-416]mmm\-yy;@</c:formatCode>
                <c:ptCount val="2"/>
                <c:pt idx="0">
                  <c:v>45413</c:v>
                </c:pt>
                <c:pt idx="1">
                  <c:v>45444</c:v>
                </c:pt>
              </c:numCache>
            </c:numRef>
          </c:cat>
          <c:val>
            <c:numRef>
              <c:f>'Visão Global'!$W$16:$X$16</c:f>
              <c:numCache>
                <c:formatCode>0.00%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DE-411A-874A-CD5CA8788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41487104"/>
        <c:axId val="141492992"/>
        <c:extLst/>
      </c:barChart>
      <c:dateAx>
        <c:axId val="141487104"/>
        <c:scaling>
          <c:orientation val="minMax"/>
        </c:scaling>
        <c:delete val="0"/>
        <c:axPos val="l"/>
        <c:numFmt formatCode="[$-416]mmm\-yy;@" sourceLinked="0"/>
        <c:majorTickMark val="none"/>
        <c:minorTickMark val="none"/>
        <c:tickLblPos val="nextTo"/>
        <c:txPr>
          <a:bodyPr/>
          <a:lstStyle/>
          <a:p>
            <a:pPr>
              <a:defRPr sz="800">
                <a:solidFill>
                  <a:srgbClr val="464646"/>
                </a:solidFill>
              </a:defRPr>
            </a:pPr>
            <a:endParaRPr lang="pt-BR"/>
          </a:p>
        </c:txPr>
        <c:crossAx val="141492992"/>
        <c:crosses val="autoZero"/>
        <c:auto val="1"/>
        <c:lblOffset val="100"/>
        <c:baseTimeUnit val="months"/>
      </c:dateAx>
      <c:valAx>
        <c:axId val="141492992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solidFill>
              <a:schemeClr val="bg1">
                <a:lumMod val="65000"/>
              </a:schemeClr>
            </a:solidFill>
          </a:ln>
          <a:effectLst/>
        </c:spPr>
        <c:txPr>
          <a:bodyPr rot="-60000000" vert="horz"/>
          <a:lstStyle/>
          <a:p>
            <a:pPr>
              <a:defRPr sz="800">
                <a:solidFill>
                  <a:srgbClr val="464646"/>
                </a:solidFill>
              </a:defRPr>
            </a:pPr>
            <a:endParaRPr lang="pt-BR"/>
          </a:p>
        </c:txPr>
        <c:crossAx val="141487104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2336864141982253"/>
          <c:y val="0.38107045153143188"/>
          <c:w val="0.82504405699287586"/>
          <c:h val="0.16941182748006575"/>
        </c:manualLayout>
      </c:layout>
      <c:overlay val="0"/>
      <c:spPr>
        <a:solidFill>
          <a:schemeClr val="bg1"/>
        </a:solidFill>
      </c:spPr>
      <c:txPr>
        <a:bodyPr/>
        <a:lstStyle/>
        <a:p>
          <a:pPr>
            <a:defRPr>
              <a:solidFill>
                <a:srgbClr val="464646"/>
              </a:solidFill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900">
          <a:latin typeface="Gotham Book" panose="02000603040000020004" pitchFamily="2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17"/>
    </mc:Choice>
    <mc:Fallback>
      <c:style val="17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1711293106059"/>
          <c:y val="9.3667928031900327E-2"/>
          <c:w val="0.88024608567442653"/>
          <c:h val="0.64598915447840144"/>
        </c:manualLayout>
      </c:layout>
      <c:lineChart>
        <c:grouping val="standard"/>
        <c:varyColors val="0"/>
        <c:ser>
          <c:idx val="0"/>
          <c:order val="0"/>
          <c:tx>
            <c:v>Carteira</c:v>
          </c:tx>
          <c:spPr>
            <a:ln>
              <a:solidFill>
                <a:srgbClr val="04345A"/>
              </a:solidFill>
            </a:ln>
          </c:spPr>
          <c:marker>
            <c:symbol val="none"/>
          </c:marker>
          <c:dLbls>
            <c:delete val="1"/>
          </c:dLbls>
          <c:cat>
            <c:numRef>
              <c:f>'Informações Complementares'!$AT$34:$AT$45</c:f>
              <c:numCache>
                <c:formatCode>mmm\-yy</c:formatCode>
                <c:ptCount val="12"/>
                <c:pt idx="0">
                  <c:v>45108</c:v>
                </c:pt>
                <c:pt idx="1">
                  <c:v>45139</c:v>
                </c:pt>
                <c:pt idx="2">
                  <c:v>45170</c:v>
                </c:pt>
                <c:pt idx="3">
                  <c:v>45200</c:v>
                </c:pt>
                <c:pt idx="4">
                  <c:v>45231</c:v>
                </c:pt>
                <c:pt idx="5">
                  <c:v>45261</c:v>
                </c:pt>
                <c:pt idx="6">
                  <c:v>45292</c:v>
                </c:pt>
                <c:pt idx="7">
                  <c:v>45323</c:v>
                </c:pt>
                <c:pt idx="8">
                  <c:v>45352</c:v>
                </c:pt>
                <c:pt idx="9">
                  <c:v>45383</c:v>
                </c:pt>
                <c:pt idx="10">
                  <c:v>45413</c:v>
                </c:pt>
                <c:pt idx="11">
                  <c:v>45444</c:v>
                </c:pt>
              </c:numCache>
            </c:numRef>
          </c:cat>
          <c:val>
            <c:numRef>
              <c:f>'Informações Complementares'!$AV$34:$AV$45</c:f>
              <c:numCache>
                <c:formatCode>0.00%</c:formatCode>
                <c:ptCount val="12"/>
                <c:pt idx="0">
                  <c:v>-3.3E-3</c:v>
                </c:pt>
                <c:pt idx="1">
                  <c:v>-1.8150829999999951E-2</c:v>
                </c:pt>
                <c:pt idx="2">
                  <c:v>-7.7432287980000458E-3</c:v>
                </c:pt>
                <c:pt idx="3">
                  <c:v>-6.8501977039183704E-3</c:v>
                </c:pt>
                <c:pt idx="4">
                  <c:v>3.4785602399607374E-3</c:v>
                </c:pt>
                <c:pt idx="5">
                  <c:v>2.1541174324280155E-2</c:v>
                </c:pt>
                <c:pt idx="6">
                  <c:v>1.3777461399415492E-2</c:v>
                </c:pt>
                <c:pt idx="7">
                  <c:v>4.3683896510698261E-2</c:v>
                </c:pt>
                <c:pt idx="8">
                  <c:v>6.7271152571839909E-2</c:v>
                </c:pt>
                <c:pt idx="9">
                  <c:v>9.1391480619963383E-2</c:v>
                </c:pt>
                <c:pt idx="10">
                  <c:v>5.6685231536248493E-2</c:v>
                </c:pt>
                <c:pt idx="11">
                  <c:v>0.16784851789386179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C1F-4EE1-AA06-E37F8C086624}"/>
            </c:ext>
          </c:extLst>
        </c:ser>
        <c:ser>
          <c:idx val="1"/>
          <c:order val="1"/>
          <c:tx>
            <c:v>Benchmark</c:v>
          </c:tx>
          <c:marker>
            <c:symbol val="none"/>
          </c:marker>
          <c:dLbls>
            <c:delete val="1"/>
          </c:dLbls>
          <c:cat>
            <c:numRef>
              <c:f>'Informações Complementares'!$AT$34:$AT$45</c:f>
              <c:numCache>
                <c:formatCode>mmm\-yy</c:formatCode>
                <c:ptCount val="12"/>
                <c:pt idx="0">
                  <c:v>45108</c:v>
                </c:pt>
                <c:pt idx="1">
                  <c:v>45139</c:v>
                </c:pt>
                <c:pt idx="2">
                  <c:v>45170</c:v>
                </c:pt>
                <c:pt idx="3">
                  <c:v>45200</c:v>
                </c:pt>
                <c:pt idx="4">
                  <c:v>45231</c:v>
                </c:pt>
                <c:pt idx="5">
                  <c:v>45261</c:v>
                </c:pt>
                <c:pt idx="6">
                  <c:v>45292</c:v>
                </c:pt>
                <c:pt idx="7">
                  <c:v>45323</c:v>
                </c:pt>
                <c:pt idx="8">
                  <c:v>45352</c:v>
                </c:pt>
                <c:pt idx="9">
                  <c:v>45383</c:v>
                </c:pt>
                <c:pt idx="10">
                  <c:v>45413</c:v>
                </c:pt>
                <c:pt idx="11">
                  <c:v>45444</c:v>
                </c:pt>
              </c:numCache>
            </c:numRef>
          </c:cat>
          <c:val>
            <c:numRef>
              <c:f>'Informações Complementares'!$AX$34:$AX$45</c:f>
              <c:numCache>
                <c:formatCode>0.00%</c:formatCode>
                <c:ptCount val="12"/>
                <c:pt idx="0">
                  <c:v>1.0699999999999999E-2</c:v>
                </c:pt>
                <c:pt idx="1">
                  <c:v>2.2221980000000086E-2</c:v>
                </c:pt>
                <c:pt idx="2">
                  <c:v>3.2137533206000102E-2</c:v>
                </c:pt>
                <c:pt idx="3">
                  <c:v>4.2458908538060003E-2</c:v>
                </c:pt>
                <c:pt idx="4">
                  <c:v>5.2049530496610208E-2</c:v>
                </c:pt>
                <c:pt idx="5">
                  <c:v>6.1412771318029913E-2</c:v>
                </c:pt>
                <c:pt idx="6">
                  <c:v>7.1708475199814936E-2</c:v>
                </c:pt>
                <c:pt idx="7">
                  <c:v>8.0282143001413564E-2</c:v>
                </c:pt>
                <c:pt idx="8">
                  <c:v>8.9248484788325255E-2</c:v>
                </c:pt>
                <c:pt idx="9">
                  <c:v>9.8942796302941227E-2</c:v>
                </c:pt>
                <c:pt idx="10">
                  <c:v>0.10806402151225569</c:v>
                </c:pt>
                <c:pt idx="11">
                  <c:v>0.11681772728220263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C1F-4EE1-AA06-E37F8C08662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64011392"/>
        <c:axId val="164038912"/>
      </c:lineChart>
      <c:dateAx>
        <c:axId val="164011392"/>
        <c:scaling>
          <c:orientation val="minMax"/>
        </c:scaling>
        <c:delete val="0"/>
        <c:axPos val="b"/>
        <c:numFmt formatCode="[$-416]mmm\-yy;@" sourceLinked="0"/>
        <c:majorTickMark val="out"/>
        <c:minorTickMark val="none"/>
        <c:tickLblPos val="low"/>
        <c:spPr>
          <a:noFill/>
          <a:ln>
            <a:solidFill>
              <a:schemeClr val="bg1">
                <a:lumMod val="65000"/>
              </a:schemeClr>
            </a:solidFill>
          </a:ln>
        </c:spPr>
        <c:txPr>
          <a:bodyPr rot="-2700000" vert="horz"/>
          <a:lstStyle/>
          <a:p>
            <a:pPr>
              <a:defRPr sz="700">
                <a:solidFill>
                  <a:srgbClr val="464646"/>
                </a:solidFill>
                <a:latin typeface="Gotham Book" panose="02000603040000020004" pitchFamily="2" charset="0"/>
              </a:defRPr>
            </a:pPr>
            <a:endParaRPr lang="pt-BR"/>
          </a:p>
        </c:txPr>
        <c:crossAx val="164038912"/>
        <c:crosses val="autoZero"/>
        <c:auto val="1"/>
        <c:lblOffset val="100"/>
        <c:baseTimeUnit val="months"/>
        <c:majorUnit val="1"/>
        <c:majorTimeUnit val="months"/>
      </c:dateAx>
      <c:valAx>
        <c:axId val="164038912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65000"/>
                </a:schemeClr>
              </a:solidFill>
              <a:prstDash val="dash"/>
            </a:ln>
          </c:spPr>
        </c:majorGridlines>
        <c:numFmt formatCode="0%" sourceLinked="0"/>
        <c:majorTickMark val="out"/>
        <c:minorTickMark val="none"/>
        <c:tickLblPos val="nextTo"/>
        <c:spPr>
          <a:ln>
            <a:solidFill>
              <a:schemeClr val="bg1">
                <a:lumMod val="65000"/>
              </a:schemeClr>
            </a:solidFill>
          </a:ln>
        </c:spPr>
        <c:txPr>
          <a:bodyPr/>
          <a:lstStyle/>
          <a:p>
            <a:pPr>
              <a:defRPr sz="800">
                <a:solidFill>
                  <a:srgbClr val="464646"/>
                </a:solidFill>
                <a:latin typeface="Gotham Book" panose="02000603040000020004" pitchFamily="2" charset="0"/>
              </a:defRPr>
            </a:pPr>
            <a:endParaRPr lang="pt-BR"/>
          </a:p>
        </c:txPr>
        <c:crossAx val="164011392"/>
        <c:crosses val="autoZero"/>
        <c:crossBetween val="between"/>
        <c:minorUnit val="4.0000000000000008E-2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3.0555555555555555E-2"/>
          <c:y val="9.282347707146367E-2"/>
          <c:w val="0.95582222222222224"/>
          <c:h val="0.73515968494647621"/>
        </c:manualLayout>
      </c:layout>
      <c:areaChart>
        <c:grouping val="standard"/>
        <c:varyColors val="0"/>
        <c:ser>
          <c:idx val="0"/>
          <c:order val="0"/>
          <c:spPr>
            <a:solidFill>
              <a:srgbClr val="04345A"/>
            </a:solidFill>
            <a:ln w="25400">
              <a:noFill/>
            </a:ln>
            <a:effectLst/>
          </c:spPr>
          <c:cat>
            <c:numRef>
              <c:f>'Informações Complementares'!$AT$34:$AT$45</c:f>
              <c:numCache>
                <c:formatCode>mmm\-yy</c:formatCode>
                <c:ptCount val="12"/>
                <c:pt idx="0">
                  <c:v>45108</c:v>
                </c:pt>
                <c:pt idx="1">
                  <c:v>45139</c:v>
                </c:pt>
                <c:pt idx="2">
                  <c:v>45170</c:v>
                </c:pt>
                <c:pt idx="3">
                  <c:v>45200</c:v>
                </c:pt>
                <c:pt idx="4">
                  <c:v>45231</c:v>
                </c:pt>
                <c:pt idx="5">
                  <c:v>45261</c:v>
                </c:pt>
                <c:pt idx="6">
                  <c:v>45292</c:v>
                </c:pt>
                <c:pt idx="7">
                  <c:v>45323</c:v>
                </c:pt>
                <c:pt idx="8">
                  <c:v>45352</c:v>
                </c:pt>
                <c:pt idx="9">
                  <c:v>45383</c:v>
                </c:pt>
                <c:pt idx="10">
                  <c:v>45413</c:v>
                </c:pt>
                <c:pt idx="11">
                  <c:v>45444</c:v>
                </c:pt>
              </c:numCache>
            </c:numRef>
          </c:cat>
          <c:val>
            <c:numRef>
              <c:f>'Informações Complementares'!$AY$34:$AY$45</c:f>
              <c:numCache>
                <c:formatCode>_("R$"* #,##0.00_);_("R$"* \(#,##0.00\);_("R$"* "-"??_);_(@_)</c:formatCode>
                <c:ptCount val="12"/>
                <c:pt idx="0">
                  <c:v>205.15179999999998</c:v>
                </c:pt>
                <c:pt idx="1">
                  <c:v>195.48968999999997</c:v>
                </c:pt>
                <c:pt idx="2">
                  <c:v>144.91643908359598</c:v>
                </c:pt>
                <c:pt idx="3">
                  <c:v>132.88815</c:v>
                </c:pt>
                <c:pt idx="4">
                  <c:v>94.376512381996477</c:v>
                </c:pt>
                <c:pt idx="5">
                  <c:v>81.917645473997965</c:v>
                </c:pt>
                <c:pt idx="6">
                  <c:v>70.996946290163322</c:v>
                </c:pt>
                <c:pt idx="7">
                  <c:v>68.611869999999996</c:v>
                </c:pt>
                <c:pt idx="8">
                  <c:v>49.728140000000003</c:v>
                </c:pt>
                <c:pt idx="9">
                  <c:v>45.454599999999999</c:v>
                </c:pt>
                <c:pt idx="10">
                  <c:v>42.198569999999997</c:v>
                </c:pt>
                <c:pt idx="11">
                  <c:v>46.638770000000001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6E-49BD-96D4-7312066BA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880320"/>
        <c:axId val="163890304"/>
      </c:areaChart>
      <c:dateAx>
        <c:axId val="16388032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" lastClr="FFFFFF">
                <a:lumMod val="65000"/>
              </a:sys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rgbClr val="464646"/>
                </a:solidFill>
                <a:latin typeface="Gotham Book" panose="02000603040000020004" pitchFamily="2" charset="0"/>
                <a:ea typeface="+mn-ea"/>
                <a:cs typeface="+mn-cs"/>
              </a:defRPr>
            </a:pPr>
            <a:endParaRPr lang="pt-BR"/>
          </a:p>
        </c:txPr>
        <c:crossAx val="163890304"/>
        <c:crosses val="autoZero"/>
        <c:auto val="1"/>
        <c:lblOffset val="100"/>
        <c:baseTimeUnit val="months"/>
      </c:dateAx>
      <c:valAx>
        <c:axId val="16389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" lastClr="FFFFFF">
                  <a:lumMod val="65000"/>
                </a:sysClr>
              </a:solidFill>
              <a:prstDash val="dash"/>
              <a:round/>
            </a:ln>
            <a:effectLst/>
          </c:spPr>
        </c:majorGridlines>
        <c:numFmt formatCode="#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rgbClr val="464646"/>
                </a:solidFill>
                <a:latin typeface="Gotham Book" panose="02000603040000020004" pitchFamily="2" charset="0"/>
                <a:ea typeface="+mn-ea"/>
                <a:cs typeface="+mn-cs"/>
              </a:defRPr>
            </a:pPr>
            <a:endParaRPr lang="pt-BR"/>
          </a:p>
        </c:txPr>
        <c:crossAx val="163880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Gotham Book" panose="02000603040000020004" pitchFamily="2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rgbClr val="05477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rgbClr val="002060"/>
                  </a:solidFill>
                  <a:latin typeface="Gotham" panose="02000504050000020004" pitchFamily="2" charset="0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4345A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4345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40DC-44B3-B601-324C9A748661}"/>
              </c:ext>
            </c:extLst>
          </c:dPt>
          <c:dLbls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FEB-4084-906F-473D61609080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464646"/>
                    </a:solidFill>
                    <a:latin typeface="Gotham" panose="02000504050000020004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'Resumo por Classes | Onshore'!$W$8:$W$9</c:f>
              <c:strCache>
                <c:ptCount val="2"/>
                <c:pt idx="0">
                  <c:v>D+0</c:v>
                </c:pt>
                <c:pt idx="1">
                  <c:v>2024</c:v>
                </c:pt>
              </c:strCache>
            </c:strRef>
          </c:cat>
          <c:val>
            <c:numRef>
              <c:f>'Resumo por Classes | Onshore'!$Z$8:$Z$9</c:f>
              <c:numCache>
                <c:formatCode>0%</c:formatCode>
                <c:ptCount val="2"/>
                <c:pt idx="0">
                  <c:v>0.25120772946859904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0DC-44B3-B601-324C9A74866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5"/>
        <c:overlap val="-5"/>
        <c:axId val="484825311"/>
        <c:axId val="484822431"/>
      </c:barChart>
      <c:catAx>
        <c:axId val="484825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rgbClr val="464646"/>
                </a:solidFill>
                <a:latin typeface="Gotham Book" panose="02000603040000020004" pitchFamily="2" charset="0"/>
                <a:ea typeface="+mn-ea"/>
                <a:cs typeface="+mn-cs"/>
              </a:defRPr>
            </a:pPr>
            <a:endParaRPr lang="pt-BR"/>
          </a:p>
        </c:txPr>
        <c:crossAx val="484822431"/>
        <c:crosses val="autoZero"/>
        <c:auto val="1"/>
        <c:lblAlgn val="ctr"/>
        <c:lblOffset val="100"/>
        <c:noMultiLvlLbl val="0"/>
      </c:catAx>
      <c:valAx>
        <c:axId val="48482243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484825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[AD_OK.xlsx]Resumo por Classes | Onshore!Tabela dinâmica1</c:name>
    <c:fmtId val="0"/>
  </c:pivotSource>
  <c:chart>
    <c:autoTitleDeleted val="1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marker>
          <c:symbol val="none"/>
        </c:marker>
      </c:pivotFmt>
      <c:pivotFmt>
        <c:idx val="39"/>
        <c:marker>
          <c:symbol val="none"/>
        </c:marker>
      </c:pivotFmt>
      <c:pivotFmt>
        <c:idx val="4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2"/>
        <c:marker>
          <c:symbol val="none"/>
        </c:marker>
      </c:pivotFmt>
      <c:pivotFmt>
        <c:idx val="6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75163257874822"/>
          <c:y val="1.7551664207700306E-2"/>
          <c:w val="0.86709045090293935"/>
          <c:h val="0.9057919795569847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'Resumo por Classes | Onshore'!$AC$7:$AC$8</c:f>
              <c:strCache>
                <c:ptCount val="1"/>
                <c:pt idx="0">
                  <c:v>Conta Corrente</c:v>
                </c:pt>
              </c:strCache>
            </c:strRef>
          </c:tx>
          <c:invertIfNegative val="0"/>
          <c:cat>
            <c:strRef>
              <c:f>'Resumo por Classes | Onshore'!$AB$9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'Resumo por Classes | Onshore'!$AC$9</c:f>
              <c:numCache>
                <c:formatCode>0.00%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445-4A9B-9E30-DB8CD6F65144}"/>
            </c:ext>
          </c:extLst>
        </c:ser>
        <c:ser>
          <c:idx val="1"/>
          <c:order val="1"/>
          <c:tx>
            <c:strRef>
              <c:f>'Resumo por Classes | Onshore'!$AD$7:$AD$8</c:f>
              <c:strCache>
                <c:ptCount val="1"/>
                <c:pt idx="0">
                  <c:v>Fundos - Renda Fixa</c:v>
                </c:pt>
              </c:strCache>
            </c:strRef>
          </c:tx>
          <c:invertIfNegative val="0"/>
          <c:cat>
            <c:strRef>
              <c:f>'Resumo por Classes | Onshore'!$AB$9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'Resumo por Classes | Onshore'!$AD$9</c:f>
              <c:numCache>
                <c:formatCode>0.00%</c:formatCode>
                <c:ptCount val="1"/>
                <c:pt idx="0">
                  <c:v>4.2426075987853033E-3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4F-4F4A-AF37-4D2A95C74FB7}"/>
            </c:ext>
          </c:extLst>
        </c:ser>
        <c:ser>
          <c:idx val="2"/>
          <c:order val="2"/>
          <c:tx>
            <c:strRef>
              <c:f>'Resumo por Classes | Onshore'!$AE$7:$AE$8</c:f>
              <c:strCache>
                <c:ptCount val="1"/>
                <c:pt idx="0">
                  <c:v>Opções - Derivativos</c:v>
                </c:pt>
              </c:strCache>
            </c:strRef>
          </c:tx>
          <c:invertIfNegative val="0"/>
          <c:cat>
            <c:strRef>
              <c:f>'Resumo por Classes | Onshore'!$AB$9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'Resumo por Classes | Onshore'!$AE$9</c:f>
              <c:numCache>
                <c:formatCode>0.00%</c:formatCode>
                <c:ptCount val="1"/>
                <c:pt idx="0">
                  <c:v>6.8398030222495149E-4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4F-4F4A-AF37-4D2A95C74FB7}"/>
            </c:ext>
          </c:extLst>
        </c:ser>
        <c:ser>
          <c:idx val="3"/>
          <c:order val="3"/>
          <c:tx>
            <c:strRef>
              <c:f>'Resumo por Classes | Onshore'!$AF$7:$AF$8</c:f>
              <c:strCache>
                <c:ptCount val="1"/>
                <c:pt idx="0">
                  <c:v>Opções - Estruturado</c:v>
                </c:pt>
              </c:strCache>
            </c:strRef>
          </c:tx>
          <c:invertIfNegative val="0"/>
          <c:cat>
            <c:strRef>
              <c:f>'Resumo por Classes | Onshore'!$AB$9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'Resumo por Classes | Onshore'!$AF$9</c:f>
              <c:numCache>
                <c:formatCode>0.00%</c:formatCode>
                <c:ptCount val="1"/>
                <c:pt idx="0">
                  <c:v>0.99507341209898981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4F-4F4A-AF37-4D2A95C74F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0"/>
        <c:overlap val="100"/>
        <c:axId val="164738944"/>
        <c:axId val="164740480"/>
        <c:extLst/>
      </c:barChart>
      <c:catAx>
        <c:axId val="164738944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[$-416]mmm\-yy;@" sourceLinked="0"/>
        <c:majorTickMark val="out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ysClr val="window" lastClr="FFFFFF">
                <a:lumMod val="65000"/>
              </a:sys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rgbClr val="7F7F7F"/>
                </a:solidFill>
                <a:latin typeface="Gotham Book" panose="02000603040000020004" pitchFamily="2" charset="0"/>
                <a:ea typeface="+mn-ea"/>
                <a:cs typeface="+mn-cs"/>
              </a:defRPr>
            </a:pPr>
            <a:endParaRPr lang="pt-BR"/>
          </a:p>
        </c:txPr>
        <c:crossAx val="164740480"/>
        <c:crosses val="autoZero"/>
        <c:auto val="1"/>
        <c:lblAlgn val="ctr"/>
        <c:lblOffset val="100"/>
        <c:noMultiLvlLbl val="0"/>
      </c:catAx>
      <c:valAx>
        <c:axId val="1647404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solidFill>
              <a:sysClr val="window" lastClr="FFFFFF">
                <a:lumMod val="65000"/>
              </a:sys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rgbClr val="464646"/>
                </a:solidFill>
                <a:latin typeface="Gotham Book" panose="02000603040000020004" pitchFamily="2" charset="0"/>
                <a:ea typeface="+mn-ea"/>
                <a:cs typeface="+mn-cs"/>
              </a:defRPr>
            </a:pPr>
            <a:endParaRPr lang="pt-BR"/>
          </a:p>
        </c:txPr>
        <c:crossAx val="164738944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323608998268012"/>
          <c:y val="2.2050751618983309E-2"/>
          <c:w val="0.34236203322342507"/>
          <c:h val="0.89445078215468055"/>
        </c:manualLayout>
      </c:layout>
      <c:overlay val="0"/>
      <c:txPr>
        <a:bodyPr/>
        <a:lstStyle/>
        <a:p>
          <a:pPr algn="ctr">
            <a:defRPr lang="en-US" sz="800" b="1" i="0" u="none" strike="noStrike" kern="1200" baseline="0">
              <a:solidFill>
                <a:srgbClr val="464646"/>
              </a:solidFill>
              <a:latin typeface="Gotham" panose="02000504050000020004" pitchFamily="2" charset="0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fmlaLink="$AA$2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600075</xdr:colOff>
      <xdr:row>14</xdr:row>
      <xdr:rowOff>1</xdr:rowOff>
    </xdr:from>
    <xdr:to>
      <xdr:col>13</xdr:col>
      <xdr:colOff>314325</xdr:colOff>
      <xdr:row>28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9</xdr:col>
      <xdr:colOff>152400</xdr:colOff>
      <xdr:row>2</xdr:row>
      <xdr:rowOff>19050</xdr:rowOff>
    </xdr:from>
    <xdr:to>
      <xdr:col>14</xdr:col>
      <xdr:colOff>304800</xdr:colOff>
      <xdr:row>12</xdr:row>
      <xdr:rowOff>46566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3</xdr:col>
      <xdr:colOff>1084791</xdr:colOff>
      <xdr:row>19</xdr:row>
      <xdr:rowOff>142875</xdr:rowOff>
    </xdr:from>
    <xdr:to>
      <xdr:col>4</xdr:col>
      <xdr:colOff>714375</xdr:colOff>
      <xdr:row>20</xdr:row>
      <xdr:rowOff>167217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104091" y="3629025"/>
          <a:ext cx="877359" cy="2148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200" b="1">
              <a:solidFill>
                <a:srgbClr val="04345A"/>
              </a:solidFill>
              <a:latin typeface="Gotham" panose="02000504050000020004" pitchFamily="2" charset="0"/>
            </a:rPr>
            <a:t>Mensal</a:t>
          </a:r>
        </a:p>
      </xdr:txBody>
    </xdr:sp>
    <xdr:clientData/>
  </xdr:twoCellAnchor>
  <xdr:twoCellAnchor>
    <xdr:from>
      <xdr:col>3</xdr:col>
      <xdr:colOff>876301</xdr:colOff>
      <xdr:row>14</xdr:row>
      <xdr:rowOff>142875</xdr:rowOff>
    </xdr:from>
    <xdr:to>
      <xdr:col>13</xdr:col>
      <xdr:colOff>47627</xdr:colOff>
      <xdr:row>26</xdr:row>
      <xdr:rowOff>9524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895601" y="2676525"/>
          <a:ext cx="6029326" cy="2152649"/>
        </a:xfrm>
        <a:prstGeom prst="rect">
          <a:avLst/>
        </a:prstGeom>
        <a:solidFill>
          <a:srgbClr val="F2F2F2">
            <a:alpha val="20000"/>
          </a:srgbClr>
        </a:solidFill>
        <a:ln w="28575">
          <a:solidFill>
            <a:srgbClr val="95B3D7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85725</xdr:colOff>
      <xdr:row>15</xdr:row>
      <xdr:rowOff>19051</xdr:rowOff>
    </xdr:from>
    <xdr:to>
      <xdr:col>4</xdr:col>
      <xdr:colOff>304800</xdr:colOff>
      <xdr:row>15</xdr:row>
      <xdr:rowOff>180974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105025" y="5467351"/>
          <a:ext cx="219075" cy="161923"/>
        </a:xfrm>
        <a:prstGeom prst="rect">
          <a:avLst/>
        </a:prstGeom>
        <a:noFill/>
        <a:ln w="28575">
          <a:solidFill>
            <a:srgbClr val="95B3D7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15</xdr:col>
      <xdr:colOff>85725</xdr:colOff>
      <xdr:row>1</xdr:row>
      <xdr:rowOff>9525</xdr:rowOff>
    </xdr:from>
    <xdr:to>
      <xdr:col>29</xdr:col>
      <xdr:colOff>584250</xdr:colOff>
      <xdr:row>28</xdr:row>
      <xdr:rowOff>158042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944100" y="200025"/>
          <a:ext cx="9252000" cy="5330117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56025</xdr:colOff>
      <xdr:row>18</xdr:row>
      <xdr:rowOff>180975</xdr:rowOff>
    </xdr:from>
    <xdr:to>
      <xdr:col>15</xdr:col>
      <xdr:colOff>762000</xdr:colOff>
      <xdr:row>32</xdr:row>
      <xdr:rowOff>127000</xdr:rowOff>
    </xdr:to>
    <xdr:grpSp>
      <xdr:nvGrpSpPr>
        <xdr:cNvPr id="3" name="Agrupa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665625" y="3638550"/>
          <a:ext cx="9030825" cy="2622550"/>
          <a:chOff x="667213" y="4101155"/>
          <a:chExt cx="9016537" cy="2185340"/>
        </a:xfrm>
      </xdr:grpSpPr>
      <xdr:graphicFrame macro="">
        <xdr:nvGraphicFramePr>
          <xdr:cNvPr id="2" name="Gráfico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GraphicFramePr>
            <a:graphicFrameLocks/>
          </xdr:cNvGraphicFramePr>
        </xdr:nvGraphicFramePr>
        <xdr:xfrm>
          <a:off x="4278313" y="4101155"/>
          <a:ext cx="5405437" cy="218534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11" name="Gráfico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GraphicFramePr>
            <a:graphicFrameLocks/>
          </xdr:cNvGraphicFramePr>
        </xdr:nvGraphicFramePr>
        <xdr:xfrm>
          <a:off x="667213" y="4135437"/>
          <a:ext cx="3584485" cy="191846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 editAs="absolute">
    <xdr:from>
      <xdr:col>16</xdr:col>
      <xdr:colOff>201252</xdr:colOff>
      <xdr:row>3</xdr:row>
      <xdr:rowOff>154057</xdr:rowOff>
    </xdr:from>
    <xdr:to>
      <xdr:col>30</xdr:col>
      <xdr:colOff>16047</xdr:colOff>
      <xdr:row>31</xdr:row>
      <xdr:rowOff>131124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9995851" y="725557"/>
          <a:ext cx="9295069" cy="5327632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494280</xdr:colOff>
      <xdr:row>20</xdr:row>
      <xdr:rowOff>133350</xdr:rowOff>
    </xdr:from>
    <xdr:to>
      <xdr:col>9</xdr:col>
      <xdr:colOff>761993</xdr:colOff>
      <xdr:row>23</xdr:row>
      <xdr:rowOff>120989</xdr:rowOff>
    </xdr:to>
    <xdr:grpSp>
      <xdr:nvGrpSpPr>
        <xdr:cNvPr id="16" name="Agrupar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pSpPr/>
      </xdr:nvGrpSpPr>
      <xdr:grpSpPr>
        <a:xfrm>
          <a:off x="5018655" y="3981450"/>
          <a:ext cx="2191763" cy="559139"/>
          <a:chOff x="4990081" y="4044831"/>
          <a:chExt cx="1965757" cy="428974"/>
        </a:xfrm>
      </xdr:grpSpPr>
      <xdr:grpSp>
        <xdr:nvGrpSpPr>
          <xdr:cNvPr id="9" name="Agrupar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GrpSpPr/>
        </xdr:nvGrpSpPr>
        <xdr:grpSpPr>
          <a:xfrm>
            <a:off x="4990081" y="4272539"/>
            <a:ext cx="1965757" cy="201266"/>
            <a:chOff x="5734050" y="3705642"/>
            <a:chExt cx="1289931" cy="212000"/>
          </a:xfrm>
        </xdr:grpSpPr>
        <xdr:sp macro="" textlink="$N$10">
          <xdr:nvSpPr>
            <xdr:cNvPr id="6" name="CaixaDeTexto 5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/>
          </xdr:nvSpPr>
          <xdr:spPr>
            <a:xfrm>
              <a:off x="6252456" y="3717616"/>
              <a:ext cx="771525" cy="20002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/>
              <a:fld id="{ACE030A2-91B2-4D99-B6BB-583F0C4BDC32}" type="TxLink">
                <a:rPr lang="en-US" sz="1050" b="1">
                  <a:solidFill>
                    <a:srgbClr val="7F7F7F"/>
                  </a:solidFill>
                  <a:latin typeface="Gotham" panose="02000504050000020004" pitchFamily="2" charset="0"/>
                  <a:ea typeface="+mn-ea"/>
                  <a:cs typeface="+mn-cs"/>
                </a:rPr>
                <a:pPr marL="0" indent="0"/>
                <a:t>11,68%</a:t>
              </a:fld>
              <a:endParaRPr lang="pt-BR" sz="1050" b="1">
                <a:solidFill>
                  <a:srgbClr val="7F7F7F"/>
                </a:solidFill>
                <a:latin typeface="Gotham" panose="02000504050000020004" pitchFamily="2" charset="0"/>
                <a:ea typeface="+mn-ea"/>
                <a:cs typeface="+mn-cs"/>
              </a:endParaRPr>
            </a:p>
          </xdr:txBody>
        </xdr:sp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 txBox="1"/>
          </xdr:nvSpPr>
          <xdr:spPr>
            <a:xfrm>
              <a:off x="5734050" y="3705642"/>
              <a:ext cx="633387" cy="20378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1100" b="1">
                  <a:solidFill>
                    <a:srgbClr val="7F7F7F"/>
                  </a:solidFill>
                  <a:latin typeface="Gotham" panose="02000504050000020004" pitchFamily="2" charset="0"/>
                </a:rPr>
                <a:t>Benchmark</a:t>
              </a:r>
              <a:endParaRPr lang="pt-BR" sz="1200" b="1">
                <a:solidFill>
                  <a:srgbClr val="7F7F7F"/>
                </a:solidFill>
                <a:latin typeface="Gotham" panose="02000504050000020004" pitchFamily="2" charset="0"/>
              </a:endParaRPr>
            </a:p>
          </xdr:txBody>
        </xdr:sp>
      </xdr:grpSp>
      <xdr:grpSp>
        <xdr:nvGrpSpPr>
          <xdr:cNvPr id="15" name="Agrupar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GrpSpPr/>
        </xdr:nvGrpSpPr>
        <xdr:grpSpPr>
          <a:xfrm>
            <a:off x="4990093" y="4044831"/>
            <a:ext cx="1774177" cy="202584"/>
            <a:chOff x="4990093" y="4044831"/>
            <a:chExt cx="1774177" cy="202584"/>
          </a:xfrm>
        </xdr:grpSpPr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 txBox="1"/>
          </xdr:nvSpPr>
          <xdr:spPr>
            <a:xfrm>
              <a:off x="4990093" y="4044831"/>
              <a:ext cx="802901" cy="17869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1100" b="1">
                  <a:solidFill>
                    <a:srgbClr val="04345A"/>
                  </a:solidFill>
                  <a:latin typeface="Gotham" panose="02000504050000020004" pitchFamily="2" charset="0"/>
                </a:rPr>
                <a:t>Carteira</a:t>
              </a:r>
            </a:p>
          </xdr:txBody>
        </xdr:sp>
        <xdr:sp macro="" textlink="$N$8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00000000-0008-0000-0100-00000D000000}"/>
                </a:ext>
              </a:extLst>
            </xdr:cNvPr>
            <xdr:cNvSpPr txBox="1"/>
          </xdr:nvSpPr>
          <xdr:spPr>
            <a:xfrm>
              <a:off x="5588523" y="4057517"/>
              <a:ext cx="1175747" cy="18989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/>
              <a:fld id="{99B8E0E8-937F-4BFC-B500-9F847A8705B2}" type="TxLink">
                <a:rPr lang="en-US" sz="1050" b="1">
                  <a:solidFill>
                    <a:srgbClr val="04345A"/>
                  </a:solidFill>
                  <a:latin typeface="Gotham" panose="02000504050000020004" pitchFamily="2" charset="0"/>
                  <a:ea typeface="+mn-ea"/>
                  <a:cs typeface="+mn-cs"/>
                </a:rPr>
                <a:pPr marL="0" indent="0"/>
                <a:t>16,78%</a:t>
              </a:fld>
              <a:endParaRPr lang="pt-BR" sz="1050" b="1">
                <a:solidFill>
                  <a:srgbClr val="04345A"/>
                </a:solidFill>
                <a:latin typeface="Gotham" panose="02000504050000020004" pitchFamily="2" charset="0"/>
                <a:ea typeface="+mn-ea"/>
                <a:cs typeface="+mn-cs"/>
              </a:endParaRPr>
            </a:p>
          </xdr:txBody>
        </xdr: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10</xdr:row>
      <xdr:rowOff>9525</xdr:rowOff>
    </xdr:from>
    <xdr:to>
      <xdr:col>12</xdr:col>
      <xdr:colOff>488949</xdr:colOff>
      <xdr:row>30</xdr:row>
      <xdr:rowOff>133350</xdr:rowOff>
    </xdr:to>
    <xdr:grpSp>
      <xdr:nvGrpSpPr>
        <xdr:cNvPr id="5" name="Agrupar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3638550" y="1943100"/>
          <a:ext cx="6070599" cy="3933825"/>
          <a:chOff x="3638550" y="2667001"/>
          <a:chExt cx="6032499" cy="3253211"/>
        </a:xfrm>
      </xdr:grpSpPr>
      <xdr:graphicFrame macro="">
        <xdr:nvGraphicFramePr>
          <xdr:cNvPr id="2" name="Gráfico 1">
            <a:extLst>
              <a:ext uri="{FF2B5EF4-FFF2-40B4-BE49-F238E27FC236}">
                <a16:creationId xmlns:a16="http://schemas.microsoft.com/office/drawing/2014/main" id="{00000000-0008-0000-0200-000002000000}"/>
              </a:ext>
            </a:extLst>
          </xdr:cNvPr>
          <xdr:cNvGraphicFramePr>
            <a:graphicFrameLocks/>
          </xdr:cNvGraphicFramePr>
        </xdr:nvGraphicFramePr>
        <xdr:xfrm>
          <a:off x="6543675" y="2667001"/>
          <a:ext cx="3127374" cy="325321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3" name="Gráfico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GraphicFramePr>
            <a:graphicFrameLocks/>
          </xdr:cNvGraphicFramePr>
        </xdr:nvGraphicFramePr>
        <xdr:xfrm>
          <a:off x="3638550" y="2743200"/>
          <a:ext cx="2867025" cy="307657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 editAs="absolute">
    <xdr:from>
      <xdr:col>13</xdr:col>
      <xdr:colOff>133350</xdr:colOff>
      <xdr:row>3</xdr:row>
      <xdr:rowOff>9525</xdr:rowOff>
    </xdr:from>
    <xdr:to>
      <xdr:col>24</xdr:col>
      <xdr:colOff>717600</xdr:colOff>
      <xdr:row>31</xdr:row>
      <xdr:rowOff>5642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9848850" y="581025"/>
          <a:ext cx="9252000" cy="5330117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19</xdr:col>
      <xdr:colOff>142874</xdr:colOff>
      <xdr:row>8</xdr:row>
      <xdr:rowOff>172507</xdr:rowOff>
    </xdr:from>
    <xdr:to>
      <xdr:col>30</xdr:col>
      <xdr:colOff>371750</xdr:colOff>
      <xdr:row>39</xdr:row>
      <xdr:rowOff>80782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1534774" y="1696507"/>
          <a:ext cx="9239526" cy="53280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19</xdr:col>
      <xdr:colOff>201706</xdr:colOff>
      <xdr:row>92</xdr:row>
      <xdr:rowOff>10246</xdr:rowOff>
    </xdr:from>
    <xdr:to>
      <xdr:col>30</xdr:col>
      <xdr:colOff>430582</xdr:colOff>
      <xdr:row>120</xdr:row>
      <xdr:rowOff>9537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11575677" y="18523324"/>
          <a:ext cx="9208390" cy="533777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24</xdr:col>
          <xdr:colOff>85725</xdr:colOff>
          <xdr:row>0</xdr:row>
          <xdr:rowOff>38100</xdr:rowOff>
        </xdr:from>
        <xdr:to>
          <xdr:col>26</xdr:col>
          <xdr:colOff>1209675</xdr:colOff>
          <xdr:row>2</xdr:row>
          <xdr:rowOff>152400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5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C0C0C0" mc:Ignorable="a14" a14:legacySpreadsheetColorIndex="22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absolute">
    <xdr:from>
      <xdr:col>0</xdr:col>
      <xdr:colOff>0</xdr:colOff>
      <xdr:row>4</xdr:row>
      <xdr:rowOff>9526</xdr:rowOff>
    </xdr:from>
    <xdr:to>
      <xdr:col>0</xdr:col>
      <xdr:colOff>1438274</xdr:colOff>
      <xdr:row>11</xdr:row>
      <xdr:rowOff>74224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Custódia">
              <a:extLst>
                <a:ext uri="{FF2B5EF4-FFF2-40B4-BE49-F238E27FC236}">
                  <a16:creationId xmlns:a16="http://schemas.microsoft.com/office/drawing/2014/main" id="{00000000-0008-0000-05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ustód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752476"/>
              <a:ext cx="1438274" cy="10953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11</xdr:row>
      <xdr:rowOff>74224</xdr:rowOff>
    </xdr:from>
    <xdr:to>
      <xdr:col>0</xdr:col>
      <xdr:colOff>1447800</xdr:colOff>
      <xdr:row>21</xdr:row>
      <xdr:rowOff>173138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Nomenclatura Classe">
              <a:extLst>
                <a:ext uri="{FF2B5EF4-FFF2-40B4-BE49-F238E27FC236}">
                  <a16:creationId xmlns:a16="http://schemas.microsoft.com/office/drawing/2014/main" id="{00000000-0008-0000-0500-00000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enclatura Class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847850"/>
              <a:ext cx="1447800" cy="1952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dro Incontri" refreshedDate="45483.403236342594" createdVersion="8" refreshedVersion="8" minRefreshableVersion="3" recordCount="5" xr:uid="{8A9A0C63-B8CA-4A0D-A0EB-D4DAC8CF69E0}">
  <cacheSource type="worksheet">
    <worksheetSource name="Dados"/>
  </cacheSource>
  <cacheFields count="72">
    <cacheField name="Ativo" numFmtId="0">
      <sharedItems/>
    </cacheField>
    <cacheField name="Data" numFmtId="17">
      <sharedItems containsSemiMixedTypes="0" containsNonDate="0" containsDate="1" containsString="0" minDate="2024-06-01T00:00:00" maxDate="2024-06-02T00:00:00"/>
    </cacheField>
    <cacheField name="Titular" numFmtId="0">
      <sharedItems/>
    </cacheField>
    <cacheField name="Custódia" numFmtId="0">
      <sharedItems/>
    </cacheField>
    <cacheField name="Subclasse" numFmtId="0">
      <sharedItems containsBlank="1" count="12">
        <s v="Conta Corrente"/>
        <s v="Derivativos"/>
        <s v="Estruturado"/>
        <s v="Renda Fixa"/>
        <s v="Pós-Fixado" u="1"/>
        <s v="Inflação" u="1"/>
        <s v="Ação" u="1"/>
        <m u="1"/>
        <s v="Multimercado" u="1"/>
        <s v="Prefixado" u="1"/>
        <s v="Alternativos" u="1"/>
        <s v="Alternativo" u="1"/>
      </sharedItems>
    </cacheField>
    <cacheField name="Tipo do Ativo" numFmtId="0">
      <sharedItems containsBlank="1"/>
    </cacheField>
    <cacheField name="Emissor" numFmtId="0">
      <sharedItems/>
    </cacheField>
    <cacheField name="Vencimento" numFmtId="14">
      <sharedItems containsNonDate="0" containsDate="1" containsString="0" containsBlank="1" minDate="2024-07-22T00:00:00" maxDate="2024-07-23T00:00:00"/>
    </cacheField>
    <cacheField name="Remuneração" numFmtId="0">
      <sharedItems containsNonDate="0" containsString="0" containsBlank="1"/>
    </cacheField>
    <cacheField name="Complemento" numFmtId="0">
      <sharedItems containsNonDate="0" containsString="0" containsBlank="1"/>
    </cacheField>
    <cacheField name="Liquidez" numFmtId="0">
      <sharedItems containsMixedTypes="1" containsNumber="1" containsInteger="1" minValue="2024" maxValue="2024"/>
    </cacheField>
    <cacheField name="Ticker do Ativo" numFmtId="0">
      <sharedItems containsBlank="1"/>
    </cacheField>
    <cacheField name="Taxa" numFmtId="10">
      <sharedItems containsNonDate="0" containsString="0" containsBlank="1"/>
    </cacheField>
    <cacheField name="Pós-Fixado" numFmtId="10">
      <sharedItems containsNonDate="0" containsString="0" containsBlank="1"/>
    </cacheField>
    <cacheField name="IR" numFmtId="0">
      <sharedItems containsNonDate="0" containsString="0" containsBlank="1"/>
    </cacheField>
    <cacheField name="Liq. Diária" numFmtId="0">
      <sharedItems containsNonDate="0" containsString="0" containsBlank="1"/>
    </cacheField>
    <cacheField name="Classe" numFmtId="0">
      <sharedItems count="7">
        <s v="Corrente, Poupança e Empréstimo"/>
        <s v="Opções"/>
        <s v="Fundos de Investimento"/>
        <s v="Renda Fixa" u="1"/>
        <s v="Bolsa de Valores" u="1"/>
        <s v="ERRO" u="1"/>
        <s v="Fundos de Investimentos" u="1"/>
      </sharedItems>
    </cacheField>
    <cacheField name="Nomenclatura Ativo" numFmtId="0">
      <sharedItems/>
    </cacheField>
    <cacheField name="Nomenclatura Classe" numFmtId="0">
      <sharedItems count="11">
        <s v="Conta Corrente"/>
        <s v="Opções - Derivativos"/>
        <s v="Opções - Estruturado"/>
        <s v="Fundos - Renda Fixa"/>
        <s v="Renda Fixa - Pós-Fixado" u="1"/>
        <s v="Renda Fixa - Inflação" u="1"/>
        <s v="Bolsa - Ação" u="1"/>
        <s v="ERRO" u="1"/>
        <s v="Fundos - Multimercado" u="1"/>
        <s v="Renda Fixa - Prefixado" u="1"/>
        <s v="Fundos - Alternativo" u="1"/>
      </sharedItems>
    </cacheField>
    <cacheField name="Gross-Up" numFmtId="10">
      <sharedItems/>
    </cacheField>
    <cacheField name="Coluna2" numFmtId="10">
      <sharedItems containsNonDate="0" containsString="0" containsBlank="1"/>
    </cacheField>
    <cacheField name="Apagar Linha" numFmtId="10">
      <sharedItems/>
    </cacheField>
    <cacheField name="Coluna1" numFmtId="0">
      <sharedItems containsNonDate="0" containsString="0" containsBlank="1"/>
    </cacheField>
    <cacheField name="Taxa | Esperada" numFmtId="10">
      <sharedItems/>
    </cacheField>
    <cacheField name="Saldo Líquido Esperado" numFmtId="44">
      <sharedItems/>
    </cacheField>
    <cacheField name="Saldo Bruto Esperado" numFmtId="44">
      <sharedItems/>
    </cacheField>
    <cacheField name="-" numFmtId="0">
      <sharedItems containsNonDate="0" containsString="0" containsBlank="1"/>
    </cacheField>
    <cacheField name="Saldo Líquido | Relatório" numFmtId="44">
      <sharedItems containsString="0" containsBlank="1" containsNumber="1" minValue="-31.29" maxValue="46409"/>
    </cacheField>
    <cacheField name="Saldo Bruto | Relatório" numFmtId="44">
      <sharedItems containsString="0" containsBlank="1" containsNumber="1" minValue="-31.29" maxValue="46409"/>
    </cacheField>
    <cacheField name="Aplicações" numFmtId="44">
      <sharedItems containsNonDate="0" containsString="0" containsBlank="1"/>
    </cacheField>
    <cacheField name="Resgates" numFmtId="44">
      <sharedItems containsNonDate="0" containsString="0" containsBlank="1"/>
    </cacheField>
    <cacheField name="Juros / Dividendos" numFmtId="44">
      <sharedItems containsNonDate="0" containsString="0" containsBlank="1"/>
    </cacheField>
    <cacheField name="Demais" numFmtId="44">
      <sharedItems containsNonDate="0" containsString="0" containsBlank="1"/>
    </cacheField>
    <cacheField name="Cashback" numFmtId="44">
      <sharedItems containsString="0" containsBlank="1" containsNumber="1" minValue="-0.01" maxValue="-0.01"/>
    </cacheField>
    <cacheField name="Imposto Pago" numFmtId="44">
      <sharedItems containsNonDate="0" containsString="0" containsBlank="1"/>
    </cacheField>
    <cacheField name="-----" numFmtId="0">
      <sharedItems containsNonDate="0" containsString="0" containsBlank="1"/>
    </cacheField>
    <cacheField name="Peso | Mês Anterior" numFmtId="10">
      <sharedItems containsSemiMixedTypes="0" containsString="0" containsNumber="1" minValue="1.3744541580437441E-5" maxValue="0.97882463789649743"/>
    </cacheField>
    <cacheField name="IR &amp; IOF | Mês Anterior" numFmtId="44">
      <sharedItems containsSemiMixedTypes="0" containsString="0" containsNumber="1" minValue="0" maxValue="0.24000000000000909"/>
    </cacheField>
    <cacheField name="Saldo Líquido | Mês Anterior" numFmtId="44">
      <sharedItems containsSemiMixedTypes="0" containsString="0" containsNumber="1" minValue="0.57999999999999996" maxValue="41305"/>
    </cacheField>
    <cacheField name="Saldo Bruto | Mês Anterior" numFmtId="44">
      <sharedItems containsSemiMixedTypes="0" containsString="0" containsNumber="1" minValue="0.57999999999999996" maxValue="41305"/>
    </cacheField>
    <cacheField name="Movimentaçao | Mês Anterior" numFmtId="44">
      <sharedItems containsSemiMixedTypes="0" containsString="0" containsNumber="1" minValue="-1504.26" maxValue="0"/>
    </cacheField>
    <cacheField name="IR Pago | Mês Anterior" numFmtId="44">
      <sharedItems containsSemiMixedTypes="0" containsString="0" containsNumber="1" minValue="0" maxValue="4.21"/>
    </cacheField>
    <cacheField name="--" numFmtId="0">
      <sharedItems containsNonDate="0" containsString="0" containsBlank="1"/>
    </cacheField>
    <cacheField name="Peso | Mês Atual" numFmtId="10">
      <sharedItems containsSemiMixedTypes="0" containsString="0" containsNumber="1" minValue="-6.7090105506641779E-4" maxValue="0.9950734120989897"/>
    </cacheField>
    <cacheField name="IR &amp; IOF | Mês Atual" numFmtId="44">
      <sharedItems containsSemiMixedTypes="0" containsString="0" containsNumber="1" minValue="0" maxValue="0.61000000000001364"/>
    </cacheField>
    <cacheField name="Performance | Mês Atual" numFmtId="10">
      <sharedItems containsSemiMixedTypes="0" containsString="0" containsNumber="1" minValue="-33.59375" maxValue="0.12356881733446312"/>
    </cacheField>
    <cacheField name="Saldo Líquido | Mês Atual" numFmtId="44">
      <sharedItems containsSemiMixedTypes="0" containsString="0" containsNumber="1" minValue="-31.29" maxValue="46409"/>
    </cacheField>
    <cacheField name="Saldo Bruto | Mês Atual" numFmtId="44">
      <sharedItems containsSemiMixedTypes="0" containsString="0" containsNumber="1" minValue="-31.29" maxValue="46409"/>
    </cacheField>
    <cacheField name="Movimentaçao | Mês Atual" numFmtId="44">
      <sharedItems containsSemiMixedTypes="0" containsString="0" containsNumber="1" minValue="-0.01" maxValue="0"/>
    </cacheField>
    <cacheField name="IR Pago | Mês Atual" numFmtId="44">
      <sharedItems containsSemiMixedTypes="0" containsString="0" containsNumber="1" containsInteger="1" minValue="0" maxValue="0"/>
    </cacheField>
    <cacheField name="---" numFmtId="0">
      <sharedItems containsNonDate="0" containsString="0" containsBlank="1"/>
    </cacheField>
    <cacheField name="Lista?" numFmtId="0">
      <sharedItems/>
    </cacheField>
    <cacheField name="Participação" numFmtId="44">
      <sharedItems containsNonDate="0" containsString="0" containsBlank="1"/>
    </cacheField>
    <cacheField name="Saldo Corrigido" numFmtId="44">
      <sharedItems containsSemiMixedTypes="0" containsString="0" containsNumber="1" minValue="-31.29" maxValue="46409.01"/>
    </cacheField>
    <cacheField name="Peso Corrigido | Carteira" numFmtId="10">
      <sharedItems containsSemiMixedTypes="0" containsString="0" containsNumber="1" minValue="-6.7090076736553406E-4" maxValue="0.99507319979785069"/>
    </cacheField>
    <cacheField name="Performance Carteira" numFmtId="10">
      <sharedItems containsSemiMixedTypes="0" containsString="0" containsNumber="1" minValue="0.14430106649994276" maxValue="0.14430106649994276"/>
    </cacheField>
    <cacheField name="Peso Corrigido | Custódia" numFmtId="10">
      <sharedItems containsSemiMixedTypes="0" containsString="0" containsNumber="1" minValue="-6.7090076736553406E-4" maxValue="0.99507319979785069"/>
    </cacheField>
    <cacheField name="Performance Custódia" numFmtId="10">
      <sharedItems containsSemiMixedTypes="0" containsString="0" containsNumber="1" minValue="0.14430106649994276" maxValue="0.14430106649994276"/>
    </cacheField>
    <cacheField name="Peso Corrigido | SubClasse" numFmtId="10">
      <sharedItems containsMixedTypes="1" containsNumber="1" minValue="-0.98087774294670849" maxValue="1.9808777429467084"/>
    </cacheField>
    <cacheField name="Performance SubClasse" numFmtId="10">
      <sharedItems containsSemiMixedTypes="0" containsString="0" containsNumber="1" minValue="0" maxValue="31.150390316509174"/>
    </cacheField>
    <cacheField name="Peso Corrigido | Classe" numFmtId="10">
      <sharedItems containsMixedTypes="1" containsNumber="1" minValue="-6.7375940738456663E-4" maxValue="1"/>
    </cacheField>
    <cacheField name="Performance Classe" numFmtId="10">
      <sharedItems containsSemiMixedTypes="0" containsString="0" containsNumber="1" minValue="0" maxValue="0.1448809665973366"/>
    </cacheField>
    <cacheField name="ea" numFmtId="10">
      <sharedItems containsNonDate="0" containsString="0" containsBlank="1"/>
    </cacheField>
    <cacheField name="Código" numFmtId="10">
      <sharedItems/>
    </cacheField>
    <cacheField name="TickerExcel" numFmtId="10">
      <sharedItems containsBlank="1"/>
    </cacheField>
    <cacheField name="Taxa RF / FI" numFmtId="10">
      <sharedItems containsMixedTypes="1" containsNumber="1" minValue="3.9739999999999996E-4" maxValue="3.9739999999999996E-4"/>
    </cacheField>
    <cacheField name="Movimentações Atualizadas" numFmtId="44">
      <sharedItems containsNonDate="0" containsString="0" containsBlank="1"/>
    </cacheField>
    <cacheField name="Saldo Atualizado" numFmtId="44">
      <sharedItems containsSemiMixedTypes="0" containsString="0" containsNumber="1" minValue="-31.29" maxValue="46409"/>
    </cacheField>
    <cacheField name="Peso Atualizado" numFmtId="10">
      <sharedItems containsSemiMixedTypes="0" containsString="0" containsNumber="1" minValue="-6.7089992392092108E-4" maxValue="0.99507173439584617"/>
    </cacheField>
    <cacheField name="Performance Atualizado" numFmtId="10">
      <sharedItems containsMixedTypes="1" containsNumber="1" minValue="0" maxValue="3.973999999999922E-4"/>
    </cacheField>
    <cacheField name="Saldo Corrigido Atualizado" numFmtId="44">
      <sharedItems containsSemiMixedTypes="0" containsString="0" containsNumber="1" minValue="-31.29" maxValue="46409"/>
    </cacheField>
    <cacheField name="Peso Corrigido Atualizado" numFmtId="10">
      <sharedItems containsSemiMixedTypes="0" containsString="0" containsNumber="1" minValue="-6.7089992392092108E-4" maxValue="0.995071734395846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s v="Conta Corrente - BTG"/>
    <d v="2024-06-01T00:00:00"/>
    <s v="AD"/>
    <s v="BTG"/>
    <x v="0"/>
    <s v="Conta Corrente -"/>
    <s v="BTG"/>
    <m/>
    <m/>
    <m/>
    <s v="D+0"/>
    <m/>
    <m/>
    <m/>
    <m/>
    <m/>
    <x v="0"/>
    <s v="Conta Corrente - BTG"/>
    <x v="0"/>
    <s v=""/>
    <m/>
    <s v=""/>
    <m/>
    <s v=""/>
    <s v=""/>
    <s v=""/>
    <m/>
    <m/>
    <m/>
    <m/>
    <m/>
    <m/>
    <m/>
    <m/>
    <m/>
    <m/>
    <n v="1.3744541580437441E-5"/>
    <n v="0"/>
    <n v="0.57999999999999996"/>
    <n v="0.57999999999999996"/>
    <n v="-49.959999999999809"/>
    <n v="0"/>
    <m/>
    <n v="0"/>
    <n v="0"/>
    <n v="-1"/>
    <n v="0"/>
    <n v="0"/>
    <n v="0"/>
    <n v="0"/>
    <m/>
    <b v="1"/>
    <m/>
    <n v="0"/>
    <n v="0"/>
    <n v="0.14430106649994276"/>
    <n v="0"/>
    <n v="0.14430106649994276"/>
    <s v="0,00%"/>
    <n v="0"/>
    <s v="0,00%"/>
    <n v="0"/>
    <m/>
    <s v=""/>
    <m/>
    <s v=""/>
    <m/>
    <n v="0"/>
    <n v="0"/>
    <s v="0,00%"/>
    <n v="0"/>
    <n v="0"/>
  </r>
  <r>
    <s v="Call Vendida WEGE3 07/24"/>
    <d v="2024-06-01T00:00:00"/>
    <s v="AD"/>
    <s v="BTG"/>
    <x v="1"/>
    <m/>
    <s v="Call Vendida WEGE3"/>
    <d v="2024-07-22T00:00:00"/>
    <m/>
    <m/>
    <n v="2024"/>
    <m/>
    <m/>
    <m/>
    <m/>
    <m/>
    <x v="1"/>
    <s v="Call Vendida WEGE3 07/24"/>
    <x v="1"/>
    <s v=""/>
    <m/>
    <s v=""/>
    <m/>
    <s v=""/>
    <s v=""/>
    <s v=""/>
    <m/>
    <n v="-31.29"/>
    <n v="-31.29"/>
    <m/>
    <m/>
    <m/>
    <m/>
    <m/>
    <m/>
    <m/>
    <n v="2.2749586064172315E-5"/>
    <n v="0"/>
    <n v="0.96"/>
    <n v="0.96"/>
    <n v="0"/>
    <n v="0"/>
    <m/>
    <n v="-6.7090105506641779E-4"/>
    <n v="0"/>
    <n v="-33.59375"/>
    <n v="-31.29"/>
    <n v="-31.29"/>
    <n v="0"/>
    <n v="0"/>
    <m/>
    <b v="1"/>
    <m/>
    <n v="-31.29"/>
    <n v="-6.7090076736553406E-4"/>
    <n v="0.14430106649994276"/>
    <n v="-6.7090076736553406E-4"/>
    <n v="0.14430106649994276"/>
    <n v="-0.98087774294670849"/>
    <n v="31.150390316509174"/>
    <n v="-6.7375940738456663E-4"/>
    <n v="0.1448809665973366"/>
    <m/>
    <s v=""/>
    <m/>
    <s v=""/>
    <m/>
    <n v="-31.29"/>
    <n v="-6.7089992392092108E-4"/>
    <n v="0"/>
    <n v="-31.29"/>
    <n v="-6.7089992392092108E-4"/>
  </r>
  <r>
    <s v="WEGE3 Smart Hedge 07/24"/>
    <d v="2024-06-01T00:00:00"/>
    <s v="AD"/>
    <s v="BTG"/>
    <x v="2"/>
    <m/>
    <s v="WEGE3 Smart Hedge"/>
    <d v="2024-07-22T00:00:00"/>
    <m/>
    <m/>
    <n v="2024"/>
    <m/>
    <m/>
    <m/>
    <m/>
    <m/>
    <x v="1"/>
    <s v="WEGE3 Smart Hedge 07/24"/>
    <x v="2"/>
    <s v=""/>
    <m/>
    <s v=""/>
    <m/>
    <s v=""/>
    <s v=""/>
    <s v=""/>
    <m/>
    <n v="46409"/>
    <n v="46409"/>
    <m/>
    <m/>
    <m/>
    <m/>
    <n v="-0.01"/>
    <m/>
    <m/>
    <n v="0.97882463789649743"/>
    <n v="0"/>
    <n v="41305"/>
    <n v="41305"/>
    <n v="-0.03"/>
    <n v="0"/>
    <m/>
    <n v="0.9950734120989897"/>
    <n v="0"/>
    <n v="0.12356881733446312"/>
    <n v="46409"/>
    <n v="46409"/>
    <n v="-0.01"/>
    <n v="0"/>
    <m/>
    <b v="1"/>
    <m/>
    <n v="46409.01"/>
    <n v="0.99507319979785069"/>
    <n v="0.14430106649994276"/>
    <n v="0.99507319979785069"/>
    <n v="0.14430106649994276"/>
    <n v="1"/>
    <n v="0.12356881733446312"/>
    <n v="0.99931310562174602"/>
    <n v="0.1448809665973366"/>
    <m/>
    <s v=""/>
    <m/>
    <s v=""/>
    <m/>
    <n v="46409"/>
    <n v="0.99507173439584617"/>
    <n v="0"/>
    <n v="46409"/>
    <n v="0.99507173439584617"/>
  </r>
  <r>
    <s v="BTG CDB Plus FI RF CP"/>
    <d v="2024-06-01T00:00:00"/>
    <s v="AD"/>
    <s v="BTG"/>
    <x v="3"/>
    <m/>
    <s v="BTG CDB Plus FI RF CP"/>
    <m/>
    <m/>
    <m/>
    <s v="D+0"/>
    <s v="27.717.359/0001-30"/>
    <m/>
    <m/>
    <m/>
    <m/>
    <x v="2"/>
    <s v="BTG CDB Plus FI RF CP"/>
    <x v="3"/>
    <s v=""/>
    <m/>
    <s v=""/>
    <m/>
    <s v=""/>
    <s v=""/>
    <s v=""/>
    <m/>
    <n v="197.26"/>
    <n v="197.87"/>
    <m/>
    <m/>
    <m/>
    <m/>
    <n v="-0.01"/>
    <m/>
    <m/>
    <n v="4.6511054758490633E-3"/>
    <n v="0.24000000000000909"/>
    <n v="196.03"/>
    <n v="196.27"/>
    <n v="-1504.26"/>
    <n v="4.21"/>
    <m/>
    <n v="4.2426075987853024E-3"/>
    <n v="0.61000000000001364"/>
    <n v="8.2029856829877179E-3"/>
    <n v="197.26"/>
    <n v="197.87"/>
    <n v="-0.01"/>
    <n v="0"/>
    <m/>
    <b v="1"/>
    <m/>
    <n v="197.88"/>
    <n v="4.2428201932340013E-3"/>
    <n v="0.14430106649994276"/>
    <n v="4.2428201932340013E-3"/>
    <n v="0.14430106649994276"/>
    <n v="1"/>
    <n v="8.2029856829877179E-3"/>
    <n v="1"/>
    <n v="8.2029856829877179E-3"/>
    <m/>
    <s v="27.717.359/0001-30"/>
    <s v="BTG Pactual CDB Plus FI Renda Fixa Credito Privado"/>
    <n v="3.9739999999999996E-4"/>
    <m/>
    <n v="197.948633538"/>
    <n v="4.2442864551260626E-3"/>
    <n v="3.973999999999922E-4"/>
    <n v="197.948633538"/>
    <n v="4.2442864551260626E-3"/>
  </r>
  <r>
    <s v="Put Comprada WEGE3 07/24"/>
    <d v="2024-06-01T00:00:00"/>
    <s v="AD"/>
    <s v="BTG"/>
    <x v="1"/>
    <m/>
    <s v="Put Comprada WEGE3"/>
    <d v="2024-07-22T00:00:00"/>
    <m/>
    <m/>
    <n v="2024"/>
    <m/>
    <m/>
    <m/>
    <m/>
    <m/>
    <x v="1"/>
    <s v="Put Comprada WEGE3 07/24"/>
    <x v="1"/>
    <s v=""/>
    <m/>
    <s v=""/>
    <m/>
    <s v=""/>
    <s v=""/>
    <s v=""/>
    <m/>
    <n v="63.19"/>
    <n v="63.19"/>
    <m/>
    <m/>
    <m/>
    <m/>
    <m/>
    <m/>
    <m/>
    <n v="1.6487762500008888E-2"/>
    <n v="0"/>
    <n v="695.76"/>
    <n v="695.76"/>
    <n v="0"/>
    <n v="0"/>
    <m/>
    <n v="1.3548813572913693E-3"/>
    <n v="0"/>
    <n v="-0.90917845233988737"/>
    <n v="63.19"/>
    <n v="63.19"/>
    <n v="0"/>
    <n v="0"/>
    <m/>
    <b v="1"/>
    <m/>
    <n v="63.19"/>
    <n v="1.3548807762808596E-3"/>
    <n v="0.14430106649994276"/>
    <n v="1.3548807762808596E-3"/>
    <n v="0.14430106649994276"/>
    <n v="1.9808777429467084"/>
    <n v="31.150390316509174"/>
    <n v="1.3606537856385673E-3"/>
    <n v="0.1448809665973366"/>
    <m/>
    <s v=""/>
    <m/>
    <s v=""/>
    <m/>
    <n v="63.19"/>
    <n v="1.3548790729486419E-3"/>
    <n v="0"/>
    <n v="63.19"/>
    <n v="1.3548790729486419E-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94D240-2F63-4E90-AECB-C1D3D12B8871}" name="Tabela dinâmica1" cacheId="0" applyNumberFormats="0" applyBorderFormats="0" applyFontFormats="0" applyPatternFormats="0" applyAlignmentFormats="0" applyWidthHeightFormats="1" dataCaption="Valores" updatedVersion="8" minRefreshableVersion="3" useAutoFormatting="1" rowGrandTotals="0" itemPrintTitles="1" createdVersion="8" indent="0" outline="1" outlineData="1" multipleFieldFilters="0" chartFormat="85">
  <location ref="AB7:AG9" firstHeaderRow="1" firstDataRow="2" firstDataCol="1"/>
  <pivotFields count="72">
    <pivotField showAll="0"/>
    <pivotField numFmtId="17"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numFmtId="10" showAll="0"/>
    <pivotField showAll="0"/>
    <pivotField showAll="0"/>
    <pivotField showAll="0"/>
    <pivotField showAll="0"/>
    <pivotField showAll="0"/>
    <pivotField axis="axisCol" showAll="0">
      <items count="12">
        <item x="0"/>
        <item m="1" x="8"/>
        <item x="3"/>
        <item m="1" x="5"/>
        <item m="1" x="4"/>
        <item m="1" x="9"/>
        <item m="1" x="7"/>
        <item m="1" x="6"/>
        <item m="1" x="10"/>
        <item x="1"/>
        <item x="2"/>
        <item t="default"/>
      </items>
    </pivotField>
    <pivotField showAll="0"/>
    <pivotField showAll="0"/>
    <pivotField showAll="0"/>
    <pivotField showAll="0"/>
    <pivotField numFmtId="10" showAll="0"/>
    <pivotField numFmtId="44" showAll="0"/>
    <pivotField numFmtId="44" showAll="0"/>
    <pivotField showAll="0"/>
    <pivotField numFmtId="44" showAll="0"/>
    <pivotField numFmtId="44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4" showAll="0"/>
    <pivotField numFmtId="44" showAll="0"/>
    <pivotField numFmtId="44" showAll="0"/>
    <pivotField showAll="0"/>
    <pivotField showAll="0"/>
    <pivotField showAll="0"/>
    <pivotField numFmtId="10" showAll="0"/>
    <pivotField numFmtId="44" showAll="0"/>
    <pivotField numFmtId="10" showAll="0"/>
    <pivotField numFmtId="44" showAll="0"/>
    <pivotField dataField="1" numFmtId="44" showAll="0"/>
    <pivotField numFmtId="44" showAll="0"/>
    <pivotField showAll="0"/>
    <pivotField showAll="0"/>
    <pivotField showAll="0"/>
    <pivotField showAll="0"/>
    <pivotField numFmtId="44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showAll="0"/>
    <pivotField showAll="0"/>
    <pivotField showAll="0"/>
    <pivotField numFmtId="10" showAll="0"/>
    <pivotField showAll="0"/>
    <pivotField numFmtId="44" showAll="0"/>
    <pivotField showAll="0"/>
    <pivotField showAll="0"/>
    <pivotField numFmtId="44" showAll="0"/>
    <pivotField showAll="0"/>
  </pivotFields>
  <rowItems count="1">
    <i/>
  </rowItems>
  <colFields count="1">
    <field x="18"/>
  </colFields>
  <colItems count="5">
    <i>
      <x/>
    </i>
    <i>
      <x v="2"/>
    </i>
    <i>
      <x v="9"/>
    </i>
    <i>
      <x v="10"/>
    </i>
    <i t="grand">
      <x/>
    </i>
  </colItems>
  <dataFields count="1">
    <dataField name="Soma de Saldo Bruto | Mês Atual" fld="47" showDataAs="percentOfTotal" baseField="7" baseItem="0" numFmtId="10"/>
  </dataFields>
  <chartFormats count="12">
    <chartFormat chart="0" format="6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4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5"/>
          </reference>
        </references>
      </pivotArea>
    </chartFormat>
    <chartFormat chart="0" format="68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0" format="69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6"/>
          </reference>
        </references>
      </pivotArea>
    </chartFormat>
    <chartFormat chart="0" format="70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7"/>
          </reference>
        </references>
      </pivotArea>
    </chartFormat>
    <chartFormat chart="0" format="7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8"/>
          </reference>
        </references>
      </pivotArea>
    </chartFormat>
    <chartFormat chart="0" format="7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9"/>
          </reference>
        </references>
      </pivotArea>
    </chartFormat>
    <chartFormat chart="0" format="73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72B65D-3C72-4879-8602-8020DF072D6C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U30:U38" firstHeaderRow="1" firstDataRow="1" firstDataCol="1"/>
  <pivotFields count="72">
    <pivotField showAll="0"/>
    <pivotField numFmtId="17" showAll="0"/>
    <pivotField showAll="0"/>
    <pivotField showAll="0"/>
    <pivotField axis="axisRow" showAll="0">
      <items count="13">
        <item m="1" x="6"/>
        <item m="1" x="11"/>
        <item x="0"/>
        <item m="1" x="5"/>
        <item m="1" x="8"/>
        <item m="1" x="4"/>
        <item m="1" x="9"/>
        <item x="3"/>
        <item x="1"/>
        <item x="2"/>
        <item m="1" x="7"/>
        <item m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0"/>
        <item m="1" x="6"/>
        <item m="1" x="3"/>
        <item x="1"/>
        <item m="1" x="5"/>
        <item m="1" x="4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0" showAll="0"/>
    <pivotField numFmtId="44" showAll="0"/>
    <pivotField showAll="0"/>
    <pivotField showAll="0"/>
    <pivotField showAll="0"/>
    <pivotField showAll="0"/>
    <pivotField showAll="0"/>
    <pivotField numFmtId="10" showAll="0"/>
    <pivotField numFmtId="44" showAll="0"/>
    <pivotField showAll="0"/>
    <pivotField numFmtId="44" showAll="0"/>
    <pivotField numFmtId="44" showAll="0"/>
    <pivotField numFmtId="44" showAll="0"/>
    <pivotField showAll="0"/>
    <pivotField showAll="0"/>
    <pivotField showAll="0"/>
    <pivotField showAll="0"/>
    <pivotField numFmtId="44" showAll="0"/>
    <pivotField numFmtId="10" showAll="0"/>
    <pivotField numFmtId="10" showAll="0"/>
    <pivotField showAll="0"/>
    <pivotField numFmtId="10" showAll="0"/>
    <pivotField numFmtId="10" showAll="0"/>
    <pivotField numFmtId="10" showAll="0"/>
    <pivotField numFmtId="10" showAll="0"/>
    <pivotField numFmtId="10" showAll="0"/>
    <pivotField showAll="0"/>
    <pivotField showAll="0"/>
    <pivotField showAll="0"/>
    <pivotField numFmtId="10" showAll="0"/>
    <pivotField showAll="0"/>
    <pivotField numFmtId="44" showAll="0"/>
    <pivotField showAll="0"/>
    <pivotField showAll="0"/>
    <pivotField numFmtId="44" showAll="0"/>
    <pivotField showAll="0"/>
  </pivotFields>
  <rowFields count="2">
    <field x="16"/>
    <field x="4"/>
  </rowFields>
  <rowItems count="8">
    <i>
      <x/>
    </i>
    <i r="1">
      <x v="2"/>
    </i>
    <i>
      <x v="3"/>
    </i>
    <i r="1">
      <x v="8"/>
    </i>
    <i r="1">
      <x v="9"/>
    </i>
    <i>
      <x v="6"/>
    </i>
    <i r="1">
      <x v="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https://www.bing.com/financeapi/forcetrigger?t=bdcm52&amp;q=BTG+Pactual+CDB+Plus+FI+Renda+Fixa+Credito+Privado&amp;form=skydnc</v>
    <v>Learn more on Bing</v>
  </rv>
  <rv s="1">
    <v>pt-BR</v>
    <v>bdcm52</v>
    <v>268435456</v>
    <v>1</v>
    <v>Da plataforma Refinitiv</v>
    <v>0</v>
    <v>1</v>
    <v>BTG Pactual CDB Plus FI Renda Fixa Credito Privado</v>
    <v>3</v>
    <v>4</v>
    <v>Finance</v>
    <v>5</v>
    <v>19721733017.43</v>
    <v>2.7275</v>
    <v>2.8794</v>
    <v>45506</v>
    <v>45511.839841367968</v>
    <v>0</v>
    <v>BRL</v>
    <v>BTG Pactual CDB Plus FI Renda Fixa Credito Privado</v>
    <v>BR</v>
    <v>2.8805000000000001</v>
    <v>0.118412</v>
    <v>8.2609999999999992E-3</v>
    <v>1.3730000000000001E-3</v>
    <v>0.11995699999999999</v>
    <v>2.6375000000000003E-2</v>
    <v>8.0181000000000002E-2</v>
    <v>6.5733E-2</v>
    <v>27.717.359/0001-30</v>
    <v>Fundo Mútuo</v>
    <v>BTG Pactual CDB Plus FI Renda Fixa Credito Privado</v>
    <v>1.137E-3</v>
    <v>3.948E-4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Ativos líquidos"/>
    <k n="Classificação"/>
    <k n="Fechamento anterior"/>
    <k n="Hora da última transação"/>
    <k n="Last update time"/>
    <k n="LearnMoreOnLink" t="r"/>
    <k n="Moeda" t="s"/>
    <k n="Nome" t="s"/>
    <k n="País/região" t="s"/>
    <k n="Preço"/>
    <k n="Retorno (1 a)"/>
    <k n="Retorno (1 m)"/>
    <k n="Retorno (1 s)"/>
    <k n="Retorno (3 a)"/>
    <k n="Retorno (3 m)"/>
    <k n="Retorno (5 a)"/>
    <k n="Retorno (AAD)"/>
    <k n="Símbolo do ticker" t="s"/>
    <k n="Tipo de instrumento" t="s"/>
    <k n="UniqueName" t="s"/>
    <k n="Variação"/>
    <k n="Variação (%)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34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Preço</v>
      <v t="s">Símbolo do ticker</v>
      <v t="s">País/região</v>
      <v t="s">_SubLabel</v>
      <v t="s">Variação</v>
      <v t="s">Variação (%)</v>
      <v t="s">Classificação</v>
      <v t="s">Fechamento anterior</v>
      <v t="s">Retorno (AAD)</v>
      <v t="s">Retorno (1 s)</v>
      <v t="s">Retorno (1 m)</v>
      <v t="s">Retorno (3 m)</v>
      <v t="s">Retorno (1 a)</v>
      <v t="s">Retorno (3 a)</v>
      <v t="s">Retorno (5 a)</v>
      <v t="s">Ativos líquidos</v>
      <v t="s">_Flags</v>
      <v t="s">Last update time</v>
      <v t="s">Hora da última transação</v>
      <v t="s">Tipo de instrumento</v>
      <v t="s">Moeda</v>
      <v t="s">UniqueName</v>
      <v t="s">_DisplayString</v>
      <v t="s">LearnMoreOnLink</v>
      <v t="s">%ProviderInfo</v>
    </a>
  </spbArrays>
  <spbData count="6">
    <spb s="0">
      <v>Name</v>
      <v>Currency</v>
      <v>Price</v>
      <v>Change</v>
      <v>UniqueName</v>
      <v>Country/region</v>
      <v>Change (%)</v>
      <v>%ProviderInfo</v>
      <v>Rating</v>
      <v>Return (1y)</v>
      <v>Return (1m)</v>
      <v>Return (1w)</v>
      <v>Return (3y)</v>
      <v>Return (3m)</v>
      <v>Return (5y)</v>
      <v>Return (YTD)</v>
      <v>Net assets</v>
      <v>LearnMoreOnLink</v>
      <v>Last update time</v>
      <v>Ticker symbol</v>
      <v>Previous close</v>
      <v>Instrument type</v>
      <v>Last trade time</v>
    </spb>
    <spb s="1">
      <v>0</v>
      <v>Name</v>
      <v>LearnMoreOnLink</v>
    </spb>
    <spb s="2">
      <v>0</v>
      <v>0</v>
      <v>0</v>
    </spb>
    <spb s="3">
      <v>2</v>
      <v>2</v>
      <v>2</v>
      <v>2</v>
    </spb>
    <spb s="4">
      <v>1</v>
      <v>2</v>
      <v>2</v>
      <v>3</v>
      <v>4</v>
      <v>3</v>
      <v>3</v>
      <v>3</v>
      <v>3</v>
      <v>3</v>
      <v>3</v>
      <v>3</v>
      <v>5</v>
      <v>6</v>
      <v>7</v>
      <v>2</v>
      <v>8</v>
    </spb>
    <spb s="5">
      <v xml:space="preserve">do fechamento anterior </v>
      <v xml:space="preserve">do fechamento anterior </v>
      <v>GMT</v>
      <v>GMT</v>
    </spb>
  </spbData>
</supportingPropertyBags>
</file>

<file path=xl/richData/rdsupportingpropertybagstructure.xml><?xml version="1.0" encoding="utf-8"?>
<spbStructures xmlns="http://schemas.microsoft.com/office/spreadsheetml/2017/richdata2" count="6">
  <s>
    <k n="Nome" t="s"/>
    <k n="Moeda" t="s"/>
    <k n="Preço" t="s"/>
    <k n="Variação" t="s"/>
    <k n="UniqueName" t="s"/>
    <k n="País/região" t="s"/>
    <k n="Variação (%)" t="s"/>
    <k n="%ProviderInfo" t="s"/>
    <k n="Classificação" t="s"/>
    <k n="Retorno (1 a)" t="s"/>
    <k n="Retorno (1 m)" t="s"/>
    <k n="Retorno (1 s)" t="s"/>
    <k n="Retorno (3 a)" t="s"/>
    <k n="Retorno (3 m)" t="s"/>
    <k n="Retorno (5 a)" t="s"/>
    <k n="Retorno (AAD)" t="s"/>
    <k n="Ativos líquidos" t="s"/>
    <k n="LearnMoreOnLink" t="s"/>
    <k n="Last update time" t="s"/>
    <k n="Símbolo do ticker" t="s"/>
    <k n="Fechamento anterior" t="s"/>
    <k n="Tipo de instrumento" t="s"/>
    <k n="Hora da última transação" t="s"/>
  </s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  <k n="Last update time" t="spb"/>
  </s>
  <s>
    <k n="Nome" t="i"/>
    <k n="Preço" t="i"/>
    <k n="Variação" t="i"/>
    <k n="Variação (%)" t="i"/>
    <k n="Classificação" t="i"/>
    <k n="Retorno (1 a)" t="i"/>
    <k n="Retorno (1 m)" t="i"/>
    <k n="Retorno (1 s)" t="i"/>
    <k n="Retorno (3 a)" t="i"/>
    <k n="Retorno (3 m)" t="i"/>
    <k n="Retorno (5 a)" t="i"/>
    <k n="Retorno (AAD)" t="i"/>
    <k n="Ativos líquidos" t="i"/>
    <k n="Last update time" t="i"/>
    <k n="`%EntityServiceId" t="i"/>
    <k n="Fechamento anterior" t="i"/>
    <k n="Hora da última transação" t="i"/>
  </s>
  <s>
    <k n="Variação" t="s"/>
    <k n="Variação (%)" t="s"/>
    <k n="Last update time" t="s"/>
    <k n="Hora da última transação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6">
    <x:dxf>
      <x:numFmt numFmtId="2" formatCode="0.00"/>
    </x:dxf>
    <x:dxf>
      <x:numFmt numFmtId="0" formatCode="General"/>
    </x:dxf>
    <x:dxf>
      <x:numFmt numFmtId="14" formatCode="0.00%"/>
    </x:dxf>
    <x:dxf>
      <x:numFmt numFmtId="3" formatCode="#,##0"/>
    </x:dxf>
    <x:dxf>
      <x:numFmt numFmtId="27" formatCode="dd/mm/yyyy\ hh:mm"/>
    </x:dxf>
    <x:dxf>
      <x:numFmt numFmtId="19" formatCode="dd/mm/yyyy"/>
    </x:dxf>
  </dxfs>
  <richProperties>
    <rPr n="IsTitleField" t="b"/>
    <rPr n="NumberFormat" t="s"/>
  </richProperties>
  <richStyles>
    <rSty>
      <rpv i="0">1</rpv>
    </rSty>
    <rSty dxfid="1">
      <rpv i="1">_-[$R$-pt-BR] * #,##0.00_-;-[$R$-pt-BR] * #,##0.00_-;_-[$R$-pt-BR] * "-"??_-;_-@_-</rpv>
    </rSty>
    <rSty dxfid="2"/>
    <rSty dxfid="3">
      <rpv i="1">#,##0</rpv>
    </rSty>
    <rSty dxfid="1">
      <rpv i="1">_-[$R$-pt-BR] * #,##0_-;-[$R$-pt-BR] * #,##0_-;_-[$R$-pt-BR] * "-"_-;_-@_-</rpv>
    </rSty>
    <rSty dxfid="4"/>
    <rSty dxfid="0">
      <rpv i="1">0.00</rpv>
    </rSty>
    <rSty dxfid="5"/>
  </richStyles>
</richStyleSheet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ustódia" xr10:uid="{DBAE5BF4-8308-4069-B677-CB5C684A7F80}" sourceName="Custódia">
  <extLst>
    <x:ext xmlns:x15="http://schemas.microsoft.com/office/spreadsheetml/2010/11/main" uri="{2F2917AC-EB37-4324-AD4E-5DD8C200BD13}">
      <x15:tableSlicerCache tableId="1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Nomenclatura_Classe" xr10:uid="{3D133B1E-D22E-4DF8-9997-06783C0CF6EA}" sourceName="Nomenclatura Classe">
  <extLst>
    <x:ext xmlns:x15="http://schemas.microsoft.com/office/spreadsheetml/2010/11/main" uri="{2F2917AC-EB37-4324-AD4E-5DD8C200BD13}">
      <x15:tableSlicerCache tableId="1" column="59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ustódia" xr10:uid="{5EAAC106-69FC-4974-B5C8-4023A7211704}" cache="SegmentaçãodeDados_Custódia" caption="Custódia" style="SlicerStyleLight1 2" rowHeight="241300"/>
  <slicer name="Nomenclatura Classe" xr10:uid="{7EEFBC91-9A0D-466C-8147-866E72D68AC2}" cache="SegmentaçãodeDados_Nomenclatura_Classe" caption="Nomenclatura Classe" style="SlicerStyleLight1 2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4CD5E1-FC1C-4A55-B0A5-1B57589F6FBC}" name="Dados" displayName="Dados" ref="B5:BU10" totalsRowShown="0" headerRowDxfId="99" dataDxfId="98">
  <autoFilter ref="B5:BU10" xr:uid="{6D4CD5E1-FC1C-4A55-B0A5-1B57589F6FBC}"/>
  <sortState xmlns:xlrd2="http://schemas.microsoft.com/office/spreadsheetml/2017/richdata2" ref="B5:BU5">
    <sortCondition ref="AH5"/>
  </sortState>
  <tableColumns count="72">
    <tableColumn id="12" xr3:uid="{7C1C2144-3E92-47C6-A9A2-F6EA135A7780}" name="Ativo" dataDxfId="97">
      <calculatedColumnFormula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calculatedColumnFormula>
    </tableColumn>
    <tableColumn id="60" xr3:uid="{5C3E1EB2-F087-4D6E-BDDA-AA0E8C7BF8D3}" name="Data" dataDxfId="96">
      <calculatedColumnFormula>$A$3</calculatedColumnFormula>
    </tableColumn>
    <tableColumn id="7" xr3:uid="{F49E1F4B-5E32-4339-9093-E8277C4C0CDA}" name="Titular" dataDxfId="95"/>
    <tableColumn id="1" xr3:uid="{7974E80D-4620-4384-B458-F5102B241BCD}" name="Custódia" dataDxfId="94"/>
    <tableColumn id="8" xr3:uid="{1A019E58-6741-42DE-9C9F-5E6FE9F35432}" name="Subclasse" dataDxfId="93"/>
    <tableColumn id="2" xr3:uid="{01855EFE-3516-4763-A5A7-534C5A2C1AFD}" name="Tipo do Ativo" dataDxfId="92"/>
    <tableColumn id="3" xr3:uid="{50E1AD47-3FCD-460A-8A8A-6261ED191C08}" name="Emissor" dataDxfId="91"/>
    <tableColumn id="4" xr3:uid="{78AADC8D-C74F-41BF-A27D-FDC8A61EABFE}" name="Vencimento" dataDxfId="90"/>
    <tableColumn id="5" xr3:uid="{6373B067-CC7E-4D81-BC71-BB96AD1D9B0D}" name="Remuneração" dataDxfId="89"/>
    <tableColumn id="6" xr3:uid="{48797267-6A5D-4C3B-86B8-E0DE8039F558}" name="Complemento" dataDxfId="88"/>
    <tableColumn id="10" xr3:uid="{6C05C92C-B52A-4C1F-AC54-045875FFD351}" name="Liquidez" dataDxfId="87"/>
    <tableColumn id="68" xr3:uid="{38D533EE-36FA-48A8-BBA9-2C11637D31E9}" name="Ticker do Ativo" dataDxfId="86"/>
    <tableColumn id="9" xr3:uid="{7AAC5C6D-D064-433F-B6A2-5C2A5D6D92C1}" name="Taxa" dataDxfId="85" dataCellStyle="Porcentagem"/>
    <tableColumn id="53" xr3:uid="{FC253854-C0C4-4BFB-8806-BFE61C899C2C}" name="Pós-Fixado" dataDxfId="84"/>
    <tableColumn id="11" xr3:uid="{A4996D3E-5469-4EDA-965C-4EF0BA350871}" name="IR" dataDxfId="83"/>
    <tableColumn id="51" xr3:uid="{52F94233-F636-4DC8-B3B6-9C987DB43DDF}" name="Liq. Diária" dataDxfId="82"/>
    <tableColumn id="43" xr3:uid="{C9EDF657-83CC-44C7-8A95-6B343F73785F}" name="Classe" dataDxfId="81">
      <calculatedColumnFormula>IFERROR(_xlfn.XLOOKUP(Dados[[#This Row],[Subclasse]],ClasseSubClasse[SubClasse],ClasseSubClasse[Classe]),"ERRO")</calculatedColumnFormula>
    </tableColumn>
    <tableColumn id="61" xr3:uid="{A469A38C-A9D9-4C82-9252-EBC95B8EE067}" name="Nomenclatura Ativo" dataDxfId="80">
      <calculatedColumnFormula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calculatedColumnFormula>
    </tableColumn>
    <tableColumn id="59" xr3:uid="{70BCA76C-5E06-458D-AD3C-F451C57F12EA}" name="Nomenclatura Classe" dataDxfId="79">
      <calculatedColumnFormula>IFERROR(_xlfn.XLOOKUP(Dados[[#This Row],[Subclasse]],ClasseSubClasse[SubClasse],ClasseSubClasse[Nomenclatura]),"ERRO")</calculatedColumnFormula>
    </tableColumn>
    <tableColumn id="56" xr3:uid="{C23B3A63-1227-4A60-A11B-84CDDA66F942}" name="Gross-Up" dataDxfId="78" dataCellStyle="Porcentagem">
      <calculatedColumnFormula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calculatedColumnFormula>
    </tableColumn>
    <tableColumn id="57" xr3:uid="{85F0C74B-F0CC-45BC-8B94-F133A68626CC}" name="Coluna2" dataDxfId="77" dataCellStyle="Porcentagem"/>
    <tableColumn id="55" xr3:uid="{E9EEAA73-1910-4EA6-81A3-0C891C5126FD}" name="Apagar Linha" dataDxfId="76" dataCellStyle="Porcentagem">
      <calculatedColumnFormula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calculatedColumnFormula>
    </tableColumn>
    <tableColumn id="54" xr3:uid="{BF51FB93-0C2E-4A65-B6B7-0210D740F1B8}" name="Coluna1" dataDxfId="75"/>
    <tableColumn id="50" xr3:uid="{E41CB508-67B2-4985-BEEF-29A214C35DD0}" name="Taxa | Esperada" dataDxfId="74" dataCellStyle="Porcentagem">
      <calculatedColumnFormula array="1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calculatedColumnFormula>
    </tableColumn>
    <tableColumn id="46" xr3:uid="{CE49BE50-4367-4A59-BE19-B81D294D3BED}" name="Saldo Líquido Esperado" dataDxfId="73">
      <calculatedColumnFormula>IFERROR((1+Dados[[#This Row],[Taxa | Esperada]])*Dados[[#This Row],[Saldo Líquido | Mês Anterior]]+Dados[[#This Row],[Juros / Dividendos]],"")</calculatedColumnFormula>
    </tableColumn>
    <tableColumn id="45" xr3:uid="{35587411-7478-4B4C-B8D6-8737E08A0F5A}" name="Saldo Bruto Esperado" dataDxfId="72">
      <calculatedColumnFormula>IFERROR(IF(Dados[[#This Row],[Classe]]="Renda Fixa",(1+Dados[[#This Row],[Taxa | Esperada]])*Dados[[#This Row],[Saldo Bruto | Mês Anterior]]+Dados[[#This Row],[Juros / Dividendos]],""),"")</calculatedColumnFormula>
    </tableColumn>
    <tableColumn id="13" xr3:uid="{8D4F446E-93C1-4C30-8444-C136582624BC}" name="-" dataDxfId="71"/>
    <tableColumn id="49" xr3:uid="{10AA692D-9A55-43F7-B677-20B290DB8EFB}" name="Saldo Líquido | Relatório" dataDxfId="70" dataCellStyle="Moeda"/>
    <tableColumn id="48" xr3:uid="{72F24AC0-E0E2-476A-BCA4-42B95A558045}" name="Saldo Bruto | Relatório" dataDxfId="69" dataCellStyle="Moeda"/>
    <tableColumn id="30" xr3:uid="{789F018E-A932-4167-9321-B32EE9C2DB83}" name="Aplicações" dataDxfId="68" dataCellStyle="Moeda"/>
    <tableColumn id="29" xr3:uid="{C651CE87-B142-41C7-92C9-2E53645DB45F}" name="Resgates" dataDxfId="67" dataCellStyle="Moeda"/>
    <tableColumn id="28" xr3:uid="{0FC5B520-EBAE-4176-839B-AAD3D01DF219}" name="Juros / Dividendos" dataDxfId="66" dataCellStyle="Moeda"/>
    <tableColumn id="27" xr3:uid="{2B7640A0-5BD3-4004-8257-7E3B821CC629}" name="Demais" dataDxfId="65" dataCellStyle="Moeda"/>
    <tableColumn id="69" xr3:uid="{39FE9E62-59A5-436A-A2DE-9C7622C1089D}" name="Cashback" dataDxfId="64" dataCellStyle="Moeda"/>
    <tableColumn id="47" xr3:uid="{7CB3AC75-750A-44D5-BCA4-CFDAC12BA039}" name="Imposto Pago" dataDxfId="63" dataCellStyle="Moeda"/>
    <tableColumn id="44" xr3:uid="{04866D6D-73EE-4A17-B3AE-6AD2015034A9}" name="-----" dataDxfId="62"/>
    <tableColumn id="19" xr3:uid="{C6E75343-7148-4956-B497-74F6A0064A4B}" name="Peso | Mês Anterior" dataDxfId="61" dataCellStyle="Porcentagem">
      <calculatedColumnFormula>Dados[[#This Row],[Saldo Bruto | Mês Anterior]]/SUM(Dados[Saldo Bruto | Mês Anterior])</calculatedColumnFormula>
    </tableColumn>
    <tableColumn id="16" xr3:uid="{95ADE004-AD20-471C-8E18-41119CA28EBA}" name="IR &amp; IOF | Mês Anterior" dataDxfId="60" dataCellStyle="Moeda">
      <calculatedColumnFormula>Dados[[#This Row],[Saldo Bruto | Mês Anterior]]-Dados[[#This Row],[Saldo Líquido | Mês Anterior]]</calculatedColumnFormula>
    </tableColumn>
    <tableColumn id="14" xr3:uid="{5E889FB2-7E1B-4DDE-A67D-25DBF10810E4}" name="Saldo Líquido | Mês Anterior" dataDxfId="59" dataCellStyle="Moeda"/>
    <tableColumn id="15" xr3:uid="{4C468CF4-6CE9-4314-A368-97075B26ECAA}" name="Saldo Bruto | Mês Anterior" dataDxfId="58" dataCellStyle="Moeda"/>
    <tableColumn id="17" xr3:uid="{1A3AC3AB-4043-417F-B1CB-C5D3E0441DE4}" name="Movimentaçao | Mês Anterior" dataDxfId="57" dataCellStyle="Moeda"/>
    <tableColumn id="18" xr3:uid="{276EE89D-2165-46F5-8577-E0AE1AAA8299}" name="IR Pago | Mês Anterior" dataDxfId="56" dataCellStyle="Moeda"/>
    <tableColumn id="20" xr3:uid="{6A525085-969C-4B59-801F-140473B35D97}" name="--" dataDxfId="55"/>
    <tableColumn id="26" xr3:uid="{3F2D3CE2-36A2-4F16-9BDF-9485AEE60596}" name="Peso | Mês Atual" dataDxfId="54" dataCellStyle="Porcentagem">
      <calculatedColumnFormula>IFERROR(Dados[[#This Row],[Saldo Bruto | Mês Atual]]/SUM(Dados[Saldo Bruto | Mês Atual]),"0,00%")</calculatedColumnFormula>
    </tableColumn>
    <tableColumn id="23" xr3:uid="{F90ACC4B-0376-44CA-BAD1-BFECE30B1952}" name="IR &amp; IOF | Mês Atual" dataDxfId="53" dataCellStyle="Moeda">
      <calculatedColumnFormula>Dados[[#This Row],[Saldo Bruto | Mês Atual]]-Dados[[#This Row],[Saldo Líquido | Mês Atual]]</calculatedColumnFormula>
    </tableColumn>
    <tableColumn id="41" xr3:uid="{09F09CFC-2ECA-407F-936E-03E8ED649FA6}" name="Performance | Mês Atual" dataDxfId="52" dataCellStyle="Porcentagem">
      <calculatedColumnFormula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calculatedColumnFormula>
    </tableColumn>
    <tableColumn id="21" xr3:uid="{EF124795-0912-4286-A66F-99DA031EEE3D}" name="Saldo Líquido | Mês Atual" dataDxfId="51" dataCellStyle="Moeda">
      <calculatedColumnFormula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calculatedColumnFormula>
    </tableColumn>
    <tableColumn id="22" xr3:uid="{D573861D-22CB-466D-B981-077A30B7C385}" name="Saldo Bruto | Mês Atual" dataDxfId="50" dataCellStyle="Moeda">
      <calculatedColumnFormula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calculatedColumnFormula>
    </tableColumn>
    <tableColumn id="24" xr3:uid="{EA0EE221-6332-4166-B6EF-A20FF8BF40F1}" name="Movimentaçao | Mês Atual" dataDxfId="49" dataCellStyle="Moeda">
      <calculatedColumnFormula>SUM(Dados[[#This Row],[Aplicações]:[Cashback]])</calculatedColumnFormula>
    </tableColumn>
    <tableColumn id="25" xr3:uid="{27657D67-F42B-4566-A364-7220DEE40F49}" name="IR Pago | Mês Atual" dataDxfId="48" dataCellStyle="Moeda">
      <calculatedColumnFormula>Dados[[#This Row],[Imposto Pago]]</calculatedColumnFormula>
    </tableColumn>
    <tableColumn id="31" xr3:uid="{ED6B23A5-D64F-40B7-AB2E-5A4166C29FA8}" name="---" dataDxfId="47"/>
    <tableColumn id="64" xr3:uid="{F3C3AEF5-2507-4882-B600-BC5EB0A77AC4}" name="Lista?" dataDxfId="46">
      <calculatedColumnFormula>OR(Dados[[#This Row],[Saldo Bruto | Mês Anterior]]&lt;&gt;0,Dados[[#This Row],[Saldo Bruto | Mês Atual]]&lt;&gt;0,Dados[[#This Row],[Movimentaçao | Mês Atual]]&lt;&gt;0)</calculatedColumnFormula>
    </tableColumn>
    <tableColumn id="63" xr3:uid="{302A2C55-2E77-467B-90D9-835C317F4C94}" name="Participação" dataDxfId="45" dataCellStyle="Moeda"/>
    <tableColumn id="32" xr3:uid="{ADDE0908-9B3A-4B6A-89D3-8FA727B9FEEB}" name="Saldo Corrigido" dataDxfId="44" dataCellStyle="Moeda">
      <calculatedColumnFormula>IF(Dados[[#This Row],[Participação]]="",IF(Dados[[#This Row],[Movimentaçao | Mês Atual]]&gt;0,Dados[[#This Row],[Saldo Bruto | Mês Atual]],Dados[[#This Row],[Saldo Bruto | Mês Atual]]-Dados[[#This Row],[Movimentaçao | Mês Atual]]),0)</calculatedColumnFormula>
    </tableColumn>
    <tableColumn id="33" xr3:uid="{27B09810-44EA-4BA6-AE9F-9B01F2B1A5F9}" name="Peso Corrigido | Carteira" dataDxfId="43" dataCellStyle="Porcentagem">
      <calculatedColumnFormula>IFERROR(Dados[[#This Row],[Saldo Corrigido]]/SUM(Dados[Saldo Corrigido]),"0,00%")</calculatedColumnFormula>
    </tableColumn>
    <tableColumn id="37" xr3:uid="{5CA951C8-F4B7-4263-AEA4-C0B271557B05}" name="Performance Carteira" dataDxfId="42" dataCellStyle="Porcentagem">
      <calculatedColumnFormula>IFERROR(SUMPRODUCT(Dados[Performance | Mês Atual],Dados[Peso Corrigido | Carteira]),"0,00%")</calculatedColumnFormula>
    </tableColumn>
    <tableColumn id="34" xr3:uid="{92A565DE-0494-4152-97FA-362483881EAF}" name="Peso Corrigido | Custódia" dataDxfId="41" dataCellStyle="Porcentagem">
      <calculatedColumnFormula>IFERROR(Dados[[#This Row],[Saldo Corrigido]]/SUMIF(Dados[Custódia],Dados[[#This Row],[Custódia]],Dados[Saldo Corrigido]),"0,00%")</calculatedColumnFormula>
    </tableColumn>
    <tableColumn id="38" xr3:uid="{87E8F149-DEBE-4D94-8967-069FECAB8B8F}" name="Performance Custódia" dataDxfId="40" dataCellStyle="Porcentagem">
      <calculatedColumnFormula array="1">IFERROR(SUMPRODUCT((_xlfn._xlws.FILTER(Dados[Peso Corrigido | Custódia],Dados[Custódia]=Dados[[#This Row],[Custódia]])),_xlfn._xlws.FILTER(Dados[Performance | Mês Atual],Dados[Custódia]=Dados[[#This Row],[Custódia]])),"0,00%")</calculatedColumnFormula>
    </tableColumn>
    <tableColumn id="35" xr3:uid="{BC389FC6-7E0C-45D6-93C7-DEB2C6784E17}" name="Peso Corrigido | SubClasse" dataDxfId="39" dataCellStyle="Porcentagem">
      <calculatedColumnFormula>IFERROR(Dados[[#This Row],[Saldo Corrigido]]/SUMIF(Dados[Subclasse],Dados[[#This Row],[Subclasse]],Dados[Saldo Corrigido]),"0,00%")</calculatedColumnFormula>
    </tableColumn>
    <tableColumn id="39" xr3:uid="{A802FB8F-A503-40BB-B50D-D78E6AE1D454}" name="Performance SubClasse" dataDxfId="38" dataCellStyle="Porcentagem">
      <calculatedColumnFormula array="1">IFERROR(SUMPRODUCT((_xlfn._xlws.FILTER(Dados[Peso Corrigido | SubClasse],Dados[Subclasse]=Dados[[#This Row],[Subclasse]])),_xlfn._xlws.FILTER(Dados[Performance | Mês Atual],Dados[Subclasse]=Dados[[#This Row],[Subclasse]])),"0,00%")</calculatedColumnFormula>
    </tableColumn>
    <tableColumn id="36" xr3:uid="{3BC3AD55-452C-4783-A709-94A0F0664AC0}" name="Peso Corrigido | Classe" dataDxfId="37" dataCellStyle="Porcentagem">
      <calculatedColumnFormula>IFERROR(Dados[[#This Row],[Saldo Corrigido]]/SUMIF(Dados[Classe],Dados[[#This Row],[Classe]],Dados[Saldo Corrigido]),"0,00%")</calculatedColumnFormula>
    </tableColumn>
    <tableColumn id="40" xr3:uid="{8F46A7A8-F2CE-456E-872A-D560261414F9}" name="Performance Classe" dataDxfId="36" dataCellStyle="Porcentagem">
      <calculatedColumnFormula array="1">IFERROR(SUMPRODUCT((_xlfn._xlws.FILTER(Dados[Peso Corrigido | Classe],Dados[Classe]=Dados[[#This Row],[Classe]])),_xlfn._xlws.FILTER(Dados[Performance | Mês Atual],Dados[Classe]=Dados[[#This Row],[Classe]])),"0,00%")</calculatedColumnFormula>
    </tableColumn>
    <tableColumn id="52" xr3:uid="{74886876-6300-477F-8675-F7C71814D42B}" name="ea" dataDxfId="35" dataCellStyle="Porcentagem"/>
    <tableColumn id="62" xr3:uid="{E79799CD-B419-4B16-862A-122B8EDC7B54}" name="Código" dataDxfId="34" dataCellStyle="Porcentagem">
      <calculatedColumnFormula>IF(Dados[[#This Row],[Ticker do Ativo]]="","",Dados[[#This Row],[Ticker do Ativo]])</calculatedColumnFormula>
    </tableColumn>
    <tableColumn id="58" xr3:uid="{475658E6-61C2-4633-ADCD-1C5596D8D15F}" name="TickerExcel" dataDxfId="33" dataCellStyle="Porcentagem"/>
    <tableColumn id="72" xr3:uid="{08378F79-3361-45A4-BF8E-56B3980FB205}" name="Taxa RF / FI" dataDxfId="32" dataCellStyle="Porcentagem">
      <calculatedColumnFormula array="1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calculatedColumnFormula>
    </tableColumn>
    <tableColumn id="73" xr3:uid="{40FEA2E2-FC5F-4E8A-AB87-3877A8E26FD2}" name="Movimentações Atualizadas" dataDxfId="31" dataCellStyle="Moeda"/>
    <tableColumn id="74" xr3:uid="{960C19CB-C675-4852-A33E-A63A53C6CA7F}" name="Saldo Atualizado" dataDxfId="30" dataCellStyle="Porcentagem">
      <calculatedColumnFormula>IFERROR(Dados[[#This Row],[Saldo Bruto | Mês Atual]]*(1+Dados[[#This Row],[Taxa RF / FI]])+Dados[[#This Row],[Movimentações Atualizadas]],Dados[[#This Row],[Saldo Bruto | Mês Atual]]+Dados[[#This Row],[Movimentações Atualizadas]])</calculatedColumnFormula>
    </tableColumn>
    <tableColumn id="75" xr3:uid="{A5BA407A-D791-4F8F-AE0A-2A546AE637CF}" name="Peso Atualizado" dataDxfId="29" dataCellStyle="Porcentagem">
      <calculatedColumnFormula>IFERROR(Dados[[#This Row],[Saldo Atualizado]]/SUM(Dados[Saldo Atualizado]),"0,00%")</calculatedColumnFormula>
    </tableColumn>
    <tableColumn id="76" xr3:uid="{46AADC43-A320-4875-AD4F-0CA2261ACD55}" name="Performance Atualizado" dataDxfId="28" dataCellStyle="Porcentagem">
      <calculatedColumnFormula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calculatedColumnFormula>
    </tableColumn>
    <tableColumn id="77" xr3:uid="{A0570101-AA52-42D8-A657-DD9F93318659}" name="Saldo Corrigido Atualizado" dataDxfId="27" dataCellStyle="Moeda">
      <calculatedColumnFormula>IF(Dados[[#This Row],[Participação]]="",IF(Dados[[#This Row],[Movimentações Atualizadas]]&gt;0,Dados[[#This Row],[Saldo Atualizado]],Dados[[#This Row],[Saldo Atualizado]]-Dados[[#This Row],[Movimentações Atualizadas]]),0)</calculatedColumnFormula>
    </tableColumn>
    <tableColumn id="78" xr3:uid="{D966308E-8E67-4E2F-AC9E-C6764E418270}" name="Peso Corrigido Atualizado" dataDxfId="26" dataCellStyle="Porcentagem">
      <calculatedColumnFormula>Dados[[#This Row],[Saldo Corrigido Atualizado]]/SUM(Dados[Saldo Corrigido Atualizado])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856AA3-E56F-4B8B-A1AD-32E0E8082295}" name="ClasseSubClasse" displayName="ClasseSubClasse" ref="B3:E25" totalsRowShown="0" headerRowDxfId="25">
  <autoFilter ref="B3:E25" xr:uid="{D1856AA3-E56F-4B8B-A1AD-32E0E8082295}"/>
  <sortState xmlns:xlrd2="http://schemas.microsoft.com/office/spreadsheetml/2017/richdata2" ref="B4:E25">
    <sortCondition ref="C3:C25"/>
  </sortState>
  <tableColumns count="4">
    <tableColumn id="1" xr3:uid="{E46B686B-3430-4125-A333-9A8EC7964E5E}" name="SubClasse"/>
    <tableColumn id="2" xr3:uid="{198B8E06-9330-406E-8D6F-58B26D9743DF}" name="Classe"/>
    <tableColumn id="4" xr3:uid="{01978B9B-0EBB-4F56-A486-B9F70E5F946C}" name="Nomenclatura"/>
    <tableColumn id="3" xr3:uid="{AE6AEC64-FA70-4CFF-9C0E-57CF864AF610}" name="Contagem" dataDxfId="24">
      <calculatedColumnFormula>COUNTIFS(Dados[Subclasse],ClasseSubClasse[[#This Row],[SubClasse]],Dados[Lista?],TRUE)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42F871-58B3-44B7-833B-334A22A1461B}" name="Tabela5" displayName="Tabela5" ref="B31:C35" totalsRowShown="0">
  <autoFilter ref="B31:C35" xr:uid="{4042F871-58B3-44B7-833B-334A22A1461B}"/>
  <tableColumns count="2">
    <tableColumn id="1" xr3:uid="{92954DBB-DD8F-402F-AD9D-C0D6F2CDA6E9}" name="Período"/>
    <tableColumn id="2" xr3:uid="{501F85E7-BA6E-457D-8D43-AE9CF19C12BE}" name="Taxa" dataDxfId="2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33A1C52-7CF7-4173-9C27-CF29384948AE}" name="TabelaHistóricoDados" displayName="TabelaHistóricoDados" ref="N6:AF24" totalsRowShown="0" headerRowDxfId="22" dataDxfId="21">
  <autoFilter ref="N6:AF24" xr:uid="{B33A1C52-7CF7-4173-9C27-CF29384948AE}"/>
  <sortState xmlns:xlrd2="http://schemas.microsoft.com/office/spreadsheetml/2017/richdata2" ref="N7:AF24">
    <sortCondition descending="1" ref="N6:N24"/>
  </sortState>
  <tableColumns count="19">
    <tableColumn id="1" xr3:uid="{68CCE1CA-44CD-4638-8508-977FD8F326A4}" name="Mês" dataDxfId="20"/>
    <tableColumn id="2" xr3:uid="{7569A2E2-3F7C-4E3D-8F28-5ADD6D55BEF7}" name="Cliente?" dataDxfId="19"/>
    <tableColumn id="3" xr3:uid="{28E2388B-8CD9-4DB4-B1BC-227051512578}" name="Dias Úteis" dataDxfId="18"/>
    <tableColumn id="4" xr3:uid="{3EE53F29-42F6-4158-9EEB-C37D284D0599}" name="IPCA Cálculo" dataDxfId="17" dataCellStyle="Porcentagem"/>
    <tableColumn id="5" xr3:uid="{CAB770C8-F748-4FD7-8945-87144B3B77F3}" name="CDI" dataDxfId="16" dataCellStyle="Porcentagem"/>
    <tableColumn id="7" xr3:uid="{9A73FB1E-5FA2-4345-A0B6-00AD8EE32BB0}" name="Ibovespa" dataDxfId="15" dataCellStyle="Porcentagem"/>
    <tableColumn id="6" xr3:uid="{96534E81-5079-405E-A612-6B258D19C80E}" name="IPCA" dataDxfId="14" dataCellStyle="Porcentagem"/>
    <tableColumn id="8" xr3:uid="{E9AAD903-00CA-47E3-9104-8E1F7C5FDBD7}" name="Dólar PTAX" dataDxfId="13"/>
    <tableColumn id="9" xr3:uid="{98E26DC1-8C37-4232-BB89-EADE5B6367E9}" name="Saldo Bruto" dataDxfId="12" dataCellStyle="Moeda"/>
    <tableColumn id="10" xr3:uid="{D8F299C3-3DB9-4CFB-A7F9-A9EFBDD53DED}" name="Movimentação" dataDxfId="11" dataCellStyle="Moeda"/>
    <tableColumn id="19" xr3:uid="{647993B5-E8F6-4ADB-8109-0B0B24306093}" name="Cashback" dataDxfId="10" dataCellStyle="Moeda"/>
    <tableColumn id="11" xr3:uid="{354D0ACD-517F-424B-A0FB-3907A3F9422E}" name="Performance Carteira" dataDxfId="9" dataCellStyle="Porcentagem"/>
    <tableColumn id="12" xr3:uid="{F64E6F7B-C9E5-494C-9545-E5BD424437EA}" name="Bco. 1" dataDxfId="8" dataCellStyle="Porcentagem"/>
    <tableColumn id="13" xr3:uid="{1F0BE057-D1D3-4BFB-BF35-6609BF4AA267}" name="Bco. 2" dataDxfId="7" dataCellStyle="Porcentagem"/>
    <tableColumn id="14" xr3:uid="{A8760836-FA95-43F7-B197-695BC5D66205}" name="Bco. 3" dataDxfId="6" dataCellStyle="Porcentagem"/>
    <tableColumn id="15" xr3:uid="{0FFFCC62-4BD3-4538-AD45-0CAD9DC06C81}" name="Bco. 4" dataDxfId="5" dataCellStyle="Porcentagem"/>
    <tableColumn id="16" xr3:uid="{FE3F8013-F8AA-4987-BE8B-60229208ED83}" name="Bco. 5" dataDxfId="4" dataCellStyle="Porcentagem"/>
    <tableColumn id="17" xr3:uid="{FB16DCE0-7283-4DDE-BA53-E82D96CBDE31}" name="Bco. 6" dataDxfId="3" dataCellStyle="Porcentagem"/>
    <tableColumn id="18" xr3:uid="{2051E36A-5272-4524-93E0-A775065A896D}" name="Ano" dataDxfId="2">
      <calculatedColumnFormula>YEAR(TabelaHistóricoDados[[#This Row],[Mês]])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5.xml"/><Relationship Id="rId5" Type="http://schemas.microsoft.com/office/2007/relationships/slicer" Target="../slicers/slicer1.xml"/><Relationship Id="rId4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F085D-0700-4D24-A6DC-3BBBF3A42548}">
  <sheetPr codeName="Planilha1"/>
  <dimension ref="B2:X29"/>
  <sheetViews>
    <sheetView showGridLines="0" zoomScaleNormal="100" workbookViewId="0">
      <selection activeCell="D34" sqref="D34"/>
    </sheetView>
  </sheetViews>
  <sheetFormatPr defaultRowHeight="15"/>
  <cols>
    <col min="2" max="2" width="20.42578125" style="2" customWidth="1"/>
    <col min="3" max="3" width="0.7109375" style="7" customWidth="1"/>
    <col min="4" max="4" width="18.7109375" style="2" customWidth="1"/>
    <col min="5" max="5" width="13.7109375" style="2" customWidth="1"/>
    <col min="6" max="6" width="0.7109375" style="7" customWidth="1"/>
    <col min="7" max="7" width="18.7109375" style="2" customWidth="1"/>
    <col min="8" max="8" width="13.7109375" style="2" customWidth="1"/>
    <col min="9" max="9" width="0.7109375" style="7" customWidth="1"/>
    <col min="10" max="14" width="9.140625" style="2"/>
    <col min="15" max="15" width="5.5703125" style="2" customWidth="1"/>
    <col min="20" max="21" width="15.85546875" bestFit="1" customWidth="1"/>
    <col min="22" max="22" width="3" customWidth="1"/>
    <col min="23" max="24" width="7.140625" bestFit="1" customWidth="1"/>
  </cols>
  <sheetData>
    <row r="2" spans="2:24" ht="15.75">
      <c r="B2" s="3" t="s">
        <v>127</v>
      </c>
      <c r="J2" s="133" t="s">
        <v>200</v>
      </c>
    </row>
    <row r="3" spans="2:24">
      <c r="B3" s="229"/>
      <c r="D3" s="230">
        <f>EDATE(G3,-1)</f>
        <v>45413</v>
      </c>
      <c r="E3" s="229" t="s">
        <v>128</v>
      </c>
      <c r="G3" s="230">
        <f>Dados!$A$3</f>
        <v>45444</v>
      </c>
      <c r="H3" s="229" t="s">
        <v>128</v>
      </c>
    </row>
    <row r="4" spans="2:24">
      <c r="B4" s="229"/>
      <c r="D4" s="230"/>
      <c r="E4" s="229"/>
      <c r="G4" s="230"/>
      <c r="H4" s="229"/>
    </row>
    <row r="5" spans="2:24">
      <c r="B5" s="5" t="s">
        <v>129</v>
      </c>
      <c r="C5" s="6"/>
      <c r="D5" s="8">
        <f>SUM(Dados[Saldo Bruto | Mês Anterior])</f>
        <v>42197.99</v>
      </c>
      <c r="E5" s="9">
        <v>1</v>
      </c>
      <c r="F5" s="6"/>
      <c r="G5" s="8">
        <f>SUM(Dados[Saldo Bruto | Mês Atual])</f>
        <v>414</v>
      </c>
      <c r="H5" s="9">
        <v>1</v>
      </c>
      <c r="I5" s="6"/>
    </row>
    <row r="6" spans="2:24">
      <c r="B6" s="132" t="str" cm="1">
        <f t="array" ref="B6">_xlfn._xlws.SORT(_xlfn.UNIQUE(Dados[Custódia]),1,1)</f>
        <v>BTG</v>
      </c>
      <c r="C6" s="15"/>
      <c r="D6" s="11">
        <f>SUMIF(Dados[Custódia],B6,Dados[Saldo Bruto | Mês Anterior])</f>
        <v>42197.99</v>
      </c>
      <c r="E6" s="149">
        <f t="shared" ref="E6" si="0">IFERROR(D6/$D$5,"ERRO")</f>
        <v>1</v>
      </c>
      <c r="F6" s="17"/>
      <c r="G6" s="11">
        <f>SUMIF(Dados[Custódia],B6,Dados[Saldo Bruto | Mês Atual])</f>
        <v>414</v>
      </c>
      <c r="H6" s="149">
        <f t="shared" ref="H6" si="1">IFERROR(G6/$G$5,"ERRO")</f>
        <v>1</v>
      </c>
      <c r="I6" s="6"/>
    </row>
    <row r="7" spans="2:24" ht="4.5" customHeight="1">
      <c r="B7" s="134"/>
      <c r="C7" s="12"/>
      <c r="D7" s="135"/>
      <c r="E7" s="136"/>
      <c r="F7" s="12"/>
      <c r="G7" s="135"/>
      <c r="H7" s="136"/>
      <c r="I7" s="12"/>
    </row>
    <row r="8" spans="2:24">
      <c r="B8" s="4"/>
      <c r="C8" s="12"/>
      <c r="D8" s="125">
        <f>EDATE(G8,-1)</f>
        <v>45413</v>
      </c>
      <c r="E8" s="4" t="s">
        <v>130</v>
      </c>
      <c r="F8" s="12"/>
      <c r="G8" s="125">
        <f>Dados!$A$3</f>
        <v>45444</v>
      </c>
      <c r="H8" s="4" t="s">
        <v>130</v>
      </c>
      <c r="I8" s="12"/>
    </row>
    <row r="9" spans="2:24">
      <c r="B9" s="132" t="s">
        <v>131</v>
      </c>
      <c r="C9" s="6"/>
      <c r="D9" s="137">
        <f>D5</f>
        <v>42197.99</v>
      </c>
      <c r="E9" s="138">
        <f>_xlfn.XLOOKUP(D3,TabelaHistóricoDados[Mês],TabelaHistóricoDados[Performance Carteira])</f>
        <v>-3.1799999999999995E-2</v>
      </c>
      <c r="F9" s="139"/>
      <c r="G9" s="137">
        <f>G5</f>
        <v>414</v>
      </c>
      <c r="H9" s="138">
        <f>_xlfn.XLOOKUP(G3,TabelaHistóricoDados[Mês],TabelaHistóricoDados[Performance Carteira])</f>
        <v>0.1052</v>
      </c>
      <c r="I9" s="6"/>
    </row>
    <row r="10" spans="2:24">
      <c r="B10" s="1" t="s">
        <v>132</v>
      </c>
      <c r="C10" s="15"/>
      <c r="D10" s="140">
        <f>IFERROR(D9/D11,"ERRO!")</f>
        <v>8050.5933302808298</v>
      </c>
      <c r="E10" s="16"/>
      <c r="F10" s="17"/>
      <c r="G10" s="140">
        <f>IFERROR(G9/G11,"ERRO!")</f>
        <v>74.475165950098031</v>
      </c>
      <c r="H10" s="16"/>
      <c r="I10" s="15"/>
    </row>
    <row r="11" spans="2:24">
      <c r="B11" s="141" t="s">
        <v>133</v>
      </c>
      <c r="C11" s="15"/>
      <c r="D11" s="142">
        <f>_xlfn.XLOOKUP(D3,TabelaHistóricoDados[Mês],TabelaHistóricoDados[Dólar PTAX])</f>
        <v>5.2416</v>
      </c>
      <c r="E11" s="143"/>
      <c r="F11" s="17"/>
      <c r="G11" s="142">
        <f>_xlfn.XLOOKUP(G3,TabelaHistóricoDados[Mês],TabelaHistóricoDados[Dólar PTAX])</f>
        <v>5.5589000000000004</v>
      </c>
      <c r="H11" s="144"/>
      <c r="I11" s="15"/>
    </row>
    <row r="12" spans="2:24">
      <c r="D12" s="145"/>
      <c r="E12" s="146"/>
      <c r="G12" s="145"/>
      <c r="H12" s="146"/>
    </row>
    <row r="13" spans="2:24">
      <c r="H13" s="146"/>
      <c r="T13" s="126">
        <f>SUM(T16:T20)</f>
        <v>42197.99</v>
      </c>
      <c r="U13" s="126">
        <f>SUM(U16:U20)</f>
        <v>414</v>
      </c>
    </row>
    <row r="14" spans="2:24" ht="15.75">
      <c r="D14" s="145"/>
      <c r="E14" s="147" t="s">
        <v>199</v>
      </c>
      <c r="G14" s="145"/>
      <c r="H14" s="146"/>
      <c r="T14" s="228" t="s">
        <v>101</v>
      </c>
      <c r="U14" s="228"/>
      <c r="W14" s="228" t="s">
        <v>74</v>
      </c>
      <c r="X14" s="228"/>
    </row>
    <row r="15" spans="2:24">
      <c r="D15" s="145"/>
      <c r="G15" s="145"/>
      <c r="H15" s="146"/>
      <c r="T15" s="150">
        <f>D3</f>
        <v>45413</v>
      </c>
      <c r="U15" s="150">
        <f>G3</f>
        <v>45444</v>
      </c>
      <c r="W15" s="150">
        <f>D3</f>
        <v>45413</v>
      </c>
      <c r="X15" s="150">
        <f>G3</f>
        <v>45444</v>
      </c>
    </row>
    <row r="16" spans="2:24">
      <c r="D16" s="145"/>
      <c r="E16" s="148" t="str">
        <f>"            Período United MFO Acumulado"&amp;":  "&amp;TEXT('Resumo | Onshore'!$P$8,"##,##%")</f>
        <v xml:space="preserve">            Período United MFO Acumulado:  18,94%</v>
      </c>
      <c r="G16" s="145"/>
      <c r="H16" s="146"/>
      <c r="S16" t="str" cm="1">
        <f t="array" ref="S16">_xlfn._xlws.SORT(_xlfn.UNIQUE(Dados[Custódia]),1,1)</f>
        <v>BTG</v>
      </c>
      <c r="T16" s="29">
        <f>SUMIF(Dados[Custódia],S16,Dados[Saldo Bruto | Mês Anterior])</f>
        <v>42197.99</v>
      </c>
      <c r="U16" s="29">
        <f>SUMIF(Dados[Custódia],S16,Dados[Saldo Bruto | Mês Atual])</f>
        <v>414</v>
      </c>
      <c r="W16" s="31">
        <f>T16/$T$13</f>
        <v>1</v>
      </c>
      <c r="X16" s="31">
        <f>U16/$U$13</f>
        <v>1</v>
      </c>
    </row>
    <row r="17" spans="4:24">
      <c r="D17" s="145"/>
      <c r="G17" s="145"/>
      <c r="H17" s="146"/>
      <c r="S17" s="33"/>
      <c r="T17" s="151">
        <f>SUMIF(Dados[Custódia],S17,Dados[Saldo Bruto | Mês Anterior])</f>
        <v>0</v>
      </c>
      <c r="U17" s="151">
        <f>SUMIF(Dados[Custódia],S17,Dados[Saldo Bruto | Mês Atual])</f>
        <v>0</v>
      </c>
      <c r="W17" s="152">
        <f>T17/$T$13</f>
        <v>0</v>
      </c>
      <c r="X17" s="152">
        <f>U17/$U$13</f>
        <v>0</v>
      </c>
    </row>
    <row r="18" spans="4:24">
      <c r="D18" s="145"/>
      <c r="E18" s="146"/>
      <c r="G18" s="145"/>
      <c r="H18" s="146"/>
      <c r="T18" s="29">
        <f>SUMIF(Dados[Custódia],S18,Dados[Saldo Bruto | Mês Anterior])</f>
        <v>0</v>
      </c>
      <c r="U18" s="29">
        <f>SUMIF(Dados[Custódia],S18,Dados[Saldo Bruto | Mês Atual])</f>
        <v>0</v>
      </c>
      <c r="W18" s="31">
        <f>T18/$T$13</f>
        <v>0</v>
      </c>
      <c r="X18" s="31">
        <f>U18/$U$13</f>
        <v>0</v>
      </c>
    </row>
    <row r="19" spans="4:24">
      <c r="D19" s="145"/>
      <c r="G19" s="145"/>
      <c r="H19" s="146"/>
      <c r="S19" s="33"/>
      <c r="T19" s="151">
        <f>SUMIF(Dados[Custódia],S19,Dados[Saldo Bruto | Mês Anterior])</f>
        <v>0</v>
      </c>
      <c r="U19" s="151">
        <f>SUMIF(Dados[Custódia],S19,Dados[Saldo Bruto | Mês Atual])</f>
        <v>0</v>
      </c>
      <c r="W19" s="152">
        <f>T19/$T$13</f>
        <v>0</v>
      </c>
      <c r="X19" s="152">
        <f>U19/$U$13</f>
        <v>0</v>
      </c>
    </row>
    <row r="20" spans="4:24">
      <c r="D20" s="145"/>
      <c r="E20" s="146"/>
      <c r="G20" s="145"/>
      <c r="H20" s="146"/>
      <c r="T20" s="29">
        <f>SUMIF(Dados[Custódia],S20,Dados[Saldo Bruto | Mês Anterior])</f>
        <v>0</v>
      </c>
      <c r="U20" s="29">
        <f>SUMIF(Dados[Custódia],S20,Dados[Saldo Bruto | Mês Atual])</f>
        <v>0</v>
      </c>
      <c r="W20" s="31">
        <f>T20/$T$13</f>
        <v>0</v>
      </c>
      <c r="X20" s="31">
        <f>U20/$U$13</f>
        <v>0</v>
      </c>
    </row>
    <row r="21" spans="4:24">
      <c r="D21" s="145"/>
      <c r="E21" s="146"/>
      <c r="G21" s="145"/>
      <c r="H21" s="146"/>
    </row>
    <row r="22" spans="4:24">
      <c r="D22" s="145"/>
      <c r="E22" s="146"/>
      <c r="G22" s="145"/>
      <c r="H22" s="146"/>
    </row>
    <row r="23" spans="4:24">
      <c r="D23" s="145"/>
      <c r="E23" s="146"/>
      <c r="G23" s="145"/>
      <c r="H23" s="146"/>
    </row>
    <row r="24" spans="4:24">
      <c r="G24" s="145"/>
    </row>
    <row r="28" spans="4:24" ht="28.5" customHeight="1"/>
    <row r="29" spans="4:24" ht="19.5" customHeight="1"/>
  </sheetData>
  <mergeCells count="7">
    <mergeCell ref="W14:X14"/>
    <mergeCell ref="B3:B4"/>
    <mergeCell ref="D3:D4"/>
    <mergeCell ref="E3:E4"/>
    <mergeCell ref="G3:G4"/>
    <mergeCell ref="H3:H4"/>
    <mergeCell ref="T14:U14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FB02E-2BDA-4D3B-89BB-EEF551ACE3D0}">
  <sheetPr codeName="Planilha2"/>
  <dimension ref="B1:P25"/>
  <sheetViews>
    <sheetView showGridLines="0" topLeftCell="A4" zoomScaleNormal="100" workbookViewId="0">
      <selection activeCell="B5" sqref="B5:P32"/>
    </sheetView>
  </sheetViews>
  <sheetFormatPr defaultRowHeight="15"/>
  <cols>
    <col min="2" max="2" width="33.140625" style="7" customWidth="1"/>
    <col min="3" max="3" width="0.7109375" style="7" customWidth="1"/>
    <col min="4" max="4" width="20.140625" style="7" customWidth="1"/>
    <col min="5" max="5" width="4.7109375" style="7" customWidth="1"/>
    <col min="6" max="6" width="15.7109375" style="7" customWidth="1"/>
    <col min="7" max="7" width="0.7109375" style="7" customWidth="1"/>
    <col min="8" max="8" width="11.7109375" style="7" customWidth="1"/>
    <col min="9" max="9" width="0.7109375" style="7" customWidth="1"/>
    <col min="10" max="10" width="11.7109375" style="7" customWidth="1"/>
    <col min="11" max="11" width="0.7109375" style="7" customWidth="1"/>
    <col min="12" max="12" width="11.7109375" style="7" customWidth="1"/>
    <col min="13" max="13" width="0.7109375" style="7" customWidth="1"/>
    <col min="14" max="14" width="11.7109375" style="7" customWidth="1"/>
    <col min="15" max="15" width="0.7109375" style="7" customWidth="1"/>
    <col min="16" max="16" width="12.7109375" style="7" customWidth="1"/>
    <col min="22" max="22" width="5.5703125" bestFit="1" customWidth="1"/>
    <col min="23" max="23" width="26.28515625" bestFit="1" customWidth="1"/>
  </cols>
  <sheetData>
    <row r="1" spans="2:16">
      <c r="B1" s="12" t="s">
        <v>196</v>
      </c>
      <c r="D1" s="12" t="s">
        <v>197</v>
      </c>
      <c r="E1" s="12"/>
      <c r="F1" s="12"/>
      <c r="G1" s="12"/>
      <c r="H1" s="12"/>
      <c r="I1" s="12"/>
      <c r="K1" s="12"/>
    </row>
    <row r="2" spans="2:16">
      <c r="B2" s="213">
        <f>SUM(Dados[Saldo Bruto | Mês Atual])</f>
        <v>414</v>
      </c>
      <c r="C2" s="12"/>
      <c r="D2" s="213">
        <f>((SUM(Dados[Saldo Bruto | Mês Anterior])))*(1+_xlfn.XLOOKUP($J$6,TabelaHistóricoDados[Mês],TabelaHistóricoDados[Performance Carteira]))+(SUM(Dados[Movimentaçao | Mês Atual]))</f>
        <v>46637.198548</v>
      </c>
      <c r="E2" s="210"/>
      <c r="F2" s="211"/>
      <c r="G2" s="210"/>
      <c r="H2" s="212"/>
      <c r="I2" s="210"/>
      <c r="K2"/>
    </row>
    <row r="5" spans="2:16" ht="15.75" thickBot="1">
      <c r="B5" s="99" t="s">
        <v>123</v>
      </c>
    </row>
    <row r="6" spans="2:16">
      <c r="B6" s="229" t="s">
        <v>105</v>
      </c>
      <c r="D6" s="229"/>
      <c r="F6" s="229" t="s">
        <v>108</v>
      </c>
      <c r="H6" s="230">
        <f>EDATE(J6,-1)</f>
        <v>45413</v>
      </c>
      <c r="J6" s="230">
        <f>'Resumo Carteira | Onshore'!$F$8</f>
        <v>45444</v>
      </c>
      <c r="L6" s="229">
        <f>YEAR(J6)</f>
        <v>2024</v>
      </c>
      <c r="N6" s="229" t="s">
        <v>109</v>
      </c>
      <c r="P6" s="231" t="s">
        <v>110</v>
      </c>
    </row>
    <row r="7" spans="2:16">
      <c r="B7" s="229"/>
      <c r="D7" s="229"/>
      <c r="F7" s="229"/>
      <c r="H7" s="230"/>
      <c r="J7" s="230"/>
      <c r="L7" s="229"/>
      <c r="N7" s="229"/>
      <c r="P7" s="232"/>
    </row>
    <row r="8" spans="2:16">
      <c r="B8" s="5" t="str">
        <f>"Saldo Bruto ("&amp;TEXT(Dados!$B$2,"dd/mm")&amp;")"</f>
        <v>Saldo Bruto (31/05)</v>
      </c>
      <c r="C8" s="15"/>
      <c r="D8" s="8">
        <f>SUM(Dados[Saldo Bruto | Mês Anterior])</f>
        <v>42197.99</v>
      </c>
      <c r="E8" s="15"/>
      <c r="F8" s="75" t="s">
        <v>107</v>
      </c>
      <c r="G8" s="6"/>
      <c r="H8" s="9">
        <f>_xlfn.XLOOKUP($H$6,TabelaHistóricoDados[Mês],TabelaHistóricoDados[Performance Carteira])</f>
        <v>-3.1799999999999995E-2</v>
      </c>
      <c r="I8" s="102"/>
      <c r="J8" s="9">
        <f>_xlfn.XLOOKUP($J$6,TabelaHistóricoDados[Mês],TabelaHistóricoDados[Performance Carteira])</f>
        <v>0.1052</v>
      </c>
      <c r="K8" s="102"/>
      <c r="L8" s="9" cm="1">
        <f t="array" ref="L8">PRODUCT(1+(_xlfn._xlws.FILTER(TabelaHistóricoDados[Performance Carteira],TabelaHistóricoDados[Ano]=$L$6)))-1</f>
        <v>0.1432221698419156</v>
      </c>
      <c r="M8" s="102"/>
      <c r="N8" s="9" cm="1">
        <f t="array" ref="N8">IFERROR(PRODUCT(1+(INDEX(_xlfn.SORTBY(TabelaHistóricoDados[Performance Carteira],TabelaHistóricoDados[Mês],-1),_xlfn.SEQUENCE('Informações Complementares'!$N$1))))-1,"")</f>
        <v>0.16784851789386224</v>
      </c>
      <c r="O8" s="102"/>
      <c r="P8" s="104" cm="1">
        <f t="array" ref="P8">(PRODUCT(1+(_xlfn._xlws.FILTER(TabelaHistóricoDados[Performance Carteira],TabelaHistóricoDados[Cliente?]="Sim"))))-1</f>
        <v>0.18943780121936871</v>
      </c>
    </row>
    <row r="9" spans="2:16">
      <c r="B9" s="83" t="str">
        <f>"IR Provisionado ("&amp;TEXT(Dados!$B$2,"dd/mm")&amp;")"</f>
        <v>IR Provisionado (31/05)</v>
      </c>
      <c r="C9" s="17"/>
      <c r="D9" s="11">
        <f>SUM(Dados[IR &amp; IOF | Mês Anterior])</f>
        <v>0.24000000000000909</v>
      </c>
      <c r="E9" s="15"/>
      <c r="F9" s="105" t="s">
        <v>106</v>
      </c>
      <c r="G9" s="6"/>
      <c r="H9" s="106" t="str">
        <f>IFERROR(IF(IFERROR(H8/H10,"-")&gt;0,H8/H10,"-"),"-")</f>
        <v>-</v>
      </c>
      <c r="I9" s="102"/>
      <c r="J9" s="106">
        <f>IFERROR(IF(IFERROR(J8/J10,"-")&gt;0,J8/J10,"-"),"-")</f>
        <v>13.31645569620253</v>
      </c>
      <c r="K9" s="102"/>
      <c r="L9" s="106">
        <f>IFERROR(IF(IFERROR(L8/L10,"-")&gt;0,L8/L10,"-"),"-")</f>
        <v>2.7437588851147394</v>
      </c>
      <c r="M9" s="102"/>
      <c r="N9" s="106">
        <f>IFERROR(IF(IFERROR(N8/N10,"-")&gt;0,N8/N10,"-"),"-")</f>
        <v>1.4368411524424045</v>
      </c>
      <c r="O9" s="102"/>
      <c r="P9" s="226">
        <f>IFERROR(IF(IFERROR(P8/P10,"-")&gt;0,P8/P10,"-"),"-")</f>
        <v>2.0471056026610923</v>
      </c>
    </row>
    <row r="10" spans="2:16">
      <c r="B10" s="65" t="str">
        <f>"Movimentações (até "&amp;TEXT(Dados!$B$2,"dd/mm")&amp;")"</f>
        <v>Movimentações (até 31/05)</v>
      </c>
      <c r="C10" s="17"/>
      <c r="D10" s="10">
        <f>_xlfn.XLOOKUP($H$6,TabelaHistóricoDados[Mês],TabelaHistóricoDados[Movimentação])</f>
        <v>-1554.2499999999998</v>
      </c>
      <c r="E10" s="15"/>
      <c r="F10" s="107" t="s">
        <v>81</v>
      </c>
      <c r="G10" s="6"/>
      <c r="H10" s="71">
        <f>_xlfn.XLOOKUP($H$6,TabelaHistóricoDados[Mês],TabelaHistóricoDados[CDI])</f>
        <v>8.3000000000000001E-3</v>
      </c>
      <c r="I10" s="102"/>
      <c r="J10" s="71">
        <f>_xlfn.XLOOKUP($J$6,TabelaHistóricoDados[Mês],TabelaHistóricoDados[CDI])</f>
        <v>7.9000000000000008E-3</v>
      </c>
      <c r="K10" s="102"/>
      <c r="L10" s="71" cm="1">
        <f t="array" ref="L10">PRODUCT(1+(_xlfn._xlws.FILTER(TabelaHistóricoDados[CDI],TabelaHistóricoDados[Ano]=$L$6)))-1</f>
        <v>5.2199255050768167E-2</v>
      </c>
      <c r="M10" s="102"/>
      <c r="N10" s="71" cm="1">
        <f t="array" ref="N10">IFERROR(PRODUCT(1+(INDEX(_xlfn.SORTBY(TabelaHistóricoDados[CDI],TabelaHistóricoDados[Mês],-1),_xlfn.SEQUENCE('Informações Complementares'!$N$1))))-1,"")</f>
        <v>0.11681772728220241</v>
      </c>
      <c r="O10" s="102"/>
      <c r="P10" s="108" cm="1">
        <f t="array" ref="P10">(PRODUCT(1+(_xlfn._xlws.FILTER(TabelaHistóricoDados[CDI],TabelaHistóricoDados[Cliente?]="Sim"))))-1</f>
        <v>9.2539339921259067E-2</v>
      </c>
    </row>
    <row r="11" spans="2:16">
      <c r="B11" s="83" t="str">
        <f>"Saldo Líquido ("&amp;TEXT(Dados!$B$2,"dd/mm")&amp;")"</f>
        <v>Saldo Líquido (31/05)</v>
      </c>
      <c r="C11" s="17"/>
      <c r="D11" s="11">
        <f>SUM(Dados[Saldo Líquido | Mês Anterior])</f>
        <v>42197.75</v>
      </c>
      <c r="E11" s="15"/>
      <c r="F11" s="109" t="s">
        <v>83</v>
      </c>
      <c r="G11" s="6"/>
      <c r="H11" s="13">
        <f>_xlfn.XLOOKUP($H$6,TabelaHistóricoDados[Mês],TabelaHistóricoDados[Ibovespa])</f>
        <v>-3.04E-2</v>
      </c>
      <c r="I11" s="102"/>
      <c r="J11" s="13">
        <f>_xlfn.XLOOKUP($J$6,TabelaHistóricoDados[Mês],TabelaHistóricoDados[Ibovespa])</f>
        <v>1.4800000000000001E-2</v>
      </c>
      <c r="K11" s="102"/>
      <c r="L11" s="13" cm="1">
        <f t="array" ref="L11">PRODUCT(1+(_xlfn._xlws.FILTER(TabelaHistóricoDados[Ibovespa],TabelaHistóricoDados[Ano]=$L$6)))-1</f>
        <v>-7.6593278946333943E-2</v>
      </c>
      <c r="M11" s="102"/>
      <c r="N11" s="13" cm="1">
        <f t="array" ref="N11">IFERROR(PRODUCT(1+(INDEX(_xlfn.SORTBY(TabelaHistóricoDados[Ibovespa],TabelaHistóricoDados[Mês],-1),_xlfn.SEQUENCE('Informações Complementares'!$N$1))))-1,"")</f>
        <v>4.9197312968882967E-2</v>
      </c>
      <c r="O11" s="102"/>
      <c r="P11" s="103" cm="1">
        <f t="array" ref="P11">(PRODUCT(1+(_xlfn._xlws.FILTER(TabelaHistóricoDados[Ibovespa],TabelaHistóricoDados[Cliente?]="Sim"))))-1</f>
        <v>7.046141889216706E-2</v>
      </c>
    </row>
    <row r="12" spans="2:16">
      <c r="B12" s="110" t="str">
        <f>"Saldo Bruto ("&amp;TEXT(Dados!$B$3,"dd/mm")&amp;")"</f>
        <v>Saldo Bruto (28/06)</v>
      </c>
      <c r="C12" s="15"/>
      <c r="D12" s="111">
        <f>SUM(Dados[Saldo Bruto | Mês Atual])</f>
        <v>414</v>
      </c>
      <c r="E12" s="15"/>
      <c r="F12" s="107" t="s">
        <v>82</v>
      </c>
      <c r="G12" s="6"/>
      <c r="H12" s="71">
        <f>_xlfn.XLOOKUP($H$6,TabelaHistóricoDados[Mês],TabelaHistóricoDados[IPCA])</f>
        <v>4.5999999999999999E-3</v>
      </c>
      <c r="I12" s="102"/>
      <c r="J12" s="71">
        <f>_xlfn.XLOOKUP($J$6,TabelaHistóricoDados[Mês],TabelaHistóricoDados[IPCA])</f>
        <v>2.0999999999999999E-3</v>
      </c>
      <c r="K12" s="102"/>
      <c r="L12" s="71" cm="1">
        <f t="array" ref="L12">PRODUCT(1+(_xlfn._xlws.FILTER(TabelaHistóricoDados[IPCA],TabelaHistóricoDados[Ano]=$L$6)))-1</f>
        <v>2.4839196739888658E-2</v>
      </c>
      <c r="M12" s="102"/>
      <c r="N12" s="71" cm="1">
        <f t="array" ref="N12">IFERROR(PRODUCT(1+(INDEX(_xlfn.SORTBY(TabelaHistóricoDados[IPCA],TabelaHistóricoDados[Mês],-1),_xlfn.SEQUENCE('Informações Complementares'!$N$1))))-1,"")</f>
        <v>4.227578239682539E-2</v>
      </c>
      <c r="O12" s="102"/>
      <c r="P12" s="108" cm="1">
        <f t="array" ref="P12">(PRODUCT(1+(_xlfn._xlws.FILTER(TabelaHistóricoDados[IPCA],TabelaHistóricoDados[Cliente?]="Sim"))))-1</f>
        <v>3.8637683863296468E-2</v>
      </c>
    </row>
    <row r="13" spans="2:16">
      <c r="B13" s="65" t="str">
        <f>"IR Provisionado ("&amp;TEXT(Dados!$B$3,"dd/mm")&amp;")"</f>
        <v>IR Provisionado (28/06)</v>
      </c>
      <c r="C13" s="17"/>
      <c r="D13" s="10">
        <f>SUM(Dados[IR &amp; IOF | Mês Atual])</f>
        <v>309</v>
      </c>
      <c r="E13" s="15"/>
      <c r="F13" s="112" t="s">
        <v>111</v>
      </c>
      <c r="G13" s="6"/>
      <c r="H13" s="128"/>
      <c r="I13" s="129"/>
      <c r="J13" s="128"/>
      <c r="K13" s="129"/>
      <c r="L13" s="128"/>
      <c r="M13" s="129"/>
      <c r="N13" s="128"/>
      <c r="O13" s="129"/>
      <c r="P13" s="130"/>
    </row>
    <row r="14" spans="2:16">
      <c r="B14" s="83" t="str">
        <f>"Movimentações (até "&amp;TEXT(Dados!$B$3,"dd/mm")&amp;")"</f>
        <v>Movimentações (até 28/06)</v>
      </c>
      <c r="C14" s="17"/>
      <c r="D14" s="11">
        <f>_xlfn.XLOOKUP($J$6,TabelaHistóricoDados[Mês],TabelaHistóricoDados[Movimentação])</f>
        <v>-0.02</v>
      </c>
      <c r="E14" s="113"/>
      <c r="F14" s="65" t="str" cm="1">
        <f t="array" ref="F14">_xlfn._xlws.SORT(_xlfn.UNIQUE(Dados[Custódia]))</f>
        <v>BTG</v>
      </c>
      <c r="G14" s="15"/>
      <c r="H14" s="13">
        <f>_xlfn.XLOOKUP($H$6,TabelaHistóricoDados[Mês],TabelaHistóricoDados[Bco. 1])</f>
        <v>-3.1800000000000002E-2</v>
      </c>
      <c r="I14" s="131"/>
      <c r="J14" s="13">
        <f>_xlfn.XLOOKUP($J$6,TabelaHistóricoDados[Mês],TabelaHistóricoDados[Bco. 1])</f>
        <v>0.1052</v>
      </c>
      <c r="K14" s="131"/>
      <c r="L14" s="13" cm="1">
        <f t="array" ref="L14">PRODUCT(1+(_xlfn._xlws.FILTER(TabelaHistóricoDados[Bco. 1],TabelaHistóricoDados[Ano]=$L$6)))-1</f>
        <v>0.1432221698419156</v>
      </c>
      <c r="M14" s="131"/>
      <c r="N14" s="13" cm="1">
        <f t="array" ref="N14">IFERROR(PRODUCT(1+(INDEX(_xlfn.SORTBY(TabelaHistóricoDados[Bco. 1],TabelaHistóricoDados[Mês],-1),_xlfn.SEQUENCE('Informações Complementares'!$N$1))))-1,"")</f>
        <v>0.16784851789386224</v>
      </c>
      <c r="O14" s="131"/>
      <c r="P14" s="103" cm="1">
        <f t="array" ref="P14">(PRODUCT(1+(_xlfn._xlws.FILTER(TabelaHistóricoDados[Bco. 1],TabelaHistóricoDados[Cliente?]="Sim"))))-1</f>
        <v>0.18943780121936871</v>
      </c>
    </row>
    <row r="15" spans="2:16">
      <c r="B15" s="114" t="str">
        <f>"Saldo Líquido ("&amp;TEXT(Dados!$B$3,"dd/mm")&amp;")"</f>
        <v>Saldo Líquido (28/06)</v>
      </c>
      <c r="C15" s="17"/>
      <c r="D15" s="115">
        <f>SUM(Dados[Saldo Líquido | Mês Atual])</f>
        <v>105</v>
      </c>
      <c r="E15" s="15"/>
      <c r="F15" s="112"/>
      <c r="G15" s="6"/>
      <c r="H15" s="128"/>
      <c r="I15" s="129"/>
      <c r="J15" s="128"/>
      <c r="K15" s="129"/>
      <c r="L15" s="128"/>
      <c r="M15" s="129"/>
      <c r="N15" s="128"/>
      <c r="O15" s="129"/>
      <c r="P15" s="130"/>
    </row>
    <row r="16" spans="2:16" ht="15.75" thickBot="1">
      <c r="B16" s="6"/>
      <c r="C16" s="15"/>
      <c r="D16" s="15"/>
      <c r="E16" s="15"/>
      <c r="F16" s="83" t="s">
        <v>169</v>
      </c>
      <c r="G16" s="15"/>
      <c r="H16" s="220">
        <f>_xlfn.XLOOKUP($H$6,TabelaHistóricoDados[Mês],TabelaHistóricoDados[Cashback])</f>
        <v>0.09</v>
      </c>
      <c r="I16" s="220"/>
      <c r="J16" s="220">
        <f>_xlfn.XLOOKUP($J$6,TabelaHistóricoDados[Mês],TabelaHistóricoDados[Cashback])</f>
        <v>0.02</v>
      </c>
      <c r="K16" s="220"/>
      <c r="L16" s="220" cm="1">
        <f t="array" ref="L16">SUM((_xlfn._xlws.FILTER(TabelaHistóricoDados[Cashback],TabelaHistóricoDados[Ano]=$L$6)))</f>
        <v>1.2940949257718408</v>
      </c>
      <c r="M16" s="220"/>
      <c r="N16" s="220" cm="1">
        <f t="array" ref="N16">IFERROR(SUM((INDEX(_xlfn.SORTBY(TabelaHistóricoDados[Cashback],TabelaHistóricoDados[Mês],-1),_xlfn.SEQUENCE('Informações Complementares'!$N$1)))),"")</f>
        <v>199.60409492577185</v>
      </c>
      <c r="O16" s="220"/>
      <c r="P16" s="227" cm="1">
        <f t="array" ref="P16">(SUM(_xlfn._xlws.FILTER(TabelaHistóricoDados[Cashback],TabelaHistóricoDados[Cliente?]="Sim")))</f>
        <v>199.60409492577185</v>
      </c>
    </row>
    <row r="17" spans="2:16">
      <c r="B17" s="12"/>
      <c r="F17" s="116"/>
      <c r="H17" s="116"/>
      <c r="I17" s="117"/>
      <c r="J17" s="118"/>
      <c r="K17" s="117"/>
      <c r="L17" s="118"/>
      <c r="M17" s="117"/>
      <c r="N17" s="118"/>
      <c r="O17" s="117"/>
      <c r="P17" s="119"/>
    </row>
    <row r="18" spans="2:16" ht="15.75">
      <c r="H18" s="3"/>
    </row>
    <row r="19" spans="2:16" ht="15.75">
      <c r="B19" s="3" t="s">
        <v>201</v>
      </c>
      <c r="F19" s="3" t="s">
        <v>202</v>
      </c>
      <c r="G19" s="3"/>
    </row>
    <row r="25" spans="2:16">
      <c r="D25"/>
    </row>
  </sheetData>
  <mergeCells count="8">
    <mergeCell ref="N6:N7"/>
    <mergeCell ref="P6:P7"/>
    <mergeCell ref="B6:B7"/>
    <mergeCell ref="D6:D7"/>
    <mergeCell ref="F6:F7"/>
    <mergeCell ref="H6:H7"/>
    <mergeCell ref="J6:J7"/>
    <mergeCell ref="L6:L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F7198-13BC-4A67-9CCE-2F8B56D8B875}">
  <sheetPr codeName="Planilha3"/>
  <dimension ref="B1:AG29"/>
  <sheetViews>
    <sheetView showGridLines="0" workbookViewId="0">
      <selection activeCell="B4" sqref="B4:M31"/>
    </sheetView>
  </sheetViews>
  <sheetFormatPr defaultRowHeight="15"/>
  <cols>
    <col min="2" max="2" width="16.7109375" style="2" customWidth="1"/>
    <col min="3" max="3" width="17.7109375" style="2" customWidth="1"/>
    <col min="4" max="4" width="9.28515625" style="2" customWidth="1"/>
    <col min="5" max="5" width="1.85546875" style="2" customWidth="1"/>
    <col min="6" max="6" width="14.7109375" style="2" customWidth="1"/>
    <col min="7" max="7" width="0.7109375" style="2" customWidth="1"/>
    <col min="8" max="8" width="20.7109375" style="2" customWidth="1"/>
    <col min="9" max="9" width="7.28515625" style="2" customWidth="1"/>
    <col min="10" max="10" width="0.7109375" style="2" customWidth="1"/>
    <col min="11" max="11" width="20.7109375" style="2" customWidth="1"/>
    <col min="12" max="12" width="18.7109375" style="2" customWidth="1"/>
    <col min="13" max="13" width="7.42578125" style="2" customWidth="1"/>
    <col min="19" max="19" width="31.85546875" bestFit="1" customWidth="1"/>
    <col min="21" max="21" width="9.140625" style="157"/>
    <col min="23" max="23" width="9.140625" style="157"/>
    <col min="24" max="25" width="15.85546875" bestFit="1" customWidth="1"/>
    <col min="28" max="28" width="30.5703125" bestFit="1" customWidth="1"/>
    <col min="29" max="29" width="19.5703125" bestFit="1" customWidth="1"/>
    <col min="30" max="30" width="18.85546875" bestFit="1" customWidth="1"/>
    <col min="31" max="31" width="19.42578125" bestFit="1" customWidth="1"/>
    <col min="32" max="32" width="19.7109375" bestFit="1" customWidth="1"/>
    <col min="33" max="33" width="10.7109375" bestFit="1" customWidth="1"/>
    <col min="34" max="34" width="19.7109375" bestFit="1" customWidth="1"/>
    <col min="35" max="36" width="10.7109375" bestFit="1" customWidth="1"/>
  </cols>
  <sheetData>
    <row r="1" spans="2:33" ht="15.75">
      <c r="B1" s="208" t="s">
        <v>164</v>
      </c>
      <c r="C1" s="209">
        <f>SUM(Dados[Saldo Bruto | Mês Atual])*2</f>
        <v>828</v>
      </c>
    </row>
    <row r="2" spans="2:33" ht="15.75">
      <c r="B2" s="208" t="s">
        <v>164</v>
      </c>
      <c r="C2" s="209">
        <f>SUM(C7:C28)</f>
        <v>828</v>
      </c>
    </row>
    <row r="4" spans="2:33" ht="15.75">
      <c r="B4" s="3" t="s">
        <v>122</v>
      </c>
      <c r="F4" s="3" t="s">
        <v>121</v>
      </c>
    </row>
    <row r="5" spans="2:33">
      <c r="B5" s="229"/>
      <c r="C5" s="229"/>
      <c r="D5" s="229"/>
      <c r="F5" s="229"/>
      <c r="G5" s="91"/>
      <c r="H5" s="230">
        <f>EDATE(K5,-1)</f>
        <v>45413</v>
      </c>
      <c r="I5" s="4" t="s">
        <v>74</v>
      </c>
      <c r="J5" s="91"/>
      <c r="K5" s="230">
        <f>Dados!$A$3</f>
        <v>45444</v>
      </c>
      <c r="L5" s="229" t="s">
        <v>73</v>
      </c>
      <c r="M5" s="4" t="s">
        <v>74</v>
      </c>
      <c r="Y5" s="126">
        <f>SUM(Dados[Saldo Bruto | Mês Atual])</f>
        <v>414</v>
      </c>
    </row>
    <row r="6" spans="2:33">
      <c r="B6" s="229"/>
      <c r="C6" s="229"/>
      <c r="D6" s="229"/>
      <c r="F6" s="229"/>
      <c r="G6" s="91"/>
      <c r="H6" s="230"/>
      <c r="I6" s="4" t="s">
        <v>103</v>
      </c>
      <c r="J6" s="91"/>
      <c r="K6" s="230"/>
      <c r="L6" s="229"/>
      <c r="M6" s="4" t="s">
        <v>103</v>
      </c>
      <c r="W6" s="233" t="s">
        <v>125</v>
      </c>
      <c r="X6" s="233"/>
      <c r="Y6" s="233"/>
      <c r="Z6" s="233"/>
      <c r="AB6" s="233" t="s">
        <v>124</v>
      </c>
      <c r="AC6" s="233"/>
      <c r="AD6" s="233"/>
    </row>
    <row r="7" spans="2:33">
      <c r="B7" s="75" t="s">
        <v>51</v>
      </c>
      <c r="C7" s="100"/>
      <c r="D7" s="77">
        <f>IFERROR(SUMIF(Dados[Classe],B7,Dados[Saldo Bruto | Mês Atual])/SUM(Dados[Saldo Bruto | Mês Atual]),"ERRO")</f>
        <v>9.6618357487922701E-3</v>
      </c>
      <c r="F7" s="89" t="str" cm="1">
        <f t="array" ref="F7">_xlfn._xlws.SORT(_xlfn.UNIQUE(Dados[Custódia]))</f>
        <v>BTG</v>
      </c>
      <c r="G7" s="92"/>
      <c r="H7" s="90">
        <f>SUMIF(Dados[Custódia],F7,Dados[Saldo Bruto | Mês Anterior])</f>
        <v>42197.99</v>
      </c>
      <c r="I7" s="93">
        <f>H7/$H$8</f>
        <v>1</v>
      </c>
      <c r="J7" s="94"/>
      <c r="K7" s="69">
        <f>SUMIF(Dados[Custódia],F7,Dados[Saldo Bruto | Mês Atual])</f>
        <v>414</v>
      </c>
      <c r="L7" s="90">
        <f>SUMIF(Dados[Custódia],F7,Dados[Movimentaçao | Mês Atual])</f>
        <v>-0.02</v>
      </c>
      <c r="M7" s="72">
        <f>K7/$K$8</f>
        <v>1</v>
      </c>
      <c r="S7" s="158" t="s">
        <v>178</v>
      </c>
      <c r="U7" s="158" t="s">
        <v>9</v>
      </c>
      <c r="W7" s="158" t="s">
        <v>9</v>
      </c>
      <c r="X7" s="28" t="s">
        <v>72</v>
      </c>
      <c r="Y7" s="28" t="s">
        <v>74</v>
      </c>
      <c r="Z7" s="28" t="s">
        <v>117</v>
      </c>
      <c r="AC7" s="127" t="s">
        <v>120</v>
      </c>
    </row>
    <row r="8" spans="2:33">
      <c r="B8" s="65" t="str" cm="1">
        <f t="array" ref="B8">_xlfn._xlws.SORT(_xlfn.UNIQUE(_xlfn._xlws.FILTER(Dados[Subclasse],Dados[Classe]=B7)),1,1)</f>
        <v>Conta Corrente</v>
      </c>
      <c r="C8" s="14">
        <f>SUMIF(Dados[Subclasse],B8,Dados[Saldo Bruto | Mês Atual])</f>
        <v>4</v>
      </c>
      <c r="D8" s="13">
        <f>C8/$C$14</f>
        <v>9.6618357487922701E-3</v>
      </c>
      <c r="F8" s="95" t="s">
        <v>104</v>
      </c>
      <c r="G8" s="96"/>
      <c r="H8" s="97">
        <f>SUM(Dados[Saldo Bruto | Mês Anterior])</f>
        <v>42197.99</v>
      </c>
      <c r="I8" s="86">
        <v>1</v>
      </c>
      <c r="J8" s="98"/>
      <c r="K8" s="97">
        <f>SUM(Dados[Saldo Bruto | Mês Atual])</f>
        <v>414</v>
      </c>
      <c r="L8" s="97">
        <f>SUM(Dados[Movimentaçao | Mês Atual])</f>
        <v>-0.02</v>
      </c>
      <c r="M8" s="86">
        <v>1</v>
      </c>
      <c r="S8" t="str" cm="1">
        <f t="array" ref="S8:S10">_xlfn.UNIQUE(Dados[Classe])</f>
        <v>Corrente, Poupança e Empréstimo</v>
      </c>
      <c r="U8" s="157" cm="1">
        <f t="array" ref="U8:U9">_xlfn._xlws.SORT(_xlfn.UNIQUE(Dados[Liquidez]))</f>
        <v>2024</v>
      </c>
      <c r="W8" s="157" t="s">
        <v>137</v>
      </c>
      <c r="X8" s="160">
        <f>SUMIF(Dados[Liquidez],W8,Dados[Saldo Bruto | Mês Atual])</f>
        <v>104</v>
      </c>
      <c r="Y8" s="161">
        <f>IFERROR(X8/$Y$5,"ERRO")</f>
        <v>0.25120772946859904</v>
      </c>
      <c r="Z8" s="161">
        <f>Y8</f>
        <v>0.25120772946859904</v>
      </c>
      <c r="AC8" t="s">
        <v>41</v>
      </c>
      <c r="AD8" t="s">
        <v>152</v>
      </c>
      <c r="AE8" t="s">
        <v>155</v>
      </c>
      <c r="AF8" t="s">
        <v>177</v>
      </c>
      <c r="AG8" t="s">
        <v>118</v>
      </c>
    </row>
    <row r="9" spans="2:33">
      <c r="B9" s="75" t="s">
        <v>194</v>
      </c>
      <c r="C9" s="100"/>
      <c r="D9" s="77">
        <f>IFERROR(SUMIF(Dados[Classe],B9,Dados[Saldo Bruto | Mês Atual])/SUM(Dados[Saldo Bruto | Mês Atual]),"ERRO")</f>
        <v>0.24154589371980675</v>
      </c>
      <c r="S9" t="str">
        <v>Opções</v>
      </c>
      <c r="U9" s="157" t="str">
        <v>D+0</v>
      </c>
      <c r="W9" s="159">
        <v>2024</v>
      </c>
      <c r="X9" s="162">
        <f>SUMIF(Dados[Liquidez],W9,Dados[Saldo Bruto | Mês Atual])</f>
        <v>310</v>
      </c>
      <c r="Y9" s="163">
        <f>IFERROR(X9/$Y$5,"ERRO")</f>
        <v>0.74879227053140096</v>
      </c>
      <c r="Z9" s="163">
        <f>IFERROR(Y9+Z8,"ERRO")</f>
        <v>1</v>
      </c>
      <c r="AB9" t="s">
        <v>119</v>
      </c>
      <c r="AC9" s="32">
        <v>0</v>
      </c>
      <c r="AD9" s="32">
        <v>4.2426075987853033E-3</v>
      </c>
      <c r="AE9" s="32">
        <v>6.8398030222495149E-4</v>
      </c>
      <c r="AF9" s="32">
        <v>0.99507341209898981</v>
      </c>
      <c r="AG9" s="32">
        <v>1</v>
      </c>
    </row>
    <row r="10" spans="2:33">
      <c r="B10" s="67" t="str" cm="1">
        <f t="array" ref="B10">_xlfn._xlws.SORT(_xlfn.UNIQUE(_xlfn._xlws.FILTER(Dados[Subclasse],Dados[Classe]=B9)),1,1)</f>
        <v>Renda Fixa</v>
      </c>
      <c r="C10" s="101">
        <f>SUMIF(Dados[Subclasse],B10,Dados[Saldo Bruto | Mês Atual])</f>
        <v>100</v>
      </c>
      <c r="D10" s="71">
        <f>C10/$C$14</f>
        <v>0.24154589371980675</v>
      </c>
      <c r="F10" s="99" t="s">
        <v>115</v>
      </c>
      <c r="H10" s="91"/>
      <c r="K10" s="99" t="s">
        <v>116</v>
      </c>
      <c r="S10" t="str">
        <v>Fundos de Investimento</v>
      </c>
      <c r="X10" s="160">
        <f>SUMIF(Dados[Liquidez],W10,Dados[Saldo Bruto | Mês Atual])</f>
        <v>0</v>
      </c>
      <c r="Y10" s="161">
        <f t="shared" ref="Y10:Y16" si="0">IFERROR(X10/$Y$5,"ERRO")</f>
        <v>0</v>
      </c>
      <c r="Z10" s="161">
        <f t="shared" ref="Z10:Z14" si="1">IFERROR(Y10+Z9,"ERRO")</f>
        <v>1</v>
      </c>
    </row>
    <row r="11" spans="2:33">
      <c r="B11" s="75" t="s">
        <v>56</v>
      </c>
      <c r="C11" s="100"/>
      <c r="D11" s="77">
        <f>IFERROR(SUMIF(Dados[Classe],B11,Dados[Saldo Bruto | Mês Atual])/SUM(Dados[Saldo Bruto | Mês Atual]),"ERRO")</f>
        <v>0.74879227053140096</v>
      </c>
      <c r="W11" s="159"/>
      <c r="X11" s="162">
        <f>SUMIF(Dados[Liquidez],W11,Dados[Saldo Bruto | Mês Atual])</f>
        <v>0</v>
      </c>
      <c r="Y11" s="163">
        <f t="shared" si="0"/>
        <v>0</v>
      </c>
      <c r="Z11" s="163">
        <f t="shared" si="1"/>
        <v>1</v>
      </c>
    </row>
    <row r="12" spans="2:33">
      <c r="B12" s="65" t="str" cm="1">
        <f t="array" ref="B12:B13">_xlfn._xlws.SORT(_xlfn.UNIQUE(_xlfn._xlws.FILTER(Dados[Subclasse],Dados[Classe]=B11)),1,1)</f>
        <v>Derivativos</v>
      </c>
      <c r="C12" s="14">
        <f>SUMIF(Dados[Subclasse],B12,Dados[Saldo Bruto | Mês Atual])</f>
        <v>250</v>
      </c>
      <c r="D12" s="13">
        <f>C12/$C$14</f>
        <v>0.60386473429951693</v>
      </c>
      <c r="X12" s="160">
        <f>SUMIF(Dados[Liquidez],W12,Dados[Saldo Bruto | Mês Atual])</f>
        <v>0</v>
      </c>
      <c r="Y12" s="161">
        <f t="shared" si="0"/>
        <v>0</v>
      </c>
      <c r="Z12" s="161">
        <f t="shared" si="1"/>
        <v>1</v>
      </c>
    </row>
    <row r="13" spans="2:33">
      <c r="B13" s="67" t="str">
        <v>Estruturado</v>
      </c>
      <c r="C13" s="101">
        <f>SUMIF(Dados[Subclasse],B13,Dados[Saldo Bruto | Mês Atual])</f>
        <v>60</v>
      </c>
      <c r="D13" s="71">
        <f>C13/$C$14</f>
        <v>0.14492753623188406</v>
      </c>
      <c r="W13" s="159"/>
      <c r="X13" s="162">
        <f>SUMIF(Dados[Liquidez],W13,Dados[Saldo Bruto | Mês Atual])</f>
        <v>0</v>
      </c>
      <c r="Y13" s="163">
        <f t="shared" si="0"/>
        <v>0</v>
      </c>
      <c r="Z13" s="163">
        <f t="shared" si="1"/>
        <v>1</v>
      </c>
    </row>
    <row r="14" spans="2:33">
      <c r="B14" s="84" t="s">
        <v>79</v>
      </c>
      <c r="C14" s="85">
        <f>SUM(Dados[Saldo Bruto | Mês Atual])</f>
        <v>414</v>
      </c>
      <c r="D14" s="86">
        <v>1</v>
      </c>
      <c r="X14" s="160">
        <f>SUMIF(Dados[Liquidez],W14,Dados[Saldo Bruto | Mês Atual])</f>
        <v>0</v>
      </c>
      <c r="Y14" s="161">
        <f t="shared" si="0"/>
        <v>0</v>
      </c>
      <c r="Z14" s="161">
        <f t="shared" si="1"/>
        <v>1</v>
      </c>
    </row>
    <row r="15" spans="2:33">
      <c r="W15" s="159"/>
      <c r="X15" s="162">
        <f>SUMIF(Dados[Liquidez],W15,Dados[Saldo Bruto | Mês Atual])</f>
        <v>0</v>
      </c>
      <c r="Y15" s="163">
        <f t="shared" si="0"/>
        <v>0</v>
      </c>
      <c r="Z15" s="163">
        <f t="shared" ref="Z15" si="2">IFERROR(Y15+Z14,"ERRO")</f>
        <v>1</v>
      </c>
    </row>
    <row r="16" spans="2:33">
      <c r="X16" s="160">
        <f>SUMIF(Dados[Liquidez],W16,Dados[Saldo Bruto | Mês Atual])</f>
        <v>0</v>
      </c>
      <c r="Y16" s="161">
        <f t="shared" si="0"/>
        <v>0</v>
      </c>
      <c r="Z16" s="161">
        <f>IFERROR(Y16+Z15,"ERRO")</f>
        <v>1</v>
      </c>
    </row>
    <row r="17" spans="23:26">
      <c r="W17" s="159"/>
      <c r="X17" s="162">
        <f>SUMIF(Dados[Liquidez],W17,Dados[Saldo Bruto | Mês Atual])</f>
        <v>0</v>
      </c>
      <c r="Y17" s="163">
        <f t="shared" ref="Y17:Y23" si="3">IFERROR(X17/$Y$5,"ERRO")</f>
        <v>0</v>
      </c>
      <c r="Z17" s="163">
        <f t="shared" ref="Z17:Z23" si="4">IFERROR(Y17+Z16,"ERRO")</f>
        <v>1</v>
      </c>
    </row>
    <row r="18" spans="23:26">
      <c r="X18" s="160">
        <f>SUMIF(Dados[Liquidez],W18,Dados[Saldo Bruto | Mês Atual])</f>
        <v>0</v>
      </c>
      <c r="Y18" s="161">
        <f t="shared" si="3"/>
        <v>0</v>
      </c>
      <c r="Z18" s="161">
        <f t="shared" si="4"/>
        <v>1</v>
      </c>
    </row>
    <row r="19" spans="23:26">
      <c r="W19" s="159"/>
      <c r="X19" s="162">
        <f>SUMIF(Dados[Liquidez],W19,Dados[Saldo Bruto | Mês Atual])</f>
        <v>0</v>
      </c>
      <c r="Y19" s="163">
        <f t="shared" si="3"/>
        <v>0</v>
      </c>
      <c r="Z19" s="163">
        <f t="shared" si="4"/>
        <v>1</v>
      </c>
    </row>
    <row r="20" spans="23:26">
      <c r="X20" s="160">
        <f>SUMIF(Dados[Liquidez],W20,Dados[Saldo Bruto | Mês Atual])</f>
        <v>0</v>
      </c>
      <c r="Y20" s="161">
        <f t="shared" si="3"/>
        <v>0</v>
      </c>
      <c r="Z20" s="161">
        <f t="shared" si="4"/>
        <v>1</v>
      </c>
    </row>
    <row r="21" spans="23:26">
      <c r="W21" s="159"/>
      <c r="X21" s="162">
        <f>SUMIF(Dados[Liquidez],W21,Dados[Saldo Bruto | Mês Atual])</f>
        <v>0</v>
      </c>
      <c r="Y21" s="163">
        <f t="shared" si="3"/>
        <v>0</v>
      </c>
      <c r="Z21" s="163">
        <f t="shared" si="4"/>
        <v>1</v>
      </c>
    </row>
    <row r="22" spans="23:26">
      <c r="X22" s="160">
        <f>SUMIF(Dados[Liquidez],W22,Dados[Saldo Bruto | Mês Atual])</f>
        <v>0</v>
      </c>
      <c r="Y22" s="161">
        <f t="shared" si="3"/>
        <v>0</v>
      </c>
      <c r="Z22" s="161">
        <f t="shared" si="4"/>
        <v>1</v>
      </c>
    </row>
    <row r="23" spans="23:26">
      <c r="W23" s="159"/>
      <c r="X23" s="162">
        <f>SUMIF(Dados[Liquidez],W23,Dados[Saldo Bruto | Mês Atual])</f>
        <v>0</v>
      </c>
      <c r="Y23" s="163">
        <f t="shared" si="3"/>
        <v>0</v>
      </c>
      <c r="Z23" s="163">
        <f t="shared" si="4"/>
        <v>1</v>
      </c>
    </row>
    <row r="24" spans="23:26">
      <c r="X24" s="160">
        <f>SUMIF(Dados[Liquidez],W24,Dados[Saldo Bruto | Mês Atual])</f>
        <v>0</v>
      </c>
      <c r="Y24" s="161">
        <f t="shared" ref="Y24:Y29" si="5">IFERROR(X24/$Y$5,"ERRO")</f>
        <v>0</v>
      </c>
      <c r="Z24" s="161">
        <f t="shared" ref="Z24:Z29" si="6">IFERROR(Y24+Z23,"ERRO")</f>
        <v>1</v>
      </c>
    </row>
    <row r="25" spans="23:26">
      <c r="W25" s="159"/>
      <c r="X25" s="162">
        <f>SUMIF(Dados[Liquidez],W25,Dados[Saldo Bruto | Mês Atual])</f>
        <v>0</v>
      </c>
      <c r="Y25" s="163">
        <f t="shared" si="5"/>
        <v>0</v>
      </c>
      <c r="Z25" s="163">
        <f t="shared" si="6"/>
        <v>1</v>
      </c>
    </row>
    <row r="26" spans="23:26">
      <c r="X26" s="160">
        <f>SUMIF(Dados[Liquidez],W26,Dados[Saldo Bruto | Mês Atual])</f>
        <v>0</v>
      </c>
      <c r="Y26" s="161">
        <f t="shared" si="5"/>
        <v>0</v>
      </c>
      <c r="Z26" s="161">
        <f t="shared" si="6"/>
        <v>1</v>
      </c>
    </row>
    <row r="27" spans="23:26">
      <c r="W27" s="159"/>
      <c r="X27" s="162">
        <f>SUMIF(Dados[Liquidez],W27,Dados[Saldo Bruto | Mês Atual])</f>
        <v>0</v>
      </c>
      <c r="Y27" s="163">
        <f t="shared" si="5"/>
        <v>0</v>
      </c>
      <c r="Z27" s="163">
        <f t="shared" si="6"/>
        <v>1</v>
      </c>
    </row>
    <row r="28" spans="23:26">
      <c r="X28" s="160">
        <f>SUMIF(Dados[Liquidez],W28,Dados[Saldo Bruto | Mês Atual])</f>
        <v>0</v>
      </c>
      <c r="Y28" s="161">
        <f t="shared" si="5"/>
        <v>0</v>
      </c>
      <c r="Z28" s="161">
        <f t="shared" si="6"/>
        <v>1</v>
      </c>
    </row>
    <row r="29" spans="23:26">
      <c r="W29" s="159"/>
      <c r="X29" s="162">
        <f>SUMIF(Dados[Liquidez],W29,Dados[Saldo Bruto | Mês Atual])</f>
        <v>0</v>
      </c>
      <c r="Y29" s="163">
        <f t="shared" si="5"/>
        <v>0</v>
      </c>
      <c r="Z29" s="163">
        <f t="shared" si="6"/>
        <v>1</v>
      </c>
    </row>
  </sheetData>
  <mergeCells count="9">
    <mergeCell ref="W6:Z6"/>
    <mergeCell ref="AB6:AD6"/>
    <mergeCell ref="K5:K6"/>
    <mergeCell ref="L5:L6"/>
    <mergeCell ref="B5:B6"/>
    <mergeCell ref="C5:C6"/>
    <mergeCell ref="D5:D6"/>
    <mergeCell ref="F5:F6"/>
    <mergeCell ref="H5:H6"/>
  </mergeCells>
  <conditionalFormatting sqref="Y8:Y29">
    <cfRule type="cellIs" dxfId="1" priority="1" operator="equal">
      <formula>0</formula>
    </cfRule>
  </conditionalFormatting>
  <pageMargins left="0.511811024" right="0.511811024" top="0.78740157499999996" bottom="0.78740157499999996" header="0.31496062000000002" footer="0.31496062000000002"/>
  <ignoredErrors>
    <ignoredError sqref="D8 D9:D11" formula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B9CE8-07DD-454E-85F9-EBCC37FBEF03}">
  <sheetPr codeName="Planilha4"/>
  <dimension ref="B2:W41"/>
  <sheetViews>
    <sheetView showGridLines="0" topLeftCell="A7" zoomScaleNormal="100" workbookViewId="0">
      <selection activeCell="F10" sqref="F10:S39"/>
    </sheetView>
  </sheetViews>
  <sheetFormatPr defaultRowHeight="15"/>
  <cols>
    <col min="1" max="1" width="3" customWidth="1"/>
    <col min="5" max="5" width="1.42578125" customWidth="1"/>
    <col min="6" max="6" width="33.7109375" style="219" bestFit="1" customWidth="1"/>
    <col min="7" max="7" width="0.7109375" style="7" customWidth="1"/>
    <col min="8" max="8" width="6.7109375" style="18" customWidth="1"/>
    <col min="9" max="9" width="0.7109375" style="7" customWidth="1"/>
    <col min="10" max="10" width="8.7109375" style="18" customWidth="1"/>
    <col min="11" max="11" width="0.7109375" style="7" customWidth="1"/>
    <col min="12" max="12" width="20.7109375" style="18" customWidth="1"/>
    <col min="13" max="13" width="8.28515625" style="18" customWidth="1"/>
    <col min="14" max="14" width="0.7109375" style="7" customWidth="1"/>
    <col min="15" max="15" width="20.7109375" style="18" customWidth="1"/>
    <col min="16" max="16" width="17.5703125" style="18" customWidth="1"/>
    <col min="17" max="17" width="8.28515625" style="18" customWidth="1"/>
    <col min="18" max="18" width="0.7109375" style="7" customWidth="1"/>
    <col min="19" max="19" width="10.7109375" style="18" customWidth="1"/>
    <col min="21" max="21" width="33.7109375" bestFit="1" customWidth="1"/>
    <col min="23" max="23" width="15.85546875" bestFit="1" customWidth="1"/>
    <col min="24" max="24" width="12.42578125" bestFit="1" customWidth="1"/>
  </cols>
  <sheetData>
    <row r="2" spans="2:19">
      <c r="F2" s="67"/>
      <c r="G2" s="15"/>
      <c r="H2" s="80" t="e">
        <f>_xlfn.XLOOKUP(F2,Dados[Ativo],Dados[Titular])</f>
        <v>#N/A</v>
      </c>
      <c r="I2" s="6"/>
      <c r="J2" s="68" t="e">
        <f>_xlfn.XLOOKUP(F2,Dados[Ativo],Dados[Custódia])</f>
        <v>#N/A</v>
      </c>
      <c r="K2" s="15"/>
      <c r="L2" s="69" t="e">
        <f>_xlfn.XLOOKUP(F2,Dados[Ativo],Dados[Saldo Bruto | Mês Anterior])</f>
        <v>#N/A</v>
      </c>
      <c r="M2" s="70" t="e">
        <f>L2/SUM(Dados[Saldo Bruto | Mês Anterior])</f>
        <v>#N/A</v>
      </c>
      <c r="N2" s="15"/>
      <c r="O2" s="69" t="e">
        <f>_xlfn.XLOOKUP(F2,Dados[Ativo],Dados[Saldo Bruto | Mês Atual])</f>
        <v>#N/A</v>
      </c>
      <c r="P2" s="69" t="e">
        <f>_xlfn.XLOOKUP(F2,Dados[Ativo],Dados[Movimentaçao | Mês Atual])</f>
        <v>#N/A</v>
      </c>
      <c r="Q2" s="70" t="e">
        <f>O2/SUM(Dados[Saldo Bruto | Mês Atual])</f>
        <v>#N/A</v>
      </c>
      <c r="R2" s="15"/>
      <c r="S2" s="71" t="e">
        <f>_xlfn.XLOOKUP(F2,Dados[Ativo],Dados[Performance | Mês Atual])</f>
        <v>#N/A</v>
      </c>
    </row>
    <row r="3" spans="2:19">
      <c r="F3" s="65"/>
      <c r="G3" s="15"/>
      <c r="H3" s="79" t="e">
        <f>_xlfn.XLOOKUP(F3,Dados[Ativo],Dados[Titular])</f>
        <v>#N/A</v>
      </c>
      <c r="I3" s="15"/>
      <c r="J3" s="16" t="e">
        <f>_xlfn.XLOOKUP(F3,Dados[Ativo],Dados[Custódia])</f>
        <v>#N/A</v>
      </c>
      <c r="K3" s="15"/>
      <c r="L3" s="10" t="e">
        <f>_xlfn.XLOOKUP(F3,Dados[Ativo],Dados[Saldo Bruto | Mês Anterior])</f>
        <v>#N/A</v>
      </c>
      <c r="M3" s="66" t="e">
        <f>L3/SUM(Dados[Saldo Bruto | Mês Anterior])</f>
        <v>#N/A</v>
      </c>
      <c r="N3" s="15"/>
      <c r="O3" s="10" t="e">
        <f>_xlfn.XLOOKUP(F3,Dados[Ativo],Dados[Saldo Bruto | Mês Atual])</f>
        <v>#N/A</v>
      </c>
      <c r="P3" s="10" t="e">
        <f>_xlfn.XLOOKUP(F3,Dados[Ativo],Dados[Movimentaçao | Mês Atual])</f>
        <v>#N/A</v>
      </c>
      <c r="Q3" s="66" t="e">
        <f>O3/SUM(Dados[Saldo Bruto | Mês Atual])</f>
        <v>#N/A</v>
      </c>
      <c r="R3" s="15"/>
      <c r="S3" s="13" t="e">
        <f>_xlfn.XLOOKUP(F3,Dados[Ativo],Dados[Performance | Mês Atual])</f>
        <v>#N/A</v>
      </c>
    </row>
    <row r="4" spans="2:19">
      <c r="F4" s="67"/>
      <c r="G4" s="15"/>
      <c r="H4" s="80" t="e">
        <f>_xlfn.XLOOKUP(F4,Dados[Ativo],Dados[Titular])</f>
        <v>#N/A</v>
      </c>
      <c r="I4" s="6"/>
      <c r="J4" s="68" t="e">
        <f>_xlfn.XLOOKUP(F4,Dados[Ativo],Dados[Custódia])</f>
        <v>#N/A</v>
      </c>
      <c r="K4" s="15"/>
      <c r="L4" s="69" t="e">
        <f>_xlfn.XLOOKUP(F4,Dados[Ativo],Dados[Saldo Bruto | Mês Anterior])</f>
        <v>#N/A</v>
      </c>
      <c r="M4" s="70" t="e">
        <f>L4/SUM(Dados[Saldo Bruto | Mês Anterior])</f>
        <v>#N/A</v>
      </c>
      <c r="N4" s="15"/>
      <c r="O4" s="69" t="e">
        <f>_xlfn.XLOOKUP(F4,Dados[Ativo],Dados[Saldo Bruto | Mês Atual])</f>
        <v>#N/A</v>
      </c>
      <c r="P4" s="69" t="e">
        <f>_xlfn.XLOOKUP(F4,Dados[Ativo],Dados[Movimentaçao | Mês Atual])</f>
        <v>#N/A</v>
      </c>
      <c r="Q4" s="70" t="e">
        <f>O4/SUM(Dados[Saldo Bruto | Mês Atual])</f>
        <v>#N/A</v>
      </c>
      <c r="R4" s="15"/>
      <c r="S4" s="71" t="e">
        <f>_xlfn.XLOOKUP(F4,Dados[Ativo],Dados[Performance | Mês Atual])</f>
        <v>#N/A</v>
      </c>
    </row>
    <row r="5" spans="2:19">
      <c r="F5" s="65"/>
      <c r="G5" s="15"/>
      <c r="H5" s="79" t="e">
        <f>_xlfn.XLOOKUP(F5,Dados[Ativo],Dados[Titular])</f>
        <v>#N/A</v>
      </c>
      <c r="I5" s="15"/>
      <c r="J5" s="16" t="e">
        <f>_xlfn.XLOOKUP(F5,Dados[Ativo],Dados[Custódia])</f>
        <v>#N/A</v>
      </c>
      <c r="K5" s="15"/>
      <c r="L5" s="10" t="e">
        <f>_xlfn.XLOOKUP(F5,Dados[Ativo],Dados[Saldo Bruto | Mês Anterior])</f>
        <v>#N/A</v>
      </c>
      <c r="M5" s="66" t="e">
        <f>L5/SUM(Dados[Saldo Bruto | Mês Anterior])</f>
        <v>#N/A</v>
      </c>
      <c r="N5" s="15"/>
      <c r="O5" s="10" t="e">
        <f>_xlfn.XLOOKUP(F5,Dados[Ativo],Dados[Saldo Bruto | Mês Atual])</f>
        <v>#N/A</v>
      </c>
      <c r="P5" s="10" t="e">
        <f>_xlfn.XLOOKUP(F5,Dados[Ativo],Dados[Movimentaçao | Mês Atual])</f>
        <v>#N/A</v>
      </c>
      <c r="Q5" s="66" t="e">
        <f>O5/SUM(Dados[Saldo Bruto | Mês Atual])</f>
        <v>#N/A</v>
      </c>
      <c r="R5" s="15"/>
      <c r="S5" s="13" t="e">
        <f>_xlfn.XLOOKUP(F5,Dados[Ativo],Dados[Performance | Mês Atual])</f>
        <v>#N/A</v>
      </c>
    </row>
    <row r="6" spans="2:19">
      <c r="F6" s="215"/>
      <c r="G6"/>
      <c r="H6"/>
      <c r="I6"/>
      <c r="J6"/>
      <c r="K6"/>
      <c r="L6"/>
      <c r="M6"/>
      <c r="N6"/>
      <c r="O6"/>
      <c r="P6"/>
      <c r="Q6"/>
      <c r="R6"/>
      <c r="S6"/>
    </row>
    <row r="7" spans="2:19">
      <c r="F7" s="216" t="s">
        <v>40</v>
      </c>
    </row>
    <row r="8" spans="2:19">
      <c r="F8" s="217">
        <f>Dados!$A$3</f>
        <v>45444</v>
      </c>
    </row>
    <row r="10" spans="2:19" ht="15.75" thickBot="1">
      <c r="B10" s="236" t="s">
        <v>139</v>
      </c>
      <c r="C10" s="235" t="s">
        <v>138</v>
      </c>
      <c r="D10" s="234" t="s">
        <v>140</v>
      </c>
      <c r="F10" s="237" t="s">
        <v>100</v>
      </c>
      <c r="H10" s="229" t="s">
        <v>99</v>
      </c>
      <c r="J10" s="229" t="s">
        <v>0</v>
      </c>
      <c r="L10" s="73" t="s">
        <v>101</v>
      </c>
      <c r="M10" s="4" t="s">
        <v>74</v>
      </c>
      <c r="O10" s="73" t="s">
        <v>101</v>
      </c>
      <c r="P10" s="229" t="s">
        <v>73</v>
      </c>
      <c r="Q10" s="4" t="s">
        <v>74</v>
      </c>
      <c r="S10" s="73" t="s">
        <v>102</v>
      </c>
    </row>
    <row r="11" spans="2:19" ht="15.75" thickBot="1">
      <c r="B11" s="236"/>
      <c r="C11" s="235"/>
      <c r="D11" s="234"/>
      <c r="F11" s="237"/>
      <c r="H11" s="229"/>
      <c r="J11" s="229"/>
      <c r="L11" s="74">
        <f>EDATE(O11,-1)</f>
        <v>45413</v>
      </c>
      <c r="M11" s="4" t="s">
        <v>103</v>
      </c>
      <c r="O11" s="74">
        <f>$F$8</f>
        <v>45444</v>
      </c>
      <c r="P11" s="229"/>
      <c r="Q11" s="4" t="s">
        <v>103</v>
      </c>
      <c r="S11" s="74">
        <f>$F$8</f>
        <v>45444</v>
      </c>
    </row>
    <row r="12" spans="2:19" ht="15.75" thickTop="1">
      <c r="F12" s="75" t="s">
        <v>51</v>
      </c>
      <c r="G12" s="59"/>
      <c r="H12" s="76"/>
      <c r="I12" s="59"/>
      <c r="J12" s="76"/>
      <c r="K12" s="59"/>
      <c r="L12" s="8">
        <f>SUMIF(Dados[Classe],F12,Dados[Saldo Bruto | Mês Anterior])</f>
        <v>0</v>
      </c>
      <c r="M12" s="77">
        <f>L12/SUM(Dados[Saldo Bruto | Mês Anterior])</f>
        <v>0</v>
      </c>
      <c r="N12" s="59"/>
      <c r="O12" s="8">
        <f>SUMIF(Dados[Classe],F12,Dados[Saldo Bruto | Mês Atual])</f>
        <v>4</v>
      </c>
      <c r="P12" s="8">
        <f>SUMIF(Dados[Classe],F12,Dados[Movimentaçao | Mês Atual])</f>
        <v>0</v>
      </c>
      <c r="Q12" s="77">
        <f>O12/SUM(Dados[Saldo Bruto | Mês Atual])</f>
        <v>9.6618357487922701E-3</v>
      </c>
      <c r="R12" s="60"/>
      <c r="S12" s="9">
        <f>_xlfn.XLOOKUP(F12,Dados[Classe],Dados[Performance Classe])</f>
        <v>0</v>
      </c>
    </row>
    <row r="13" spans="2:19">
      <c r="B13" s="155">
        <f>IFERROR(_xlfn.XLOOKUP(F13,ClasseSubClasse[SubClasse],ClasseSubClasse[Contagem]),"0")</f>
        <v>1</v>
      </c>
      <c r="C13" s="154">
        <v>1</v>
      </c>
      <c r="D13" s="153">
        <v>1</v>
      </c>
      <c r="F13" s="78" t="s">
        <v>41</v>
      </c>
      <c r="G13" s="15"/>
      <c r="H13" s="61"/>
      <c r="I13" s="15"/>
      <c r="J13" s="61"/>
      <c r="K13" s="15"/>
      <c r="L13" s="62">
        <f>SUMIF(Dados[Subclasse],F13,Dados[Saldo Bruto | Mês Anterior])</f>
        <v>0</v>
      </c>
      <c r="M13" s="63">
        <f>L13/SUM(Dados[Saldo Bruto | Mês Anterior])</f>
        <v>0</v>
      </c>
      <c r="N13" s="15"/>
      <c r="O13" s="62">
        <f>SUMIF(Dados[Subclasse],F13,Dados[Saldo Bruto | Mês Atual])</f>
        <v>4</v>
      </c>
      <c r="P13" s="62">
        <f>SUMIF(Dados[Subclasse],F13,Dados[Movimentaçao | Mês Atual])</f>
        <v>0</v>
      </c>
      <c r="Q13" s="63">
        <f>O13/SUM(Dados[Saldo Bruto | Mês Atual])</f>
        <v>9.6618357487922701E-3</v>
      </c>
      <c r="R13" s="15"/>
      <c r="S13" s="64">
        <f>_xlfn.XLOOKUP(F13,Dados[Subclasse],Dados[Performance SubClasse])</f>
        <v>0</v>
      </c>
    </row>
    <row r="14" spans="2:19">
      <c r="F14" s="65" t="str" cm="1">
        <f t="array" ref="F14">_xlfn.SORTBY(_xlfn._xlws.FILTER(Dados[Ativo],(Dados[Subclasse]=F13)),_xlfn._xlws.FILTER(Dados[Saldo Bruto | Mês Atual],(Dados[Subclasse]=F13)),C13)</f>
        <v>Conta Corrente - BTG</v>
      </c>
      <c r="G14" s="15"/>
      <c r="H14" s="79" t="str">
        <f>_xlfn.XLOOKUP(F14,Dados[Ativo],Dados[Titular])</f>
        <v>AD</v>
      </c>
      <c r="I14" s="15"/>
      <c r="J14" s="16" t="str">
        <f>_xlfn.XLOOKUP(F14,Dados[Ativo],Dados[Custódia])</f>
        <v>BTG</v>
      </c>
      <c r="K14" s="15"/>
      <c r="L14" s="10">
        <f>_xlfn.XLOOKUP(F14,Dados[Ativo],Dados[Saldo Bruto | Mês Anterior])</f>
        <v>0</v>
      </c>
      <c r="M14" s="66">
        <f>L14/SUM(Dados[Saldo Bruto | Mês Anterior])</f>
        <v>0</v>
      </c>
      <c r="N14" s="15"/>
      <c r="O14" s="10">
        <f>_xlfn.XLOOKUP(F14,Dados[Ativo],Dados[Saldo Bruto | Mês Atual])</f>
        <v>4</v>
      </c>
      <c r="P14" s="10">
        <f>_xlfn.XLOOKUP(F14,Dados[Ativo],Dados[Movimentaçao | Mês Atual])</f>
        <v>0</v>
      </c>
      <c r="Q14" s="66">
        <f>O14/SUM(Dados[Saldo Bruto | Mês Atual])</f>
        <v>9.6618357487922701E-3</v>
      </c>
      <c r="R14" s="15"/>
      <c r="S14" s="13" t="str">
        <f>_xlfn.XLOOKUP(F14,Dados[Ativo],Dados[Performance | Mês Atual])</f>
        <v>0,00%</v>
      </c>
    </row>
    <row r="15" spans="2:19" ht="4.5" customHeight="1" thickBot="1">
      <c r="F15" s="218"/>
      <c r="G15" s="15"/>
      <c r="H15" s="81"/>
      <c r="I15" s="15"/>
      <c r="J15" s="81"/>
      <c r="K15" s="15"/>
      <c r="L15" s="81"/>
      <c r="M15" s="82"/>
      <c r="N15" s="15"/>
      <c r="O15" s="81"/>
      <c r="P15" s="81"/>
      <c r="Q15" s="82"/>
      <c r="R15" s="15"/>
      <c r="S15" s="81"/>
    </row>
    <row r="16" spans="2:19" ht="15.75" thickTop="1">
      <c r="F16" s="75" t="s">
        <v>194</v>
      </c>
      <c r="G16" s="59"/>
      <c r="H16" s="76"/>
      <c r="I16" s="59"/>
      <c r="J16" s="76"/>
      <c r="K16" s="59"/>
      <c r="L16" s="8">
        <f>SUMIF(Dados[Classe],F16,Dados[Saldo Bruto | Mês Anterior])</f>
        <v>196.27</v>
      </c>
      <c r="M16" s="77">
        <f>L16/SUM(Dados[Saldo Bruto | Mês Anterior])</f>
        <v>4.6511694040403352E-3</v>
      </c>
      <c r="N16" s="59"/>
      <c r="O16" s="8">
        <f>SUMIF(Dados[Classe],F16,Dados[Saldo Bruto | Mês Atual])</f>
        <v>100</v>
      </c>
      <c r="P16" s="8">
        <f>SUMIF(Dados[Classe],F16,Dados[Movimentaçao | Mês Atual])</f>
        <v>-0.01</v>
      </c>
      <c r="Q16" s="77">
        <f>O16/SUM(Dados[Saldo Bruto | Mês Atual])</f>
        <v>0.24154589371980675</v>
      </c>
      <c r="R16" s="60"/>
      <c r="S16" s="9">
        <f>_xlfn.XLOOKUP(F16,Dados[Classe],Dados[Performance Classe])</f>
        <v>-0.49044683344372553</v>
      </c>
    </row>
    <row r="17" spans="2:23">
      <c r="B17" s="155">
        <f>IFERROR(_xlfn.XLOOKUP(F17,ClasseSubClasse[SubClasse],ClasseSubClasse[Contagem]),"0")</f>
        <v>1</v>
      </c>
      <c r="C17" s="154">
        <v>1</v>
      </c>
      <c r="D17" s="153">
        <v>1</v>
      </c>
      <c r="F17" s="78" t="s">
        <v>52</v>
      </c>
      <c r="G17" s="15"/>
      <c r="H17" s="61"/>
      <c r="I17" s="15"/>
      <c r="J17" s="61"/>
      <c r="K17" s="15"/>
      <c r="L17" s="62">
        <f>SUMIF(Dados[Subclasse],F17,Dados[Saldo Bruto | Mês Anterior])</f>
        <v>196.27</v>
      </c>
      <c r="M17" s="63">
        <f>L17/SUM(Dados[Saldo Bruto | Mês Anterior])</f>
        <v>4.6511694040403352E-3</v>
      </c>
      <c r="N17" s="15"/>
      <c r="O17" s="62">
        <f>SUMIF(Dados[Subclasse],F17,Dados[Saldo Bruto | Mês Atual])</f>
        <v>100</v>
      </c>
      <c r="P17" s="62">
        <f>SUMIF(Dados[Subclasse],F17,Dados[Movimentaçao | Mês Atual])</f>
        <v>-0.01</v>
      </c>
      <c r="Q17" s="63">
        <f>O17/SUM(Dados[Saldo Bruto | Mês Atual])</f>
        <v>0.24154589371980675</v>
      </c>
      <c r="R17" s="15"/>
      <c r="S17" s="64">
        <f>_xlfn.XLOOKUP(F17,Dados[Subclasse],Dados[Performance SubClasse])</f>
        <v>-0.49044683344372553</v>
      </c>
    </row>
    <row r="18" spans="2:23">
      <c r="F18" s="83" t="str" cm="1">
        <f t="array" ref="F18">INDEX(_xlfn.SORTBY(_xlfn._xlws.FILTER(Dados[Ativo],(Dados[Subclasse]=F17)*(Dados[Lista?]=TRUE)),_xlfn._xlws.FILTER(Dados[Saldo Bruto | Mês Atual],(Dados[Subclasse]=F17)*(Dados[Lista?]=TRUE)),C17),_xlfn.SEQUENCE(D17))</f>
        <v>BTG CDB Plus FI RF CP</v>
      </c>
      <c r="G18" s="15"/>
      <c r="H18" s="221" t="str">
        <f>_xlfn.XLOOKUP(F18,Dados[Ativo],Dados[Titular])</f>
        <v>AD</v>
      </c>
      <c r="I18" s="15"/>
      <c r="J18" s="139" t="str">
        <f>_xlfn.XLOOKUP(F18,Dados[Ativo],Dados[Custódia])</f>
        <v>BTG</v>
      </c>
      <c r="K18" s="15"/>
      <c r="L18" s="11">
        <f>_xlfn.XLOOKUP(F18,Dados[Ativo],Dados[Saldo Bruto | Mês Anterior])</f>
        <v>196.27</v>
      </c>
      <c r="M18" s="222">
        <f>L18/SUM(Dados[Saldo Bruto | Mês Anterior])</f>
        <v>4.6511694040403352E-3</v>
      </c>
      <c r="N18" s="15"/>
      <c r="O18" s="11">
        <f>_xlfn.XLOOKUP(F18,Dados[Ativo],Dados[Saldo Bruto | Mês Atual])</f>
        <v>100</v>
      </c>
      <c r="P18" s="11">
        <f>_xlfn.XLOOKUP(F18,Dados[Ativo],Dados[Movimentaçao | Mês Atual])</f>
        <v>-0.01</v>
      </c>
      <c r="Q18" s="222">
        <f>O18/SUM(Dados[Saldo Bruto | Mês Atual])</f>
        <v>0.24154589371980675</v>
      </c>
      <c r="R18" s="15"/>
      <c r="S18" s="149">
        <f>_xlfn.XLOOKUP(F18,Dados[Ativo],Dados[Performance | Mês Atual])</f>
        <v>-0.49044683344372553</v>
      </c>
    </row>
    <row r="19" spans="2:23" ht="4.5" customHeight="1" thickBot="1">
      <c r="F19" s="218"/>
      <c r="G19" s="15"/>
      <c r="H19" s="81"/>
      <c r="I19" s="15"/>
      <c r="J19" s="81"/>
      <c r="K19" s="15"/>
      <c r="L19" s="81"/>
      <c r="M19" s="82"/>
      <c r="N19" s="15"/>
      <c r="O19" s="81"/>
      <c r="P19" s="81"/>
      <c r="Q19" s="82"/>
      <c r="R19" s="15"/>
      <c r="S19" s="81"/>
    </row>
    <row r="20" spans="2:23" ht="15.75" thickTop="1">
      <c r="F20" s="75" t="s">
        <v>56</v>
      </c>
      <c r="G20" s="59"/>
      <c r="H20" s="76"/>
      <c r="I20" s="59"/>
      <c r="J20" s="76"/>
      <c r="K20" s="59"/>
      <c r="L20" s="8">
        <f>SUMIF(Dados[Classe],F20,Dados[Saldo Bruto | Mês Anterior])</f>
        <v>42001.72</v>
      </c>
      <c r="M20" s="77">
        <f>L20/SUM(Dados[Saldo Bruto | Mês Anterior])</f>
        <v>0.99534883059595969</v>
      </c>
      <c r="N20" s="59"/>
      <c r="O20" s="8">
        <f>SUMIF(Dados[Classe],F20,Dados[Saldo Bruto | Mês Atual])</f>
        <v>310</v>
      </c>
      <c r="P20" s="8">
        <f>SUMIF(Dados[Classe],F20,Dados[Movimentaçao | Mês Atual])</f>
        <v>-0.01</v>
      </c>
      <c r="Q20" s="77">
        <f>O20/SUM(Dados[Saldo Bruto | Mês Atual])</f>
        <v>0.74879227053140096</v>
      </c>
      <c r="R20" s="60"/>
      <c r="S20" s="9">
        <f>_xlfn.XLOOKUP(F20,Dados[Classe],Dados[Performance Classe])</f>
        <v>7.5859970359700188</v>
      </c>
    </row>
    <row r="21" spans="2:23">
      <c r="B21" s="155">
        <f>IFERROR(_xlfn.XLOOKUP(F21,ClasseSubClasse[SubClasse],ClasseSubClasse[Contagem]),"0")</f>
        <v>1</v>
      </c>
      <c r="C21" s="154">
        <v>1</v>
      </c>
      <c r="D21" s="153">
        <v>1</v>
      </c>
      <c r="F21" s="78" t="s">
        <v>175</v>
      </c>
      <c r="G21" s="15"/>
      <c r="H21" s="61"/>
      <c r="I21" s="15"/>
      <c r="J21" s="61"/>
      <c r="K21" s="15"/>
      <c r="L21" s="62">
        <f>SUMIF(Dados[Subclasse],F21,Dados[Saldo Bruto | Mês Anterior])</f>
        <v>41305</v>
      </c>
      <c r="M21" s="63">
        <f>L21/SUM(Dados[Saldo Bruto | Mês Anterior])</f>
        <v>0.97883809157734769</v>
      </c>
      <c r="N21" s="15"/>
      <c r="O21" s="62">
        <f>SUMIF(Dados[Subclasse],F21,Dados[Saldo Bruto | Mês Atual])</f>
        <v>60</v>
      </c>
      <c r="P21" s="62">
        <f>SUMIF(Dados[Subclasse],F21,Dados[Movimentaçao | Mês Atual])</f>
        <v>-0.01</v>
      </c>
      <c r="Q21" s="63">
        <f>O21/SUM(Dados[Saldo Bruto | Mês Atual])</f>
        <v>0.14492753623188406</v>
      </c>
      <c r="R21" s="15"/>
      <c r="S21" s="64">
        <f>_xlfn.XLOOKUP(F21,Dados[Subclasse],Dados[Performance SubClasse])</f>
        <v>-0.99854714925553811</v>
      </c>
    </row>
    <row r="22" spans="2:23">
      <c r="F22" s="65" t="str" cm="1">
        <f t="array" ref="F22">INDEX(_xlfn.SORTBY(_xlfn._xlws.FILTER(Dados[Ativo],(Dados[Subclasse]=F21)*(Dados[Lista?]=TRUE)),_xlfn._xlws.FILTER(Dados[Saldo Bruto | Mês Atual],(Dados[Subclasse]=F21)*(Dados[Lista?]=TRUE)),C21),_xlfn.SEQUENCE(D21))</f>
        <v>WEGE3 Smart Hedge 07/24</v>
      </c>
      <c r="G22" s="15"/>
      <c r="H22" s="79" t="str">
        <f>_xlfn.XLOOKUP(F22,Dados[Ativo],Dados[Titular])</f>
        <v>AD</v>
      </c>
      <c r="I22" s="15"/>
      <c r="J22" s="16" t="str">
        <f>_xlfn.XLOOKUP(F22,Dados[Ativo],Dados[Custódia])</f>
        <v>BTG</v>
      </c>
      <c r="K22" s="15"/>
      <c r="L22" s="10">
        <f>_xlfn.XLOOKUP(F22,Dados[Ativo],Dados[Saldo Bruto | Mês Anterior])</f>
        <v>41305</v>
      </c>
      <c r="M22" s="66">
        <f>L22/SUM(Dados[Saldo Bruto | Mês Anterior])</f>
        <v>0.97883809157734769</v>
      </c>
      <c r="N22" s="15"/>
      <c r="O22" s="10">
        <f>_xlfn.XLOOKUP(F22,Dados[Ativo],Dados[Saldo Bruto | Mês Atual])</f>
        <v>60</v>
      </c>
      <c r="P22" s="10">
        <f>_xlfn.XLOOKUP(F22,Dados[Ativo],Dados[Movimentaçao | Mês Atual])</f>
        <v>-0.01</v>
      </c>
      <c r="Q22" s="66">
        <f>O22/SUM(Dados[Saldo Bruto | Mês Atual])</f>
        <v>0.14492753623188406</v>
      </c>
      <c r="R22" s="15"/>
      <c r="S22" s="13">
        <f>_xlfn.XLOOKUP(F22,Dados[Ativo],Dados[Performance | Mês Atual])</f>
        <v>-0.99854714925553811</v>
      </c>
    </row>
    <row r="23" spans="2:23" ht="4.5" customHeight="1">
      <c r="F23" s="218"/>
      <c r="G23" s="15"/>
      <c r="H23" s="81"/>
      <c r="I23" s="15"/>
      <c r="J23" s="81"/>
      <c r="K23" s="15"/>
      <c r="L23" s="81"/>
      <c r="M23" s="82"/>
      <c r="N23" s="15"/>
      <c r="O23" s="81"/>
      <c r="P23" s="81"/>
      <c r="Q23" s="82"/>
      <c r="R23" s="15"/>
      <c r="S23" s="81"/>
    </row>
    <row r="24" spans="2:23">
      <c r="B24" s="155">
        <f>IFERROR(_xlfn.XLOOKUP(F24,ClasseSubClasse[SubClasse],ClasseSubClasse[Contagem]),"0")</f>
        <v>2</v>
      </c>
      <c r="C24" s="154">
        <v>1</v>
      </c>
      <c r="D24" s="153">
        <v>2</v>
      </c>
      <c r="F24" s="78" t="s">
        <v>55</v>
      </c>
      <c r="G24" s="15"/>
      <c r="H24" s="61"/>
      <c r="I24" s="15"/>
      <c r="J24" s="61"/>
      <c r="K24" s="15"/>
      <c r="L24" s="62">
        <f>SUMIF(Dados[Subclasse],F24,Dados[Saldo Bruto | Mês Anterior])</f>
        <v>696.72</v>
      </c>
      <c r="M24" s="63">
        <f>L24/SUM(Dados[Saldo Bruto | Mês Anterior])</f>
        <v>1.6510739018612025E-2</v>
      </c>
      <c r="N24" s="15"/>
      <c r="O24" s="62">
        <f>SUMIF(Dados[Subclasse],F24,Dados[Saldo Bruto | Mês Atual])</f>
        <v>250</v>
      </c>
      <c r="P24" s="62">
        <f>SUMIF(Dados[Subclasse],F24,Dados[Movimentaçao | Mês Atual])</f>
        <v>0</v>
      </c>
      <c r="Q24" s="63">
        <f>O24/SUM(Dados[Saldo Bruto | Mês Atual])</f>
        <v>0.60386473429951693</v>
      </c>
      <c r="R24" s="15"/>
      <c r="S24" s="64">
        <f>_xlfn.XLOOKUP(F24,Dados[Subclasse],Dados[Performance SubClasse])</f>
        <v>9.6466310221915617</v>
      </c>
    </row>
    <row r="25" spans="2:23">
      <c r="F25" s="83" t="str" cm="1">
        <f t="array" ref="F25:F26">INDEX(_xlfn.SORTBY(_xlfn._xlws.FILTER(Dados[Ativo],(Dados[Subclasse]=F24)*(Dados[Lista?]=TRUE)),_xlfn._xlws.FILTER(Dados[Saldo Bruto | Mês Atual],(Dados[Subclasse]=F24)*(Dados[Lista?]=TRUE)),C24),_xlfn.SEQUENCE(D24))</f>
        <v>Call Vendida WEGE3 07/24</v>
      </c>
      <c r="G25" s="15"/>
      <c r="H25" s="221" t="str">
        <f>_xlfn.XLOOKUP(F25,Dados[Ativo],Dados[Titular])</f>
        <v>AD</v>
      </c>
      <c r="I25" s="15"/>
      <c r="J25" s="139" t="str">
        <f>_xlfn.XLOOKUP(F25,Dados[Ativo],Dados[Custódia])</f>
        <v>BTG</v>
      </c>
      <c r="K25" s="15"/>
      <c r="L25" s="11">
        <f>_xlfn.XLOOKUP(F25,Dados[Ativo],Dados[Saldo Bruto | Mês Anterior])</f>
        <v>0.96</v>
      </c>
      <c r="M25" s="222">
        <f>L25/SUM(Dados[Saldo Bruto | Mês Anterior])</f>
        <v>2.2749898751101653E-5</v>
      </c>
      <c r="N25" s="15"/>
      <c r="O25" s="11">
        <f>_xlfn.XLOOKUP(F25,Dados[Ativo],Dados[Saldo Bruto | Mês Atual])</f>
        <v>50</v>
      </c>
      <c r="P25" s="11">
        <f>_xlfn.XLOOKUP(F25,Dados[Ativo],Dados[Movimentaçao | Mês Atual])</f>
        <v>0</v>
      </c>
      <c r="Q25" s="222">
        <f>O25/SUM(Dados[Saldo Bruto | Mês Atual])</f>
        <v>0.12077294685990338</v>
      </c>
      <c r="R25" s="15"/>
      <c r="S25" s="149">
        <f>_xlfn.XLOOKUP(F25,Dados[Ativo],Dados[Performance | Mês Atual])</f>
        <v>51.083333333333336</v>
      </c>
    </row>
    <row r="26" spans="2:23">
      <c r="F26" s="65" t="str">
        <v>Put Comprada WEGE3 07/24</v>
      </c>
      <c r="G26" s="15"/>
      <c r="H26" s="79" t="str">
        <f>_xlfn.XLOOKUP(F26,Dados[Ativo],Dados[Titular])</f>
        <v>AD</v>
      </c>
      <c r="I26" s="15"/>
      <c r="J26" s="16" t="str">
        <f>_xlfn.XLOOKUP(F26,Dados[Ativo],Dados[Custódia])</f>
        <v>BTG</v>
      </c>
      <c r="K26" s="15"/>
      <c r="L26" s="10">
        <f>_xlfn.XLOOKUP(F26,Dados[Ativo],Dados[Saldo Bruto | Mês Anterior])</f>
        <v>695.76</v>
      </c>
      <c r="M26" s="66">
        <f>L26/SUM(Dados[Saldo Bruto | Mês Anterior])</f>
        <v>1.6487989119860921E-2</v>
      </c>
      <c r="N26" s="15"/>
      <c r="O26" s="10">
        <f>_xlfn.XLOOKUP(F26,Dados[Ativo],Dados[Saldo Bruto | Mês Atual])</f>
        <v>200</v>
      </c>
      <c r="P26" s="10">
        <f>_xlfn.XLOOKUP(F26,Dados[Ativo],Dados[Movimentaçao | Mês Atual])</f>
        <v>0</v>
      </c>
      <c r="Q26" s="66">
        <f>O26/SUM(Dados[Saldo Bruto | Mês Atual])</f>
        <v>0.48309178743961351</v>
      </c>
      <c r="R26" s="15"/>
      <c r="S26" s="13">
        <f>_xlfn.XLOOKUP(F26,Dados[Ativo],Dados[Performance | Mês Atual])</f>
        <v>-0.71254455559388297</v>
      </c>
    </row>
    <row r="27" spans="2:23" ht="4.5" customHeight="1">
      <c r="F27" s="218"/>
      <c r="G27" s="15"/>
      <c r="H27" s="81"/>
      <c r="I27" s="15"/>
      <c r="J27" s="81"/>
      <c r="K27" s="15"/>
      <c r="L27" s="81"/>
      <c r="M27" s="82"/>
      <c r="N27" s="15"/>
      <c r="O27" s="81"/>
      <c r="P27" s="81"/>
      <c r="Q27" s="82"/>
      <c r="R27" s="15"/>
      <c r="S27" s="81"/>
    </row>
    <row r="28" spans="2:23">
      <c r="F28" s="84" t="s">
        <v>79</v>
      </c>
      <c r="H28" s="84"/>
      <c r="J28" s="84"/>
      <c r="K28" s="88"/>
      <c r="L28" s="85">
        <f>SUM(Dados[Saldo Bruto | Mês Anterior])</f>
        <v>42197.99</v>
      </c>
      <c r="M28" s="86">
        <v>1</v>
      </c>
      <c r="O28" s="85">
        <f>SUM(Dados[Saldo Bruto | Mês Atual])</f>
        <v>414</v>
      </c>
      <c r="P28" s="85">
        <f>SUM(Dados[Movimentaçao | Mês Atual])</f>
        <v>-0.02</v>
      </c>
      <c r="Q28" s="86">
        <v>1</v>
      </c>
      <c r="S28" s="87">
        <f>_xlfn.XLOOKUP($S$11,TabelaHistóricoDados[Mês],TabelaHistóricoDados[Performance Carteira])</f>
        <v>0.1052</v>
      </c>
      <c r="U28" s="192">
        <f>L28+L28*S28+P28</f>
        <v>46637.198548</v>
      </c>
      <c r="W28" s="126">
        <f>((SUM(Dados[Saldo Bruto | Mês Anterior])))*(1+_xlfn.XLOOKUP($S$11,TabelaHistóricoDados[Mês],TabelaHistóricoDados[Performance Carteira]))+(SUM(Dados[Movimentaçao | Mês Atual]))</f>
        <v>46637.198548</v>
      </c>
    </row>
    <row r="30" spans="2:23">
      <c r="G30"/>
      <c r="H30"/>
      <c r="U30" s="127" t="s">
        <v>176</v>
      </c>
    </row>
    <row r="31" spans="2:23">
      <c r="G31"/>
      <c r="H31"/>
      <c r="U31" s="157" t="s">
        <v>51</v>
      </c>
    </row>
    <row r="32" spans="2:23">
      <c r="G32"/>
      <c r="H32"/>
      <c r="U32" s="190" t="s">
        <v>41</v>
      </c>
    </row>
    <row r="33" spans="6:21">
      <c r="G33"/>
      <c r="H33"/>
      <c r="U33" s="157" t="s">
        <v>56</v>
      </c>
    </row>
    <row r="34" spans="6:21">
      <c r="G34"/>
      <c r="H34"/>
      <c r="U34" s="190" t="s">
        <v>55</v>
      </c>
    </row>
    <row r="35" spans="6:21">
      <c r="G35"/>
      <c r="H35"/>
      <c r="U35" s="190" t="s">
        <v>175</v>
      </c>
    </row>
    <row r="36" spans="6:21">
      <c r="F36" s="215"/>
      <c r="G36"/>
      <c r="H36"/>
      <c r="U36" s="157" t="s">
        <v>194</v>
      </c>
    </row>
    <row r="37" spans="6:21">
      <c r="F37" s="215"/>
      <c r="G37"/>
      <c r="H37"/>
      <c r="U37" s="190" t="s">
        <v>52</v>
      </c>
    </row>
    <row r="38" spans="6:21">
      <c r="F38" s="215"/>
      <c r="G38"/>
      <c r="H38"/>
      <c r="U38" s="157" t="s">
        <v>118</v>
      </c>
    </row>
    <row r="39" spans="6:21">
      <c r="F39" s="215"/>
      <c r="G39"/>
      <c r="H39"/>
    </row>
    <row r="40" spans="6:21">
      <c r="F40" s="215"/>
      <c r="G40"/>
      <c r="H40"/>
    </row>
    <row r="41" spans="6:21">
      <c r="F41" s="215"/>
      <c r="G41"/>
      <c r="H41"/>
    </row>
  </sheetData>
  <mergeCells count="7">
    <mergeCell ref="P10:P11"/>
    <mergeCell ref="D10:D11"/>
    <mergeCell ref="C10:C11"/>
    <mergeCell ref="B10:B11"/>
    <mergeCell ref="F10:F11"/>
    <mergeCell ref="H10:H11"/>
    <mergeCell ref="J10:J11"/>
  </mergeCells>
  <conditionalFormatting sqref="F12 H12 J12 L12:M12 O12:Q12 S12">
    <cfRule type="expression" dxfId="0" priority="2">
      <formula>$A$12=-1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FC3DE-92CB-4453-B91F-5318C7D4B87D}">
  <sheetPr codeName="Planilha6"/>
  <dimension ref="A2:N9"/>
  <sheetViews>
    <sheetView showGridLines="0" workbookViewId="0">
      <selection activeCell="M21" sqref="M21"/>
    </sheetView>
  </sheetViews>
  <sheetFormatPr defaultRowHeight="15"/>
  <cols>
    <col min="4" max="4" width="45.7109375" customWidth="1"/>
    <col min="5" max="5" width="25.7109375" customWidth="1"/>
    <col min="6" max="6" width="0.7109375" customWidth="1"/>
    <col min="7" max="7" width="15.7109375" style="18" customWidth="1"/>
    <col min="8" max="9" width="10.7109375" style="18" customWidth="1"/>
    <col min="10" max="10" width="0.7109375" customWidth="1"/>
    <col min="11" max="12" width="20.7109375" style="29" customWidth="1"/>
    <col min="13" max="13" width="15.7109375" style="198" customWidth="1"/>
    <col min="14" max="14" width="15.7109375" style="19" customWidth="1"/>
  </cols>
  <sheetData>
    <row r="2" spans="1:14" s="201" customFormat="1" ht="16.5">
      <c r="A2" s="204" t="s">
        <v>182</v>
      </c>
      <c r="B2" s="206">
        <f ca="1">(TODAY())-WORKDAY(DATE(YEAR(TODAY()),MONTH(TODAY()),1),-1)</f>
        <v>7</v>
      </c>
      <c r="D2" s="200" t="s">
        <v>79</v>
      </c>
      <c r="E2" s="200"/>
      <c r="G2" s="200"/>
      <c r="H2" s="200"/>
      <c r="I2" s="200"/>
      <c r="K2" s="203">
        <f>SUM(Dados[Saldo Atualizado])</f>
        <v>414.03948000000003</v>
      </c>
      <c r="L2" s="203">
        <f>SUM(Dados[Movimentações Atualizadas])</f>
        <v>0</v>
      </c>
      <c r="M2" s="200"/>
      <c r="N2" s="202">
        <f>SUMPRODUCT(Dados[Performance Atualizado],Dados[Peso Corrigido Atualizado])</f>
        <v>9.5390871189391995E-5</v>
      </c>
    </row>
    <row r="3" spans="1:14">
      <c r="A3" s="205" t="s">
        <v>82</v>
      </c>
      <c r="B3" s="123">
        <v>2E-3</v>
      </c>
    </row>
    <row r="4" spans="1:14" ht="15.75" thickBot="1">
      <c r="A4" s="204" t="s">
        <v>81</v>
      </c>
      <c r="B4" s="207">
        <v>2.8999999999999998E-3</v>
      </c>
      <c r="D4" s="199" t="s">
        <v>6</v>
      </c>
      <c r="E4" s="199" t="s">
        <v>43</v>
      </c>
      <c r="G4" s="199" t="s">
        <v>9</v>
      </c>
      <c r="H4" s="199" t="s">
        <v>0</v>
      </c>
      <c r="I4" s="199" t="s">
        <v>99</v>
      </c>
      <c r="K4" s="199" t="s">
        <v>101</v>
      </c>
      <c r="L4" s="199" t="s">
        <v>184</v>
      </c>
      <c r="M4" s="199" t="s">
        <v>172</v>
      </c>
      <c r="N4" s="199" t="s">
        <v>102</v>
      </c>
    </row>
    <row r="5" spans="1:14">
      <c r="D5" t="str" cm="1">
        <f t="array" ref="D5:D9">_xlfn.SORTBY(Dados[Ativo],Dados[Nomenclatura Classe],1)</f>
        <v>Conta Corrente - BTG</v>
      </c>
      <c r="E5" t="str" cm="1">
        <f t="array" ref="E5:E9">_xlfn.SORTBY(Dados[Nomenclatura Classe],Dados[Nomenclatura Classe],1)</f>
        <v>Conta Corrente</v>
      </c>
      <c r="G5" s="18" t="str" cm="1">
        <f t="array" ref="G5:G9">_xlfn.SORTBY(Dados[Liquidez],Dados[Nomenclatura Classe],1)</f>
        <v>D+0</v>
      </c>
      <c r="H5" s="18" t="str" cm="1">
        <f t="array" ref="H5:H9">_xlfn.SORTBY(Dados[Custódia],Dados[Nomenclatura Classe],1)</f>
        <v>BTG</v>
      </c>
      <c r="I5" s="18" t="str" cm="1">
        <f t="array" ref="I5:I9">_xlfn.SORTBY(Dados[Titular],Dados[Nomenclatura Classe],1)</f>
        <v>AD</v>
      </c>
      <c r="K5" s="29" cm="1">
        <f t="array" ref="K5:K9">_xlfn.SORTBY(Dados[Saldo Atualizado],Dados[Nomenclatura Classe],1)</f>
        <v>4</v>
      </c>
      <c r="L5" s="29" cm="1">
        <f t="array" ref="L5:L9">_xlfn.SORTBY(Dados[Movimentações Atualizadas],Dados[Nomenclatura Classe],1)</f>
        <v>0</v>
      </c>
      <c r="M5" s="198" cm="1">
        <f t="array" ref="M5:M9">_xlfn.SORTBY(Dados[Peso Atualizado],Dados[Nomenclatura Classe],1)</f>
        <v>9.6609144615870928E-3</v>
      </c>
      <c r="N5" s="19" cm="1">
        <f t="array" ref="N5:N9">_xlfn.SORTBY(Dados[Performance Atualizado],Dados[Nomenclatura Classe],1)</f>
        <v>0</v>
      </c>
    </row>
    <row r="6" spans="1:14">
      <c r="D6" t="str">
        <v>BTG CDB Plus FI RF CP</v>
      </c>
      <c r="E6" t="str">
        <v>Fundos - Renda Fixa</v>
      </c>
      <c r="G6" s="18" t="str">
        <v>D+0</v>
      </c>
      <c r="H6" s="18" t="str">
        <v>BTG</v>
      </c>
      <c r="I6" s="18" t="str">
        <v>AD</v>
      </c>
      <c r="K6" s="29">
        <v>100.03948</v>
      </c>
      <c r="L6" s="29">
        <v>0</v>
      </c>
      <c r="M6" s="198">
        <v>0.24161821476541318</v>
      </c>
      <c r="N6" s="19">
        <v>3.9480000000002846E-4</v>
      </c>
    </row>
    <row r="7" spans="1:14">
      <c r="D7" t="str">
        <v>Call Vendida WEGE3 07/24</v>
      </c>
      <c r="E7" t="str">
        <v>Opções - Derivativos</v>
      </c>
      <c r="G7" s="18">
        <v>2024</v>
      </c>
      <c r="H7" s="18" t="str">
        <v>BTG</v>
      </c>
      <c r="I7" s="18" t="str">
        <v>AD</v>
      </c>
      <c r="K7" s="29">
        <v>50</v>
      </c>
      <c r="L7" s="29">
        <v>0</v>
      </c>
      <c r="M7" s="198">
        <v>0.12076143076983865</v>
      </c>
      <c r="N7" s="19">
        <v>0</v>
      </c>
    </row>
    <row r="8" spans="1:14">
      <c r="D8" t="str">
        <v>Put Comprada WEGE3 07/24</v>
      </c>
      <c r="E8" t="str">
        <v>Opções - Derivativos</v>
      </c>
      <c r="G8" s="18">
        <v>2024</v>
      </c>
      <c r="H8" s="18" t="str">
        <v>BTG</v>
      </c>
      <c r="I8" s="18" t="str">
        <v>AD</v>
      </c>
      <c r="K8" s="29">
        <v>200</v>
      </c>
      <c r="L8" s="29">
        <v>0</v>
      </c>
      <c r="M8" s="198">
        <v>0.48304572307935462</v>
      </c>
      <c r="N8" s="19">
        <v>0</v>
      </c>
    </row>
    <row r="9" spans="1:14">
      <c r="D9" t="str">
        <v>WEGE3 Smart Hedge 07/24</v>
      </c>
      <c r="E9" t="str">
        <v>Opções - Estruturado</v>
      </c>
      <c r="G9" s="18">
        <v>2024</v>
      </c>
      <c r="H9" s="18" t="str">
        <v>BTG</v>
      </c>
      <c r="I9" s="18" t="str">
        <v>AD</v>
      </c>
      <c r="K9" s="29">
        <v>60</v>
      </c>
      <c r="L9" s="29">
        <v>0</v>
      </c>
      <c r="M9" s="198">
        <v>0.14491371692380639</v>
      </c>
      <c r="N9" s="19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DBE9-CCE7-4C42-84E9-8DCCAC21BB39}">
  <sheetPr codeName="Planilha7"/>
  <dimension ref="A1:CB28"/>
  <sheetViews>
    <sheetView tabSelected="1" zoomScale="115" zoomScaleNormal="115" workbookViewId="0">
      <pane xSplit="2" topLeftCell="AC1" activePane="topRight" state="frozen"/>
      <selection pane="topRight" activeCell="AV9" sqref="AV9"/>
    </sheetView>
  </sheetViews>
  <sheetFormatPr defaultRowHeight="15"/>
  <cols>
    <col min="1" max="1" width="23" style="50" customWidth="1"/>
    <col min="2" max="2" width="29.42578125" style="50" bestFit="1" customWidth="1"/>
    <col min="3" max="3" width="8.5703125" style="50" bestFit="1" customWidth="1"/>
    <col min="4" max="4" width="9.85546875" style="50" bestFit="1" customWidth="1"/>
    <col min="5" max="5" width="11.28515625" bestFit="1" customWidth="1"/>
    <col min="6" max="6" width="11.85546875" bestFit="1" customWidth="1"/>
    <col min="7" max="7" width="14.28515625" bestFit="1" customWidth="1"/>
    <col min="8" max="8" width="19.28515625" bestFit="1" customWidth="1"/>
    <col min="9" max="9" width="13.85546875" style="50" bestFit="1" customWidth="1"/>
    <col min="10" max="10" width="14.7109375" style="50" bestFit="1" customWidth="1"/>
    <col min="11" max="11" width="15.140625" style="50" bestFit="1" customWidth="1"/>
    <col min="12" max="12" width="11.140625" style="50" bestFit="1" customWidth="1"/>
    <col min="13" max="13" width="16.140625" bestFit="1" customWidth="1"/>
    <col min="14" max="14" width="8.42578125" bestFit="1" customWidth="1"/>
    <col min="15" max="15" width="12.5703125" style="31" bestFit="1" customWidth="1"/>
    <col min="16" max="16" width="6.85546875" style="50" bestFit="1" customWidth="1"/>
    <col min="17" max="17" width="12.140625" style="50" bestFit="1" customWidth="1"/>
    <col min="18" max="18" width="24.42578125" bestFit="1" customWidth="1"/>
    <col min="19" max="19" width="29.42578125" style="50" bestFit="1" customWidth="1"/>
    <col min="20" max="20" width="19.42578125" bestFit="1" customWidth="1"/>
    <col min="21" max="21" width="11.42578125" bestFit="1" customWidth="1"/>
    <col min="22" max="22" width="11" bestFit="1" customWidth="1"/>
    <col min="23" max="23" width="14" bestFit="1" customWidth="1"/>
    <col min="24" max="24" width="11" bestFit="1" customWidth="1"/>
    <col min="25" max="25" width="15.5703125" bestFit="1" customWidth="1"/>
    <col min="26" max="26" width="20.85546875" bestFit="1" customWidth="1"/>
    <col min="27" max="27" width="19.5703125" style="50" bestFit="1" customWidth="1"/>
    <col min="28" max="28" width="6" style="50" bestFit="1" customWidth="1"/>
    <col min="29" max="29" width="22.140625" style="182" bestFit="1" customWidth="1"/>
    <col min="30" max="30" width="20.7109375" style="50" bestFit="1" customWidth="1"/>
    <col min="31" max="32" width="12.85546875" bestFit="1" customWidth="1"/>
    <col min="33" max="33" width="17.85546875" style="50" bestFit="1" customWidth="1"/>
    <col min="34" max="34" width="10.42578125" style="50" bestFit="1" customWidth="1"/>
    <col min="35" max="35" width="11.5703125" bestFit="1" customWidth="1"/>
    <col min="36" max="36" width="15.28515625" style="50" bestFit="1" customWidth="1"/>
    <col min="37" max="37" width="7.7109375" style="50" bestFit="1" customWidth="1"/>
    <col min="38" max="38" width="19" style="51" bestFit="1" customWidth="1"/>
    <col min="39" max="39" width="21" style="156" bestFit="1" customWidth="1"/>
    <col min="40" max="40" width="24.85546875" style="50" bestFit="1" customWidth="1"/>
    <col min="41" max="41" width="23.5703125" style="50" bestFit="1" customWidth="1"/>
    <col min="42" max="42" width="26.140625" style="50" bestFit="1" customWidth="1"/>
    <col min="43" max="43" width="20.5703125" style="50" bestFit="1" customWidth="1"/>
    <col min="44" max="44" width="6.42578125" style="50" bestFit="1" customWidth="1"/>
    <col min="45" max="45" width="16.7109375" style="50" bestFit="1" customWidth="1"/>
    <col min="46" max="46" width="18.85546875" style="50" bestFit="1" customWidth="1"/>
    <col min="47" max="47" width="22.42578125" bestFit="1" customWidth="1"/>
    <col min="48" max="48" width="22.7109375" style="50" bestFit="1" customWidth="1"/>
    <col min="49" max="49" width="21.28515625" bestFit="1" customWidth="1"/>
    <col min="51" max="51" width="23.85546875" style="50" bestFit="1" customWidth="1"/>
    <col min="52" max="52" width="19.28515625" style="56" bestFit="1" customWidth="1"/>
    <col min="53" max="53" width="6.85546875" style="50" bestFit="1" customWidth="1"/>
    <col min="54" max="54" width="9.28515625" style="50" customWidth="1"/>
    <col min="55" max="55" width="13.7109375" bestFit="1" customWidth="1"/>
    <col min="56" max="56" width="15.5703125" style="50" bestFit="1" customWidth="1"/>
    <col min="57" max="57" width="22" hidden="1" customWidth="1"/>
    <col min="58" max="58" width="19.85546875" style="50" hidden="1" customWidth="1"/>
    <col min="59" max="59" width="22.42578125" style="182" hidden="1" customWidth="1"/>
    <col min="60" max="60" width="20.28515625" hidden="1" customWidth="1"/>
    <col min="61" max="61" width="23.140625" hidden="1" customWidth="1"/>
    <col min="62" max="62" width="21" hidden="1" customWidth="1"/>
    <col min="63" max="63" width="20.5703125" hidden="1" customWidth="1"/>
    <col min="64" max="64" width="18.5703125" hidden="1" customWidth="1"/>
    <col min="65" max="65" width="7.140625" style="50" bestFit="1" customWidth="1"/>
    <col min="66" max="66" width="16.140625" style="50" bestFit="1" customWidth="1"/>
    <col min="67" max="67" width="30" style="50" bestFit="1" customWidth="1"/>
    <col min="68" max="68" width="12.7109375" style="50" bestFit="1" customWidth="1"/>
    <col min="69" max="69" width="25.140625" style="50" bestFit="1" customWidth="1"/>
    <col min="70" max="70" width="16.42578125" bestFit="1" customWidth="1"/>
    <col min="71" max="71" width="16" bestFit="1" customWidth="1"/>
    <col min="72" max="72" width="21.5703125" style="157" bestFit="1" customWidth="1"/>
    <col min="73" max="73" width="24" style="157" bestFit="1" customWidth="1"/>
    <col min="74" max="74" width="22.7109375" style="51" bestFit="1" customWidth="1"/>
    <col min="75" max="75" width="23.140625" style="56" bestFit="1" customWidth="1"/>
    <col min="76" max="76" width="16.42578125" style="50" bestFit="1" customWidth="1"/>
    <col min="77" max="77" width="16" style="51" bestFit="1" customWidth="1"/>
    <col min="78" max="78" width="18.140625" style="50" bestFit="1" customWidth="1"/>
    <col min="79" max="79" width="17.28515625" style="56" hidden="1" customWidth="1"/>
    <col min="80" max="80" width="15.140625" style="51" hidden="1" customWidth="1"/>
    <col min="81" max="81" width="30.7109375" style="50" customWidth="1"/>
    <col min="82" max="82" width="27.85546875" style="50" customWidth="1"/>
    <col min="83" max="83" width="27.140625" style="50" customWidth="1"/>
    <col min="84" max="84" width="24.42578125" style="50" customWidth="1"/>
    <col min="85" max="85" width="23.140625" style="50" customWidth="1"/>
    <col min="86" max="86" width="21" style="50" customWidth="1"/>
    <col min="87" max="87" width="20.5703125" style="50" customWidth="1"/>
    <col min="88" max="88" width="18.5703125" style="50" customWidth="1"/>
    <col min="89" max="89" width="19.5703125" style="50" bestFit="1" customWidth="1"/>
    <col min="90" max="90" width="24.28515625" style="50" customWidth="1"/>
    <col min="91" max="91" width="25.28515625" style="50" bestFit="1" customWidth="1"/>
    <col min="92" max="92" width="25.28515625" style="50" customWidth="1"/>
    <col min="93" max="93" width="22" style="50" bestFit="1" customWidth="1"/>
    <col min="94" max="94" width="19.5703125" style="50" bestFit="1" customWidth="1"/>
    <col min="95" max="16384" width="9.140625" style="50"/>
  </cols>
  <sheetData>
    <row r="1" spans="1:80" ht="15.75" thickBot="1">
      <c r="B1" s="156"/>
      <c r="E1" s="50"/>
      <c r="F1" s="50"/>
      <c r="G1" s="50"/>
      <c r="H1" s="50"/>
      <c r="M1" s="156"/>
      <c r="N1" s="51"/>
      <c r="O1" s="50"/>
      <c r="R1" s="50"/>
      <c r="T1" s="156"/>
      <c r="U1" s="50"/>
      <c r="V1" s="50"/>
      <c r="W1" s="182"/>
      <c r="X1" s="50"/>
      <c r="Y1" s="50"/>
      <c r="Z1" s="50"/>
      <c r="AC1" s="50"/>
      <c r="AE1" s="50"/>
      <c r="AF1" s="50"/>
      <c r="AI1" s="50"/>
      <c r="AJ1" s="56"/>
      <c r="AM1" s="50"/>
      <c r="AU1" s="182"/>
      <c r="AW1" s="50"/>
      <c r="AX1" s="50"/>
      <c r="AY1" s="56"/>
      <c r="AZ1" s="50"/>
      <c r="BB1" s="56"/>
      <c r="BC1" s="50"/>
      <c r="BE1" s="50"/>
      <c r="BG1" s="50"/>
      <c r="BH1" s="50"/>
      <c r="BI1" s="50"/>
      <c r="BJ1" s="50"/>
      <c r="BK1" s="50"/>
      <c r="BM1" s="157"/>
      <c r="BN1" s="157"/>
      <c r="BP1"/>
      <c r="BQ1"/>
      <c r="BR1" s="51"/>
      <c r="BS1" s="50"/>
      <c r="BT1" s="56"/>
      <c r="BU1" s="51"/>
      <c r="BV1" s="50"/>
      <c r="BW1" s="50"/>
      <c r="BY1" s="50"/>
      <c r="CA1" s="50"/>
      <c r="CB1" s="50"/>
    </row>
    <row r="2" spans="1:80">
      <c r="A2" s="52" t="s">
        <v>40</v>
      </c>
      <c r="B2" s="54">
        <f>WORKDAY(DATE(YEAR($A$3),MONTH($A$3),1),-1)</f>
        <v>45443</v>
      </c>
      <c r="E2" s="50"/>
      <c r="F2" s="50"/>
      <c r="G2" s="50"/>
      <c r="H2" s="50"/>
      <c r="M2" s="156"/>
      <c r="N2" s="51"/>
      <c r="O2" s="50"/>
      <c r="R2" s="50"/>
      <c r="T2" s="156"/>
      <c r="U2" s="50"/>
      <c r="V2" s="50"/>
      <c r="W2" s="182"/>
      <c r="X2" s="50"/>
      <c r="Y2" s="50"/>
      <c r="Z2" s="50"/>
      <c r="AA2" s="50" t="b">
        <v>0</v>
      </c>
      <c r="AC2" s="57" t="s">
        <v>98</v>
      </c>
      <c r="AD2" s="58">
        <f>SUMPRODUCT(Dados[Performance | Mês Atual],Dados[Peso Corrigido | Carteira])</f>
        <v>5.5617732315065895</v>
      </c>
      <c r="AE2" s="50"/>
      <c r="AF2" s="50"/>
      <c r="AI2" s="50"/>
      <c r="AJ2" s="56"/>
      <c r="AM2" s="50"/>
      <c r="AU2" s="182"/>
      <c r="AW2" s="50"/>
      <c r="AX2" s="50"/>
      <c r="AY2" s="56"/>
      <c r="AZ2" s="50"/>
      <c r="BB2" s="56"/>
      <c r="BC2" s="50"/>
      <c r="BE2" s="50"/>
      <c r="BG2" s="50"/>
      <c r="BH2" s="50"/>
      <c r="BI2" s="50"/>
      <c r="BJ2" s="50"/>
      <c r="BK2" s="50"/>
      <c r="BM2" s="157"/>
      <c r="BN2" s="157"/>
      <c r="BP2"/>
      <c r="BQ2"/>
      <c r="BR2" s="51"/>
      <c r="BT2" s="56"/>
      <c r="BU2" s="51"/>
      <c r="BV2" s="50"/>
      <c r="BW2" s="50"/>
      <c r="BY2" s="50"/>
      <c r="CA2" s="50"/>
      <c r="CB2" s="50"/>
    </row>
    <row r="3" spans="1:80" ht="15.75" thickBot="1">
      <c r="A3" s="53">
        <v>45444</v>
      </c>
      <c r="B3" s="54">
        <f>WORKDAY(DATE(YEAR($A$3),MONTH($A$3)+1,1),-1)</f>
        <v>45471</v>
      </c>
      <c r="E3" s="50"/>
      <c r="F3" s="50"/>
      <c r="G3" s="50"/>
      <c r="H3" s="50"/>
      <c r="M3" s="50"/>
      <c r="N3" s="51"/>
      <c r="O3" s="50"/>
      <c r="R3" s="50"/>
      <c r="T3" s="50"/>
      <c r="U3" s="50"/>
      <c r="V3" s="50"/>
      <c r="W3" s="182"/>
      <c r="X3" s="50"/>
      <c r="Y3" s="50"/>
      <c r="Z3" s="50"/>
      <c r="AC3" s="50"/>
      <c r="AE3" s="50"/>
      <c r="AF3" s="50"/>
      <c r="AI3" s="50"/>
      <c r="AJ3" s="56"/>
      <c r="AM3" s="50"/>
      <c r="AU3" s="182"/>
      <c r="AW3" s="50"/>
      <c r="AX3" s="50"/>
      <c r="AY3" s="56"/>
      <c r="AZ3" s="50"/>
      <c r="BB3" s="56"/>
      <c r="BC3" s="50"/>
      <c r="BE3" s="50"/>
      <c r="BG3" s="50"/>
      <c r="BH3" s="50"/>
      <c r="BI3" s="50"/>
      <c r="BJ3" s="50"/>
      <c r="BK3" s="50"/>
      <c r="BM3" s="157"/>
      <c r="BN3" s="157"/>
      <c r="BP3"/>
      <c r="BQ3"/>
      <c r="BR3" s="51"/>
      <c r="BS3" s="50"/>
      <c r="BT3" s="56"/>
      <c r="BU3" s="51"/>
      <c r="BV3" s="50"/>
      <c r="BW3" s="50"/>
      <c r="BY3" s="50"/>
      <c r="CA3" s="50"/>
      <c r="CB3" s="50"/>
    </row>
    <row r="4" spans="1:80" ht="12" thickBot="1">
      <c r="B4" s="156"/>
      <c r="E4" s="50"/>
      <c r="F4" s="50"/>
      <c r="G4" s="50"/>
      <c r="H4" s="50"/>
      <c r="M4" s="50" t="s">
        <v>170</v>
      </c>
      <c r="N4" s="51"/>
      <c r="O4" s="50" t="s">
        <v>163</v>
      </c>
      <c r="P4" s="50" t="s">
        <v>142</v>
      </c>
      <c r="Q4" s="50" t="s">
        <v>171</v>
      </c>
      <c r="R4" s="50"/>
      <c r="T4" s="50"/>
      <c r="U4" s="50"/>
      <c r="V4" s="50"/>
      <c r="W4" s="182"/>
      <c r="X4" s="50"/>
      <c r="Y4" s="50"/>
      <c r="Z4" s="50"/>
      <c r="AC4" s="50"/>
      <c r="AE4" s="50"/>
      <c r="AF4" s="50"/>
      <c r="AI4" s="50"/>
      <c r="AJ4" s="56"/>
      <c r="AM4" s="50"/>
      <c r="AU4" s="182"/>
      <c r="AW4" s="50"/>
      <c r="AX4" s="50"/>
      <c r="AY4" s="56"/>
      <c r="AZ4" s="50"/>
      <c r="BB4" s="56" t="s">
        <v>193</v>
      </c>
      <c r="BC4" s="50"/>
      <c r="BE4" s="50"/>
      <c r="BG4" s="50"/>
      <c r="BH4" s="50"/>
      <c r="BI4" s="50"/>
      <c r="BJ4" s="50"/>
      <c r="BK4" s="50"/>
      <c r="BL4" s="50"/>
      <c r="BM4" s="156"/>
      <c r="BN4" s="156"/>
      <c r="BP4" s="56"/>
      <c r="BR4" s="51"/>
      <c r="BS4" s="50"/>
      <c r="BT4" s="56"/>
      <c r="BU4" s="51"/>
      <c r="BV4" s="50"/>
      <c r="BW4" s="50"/>
      <c r="BY4" s="50"/>
      <c r="CA4" s="50"/>
      <c r="CB4" s="50"/>
    </row>
    <row r="5" spans="1:80" ht="12" thickBot="1">
      <c r="B5" s="44" t="s">
        <v>6</v>
      </c>
      <c r="C5" s="44" t="s">
        <v>161</v>
      </c>
      <c r="D5" s="179" t="s">
        <v>99</v>
      </c>
      <c r="E5" s="181" t="s">
        <v>0</v>
      </c>
      <c r="F5" s="181" t="s">
        <v>7</v>
      </c>
      <c r="G5" s="181" t="s">
        <v>1</v>
      </c>
      <c r="H5" s="181" t="s">
        <v>2</v>
      </c>
      <c r="I5" s="181" t="s">
        <v>4</v>
      </c>
      <c r="J5" s="181" t="s">
        <v>5</v>
      </c>
      <c r="K5" s="181" t="s">
        <v>3</v>
      </c>
      <c r="L5" s="181" t="s">
        <v>9</v>
      </c>
      <c r="M5" s="181" t="s">
        <v>168</v>
      </c>
      <c r="N5" s="193" t="s">
        <v>8</v>
      </c>
      <c r="O5" s="181" t="s">
        <v>59</v>
      </c>
      <c r="P5" s="181" t="s">
        <v>10</v>
      </c>
      <c r="Q5" s="180" t="s">
        <v>95</v>
      </c>
      <c r="R5" s="44" t="s">
        <v>43</v>
      </c>
      <c r="S5" s="44" t="s">
        <v>159</v>
      </c>
      <c r="T5" s="44" t="s">
        <v>160</v>
      </c>
      <c r="U5" s="44" t="s">
        <v>96</v>
      </c>
      <c r="V5" s="189" t="s">
        <v>173</v>
      </c>
      <c r="W5" s="57" t="s">
        <v>174</v>
      </c>
      <c r="X5" s="45" t="s">
        <v>11</v>
      </c>
      <c r="Y5" s="169" t="s">
        <v>66</v>
      </c>
      <c r="Z5" s="46" t="s">
        <v>67</v>
      </c>
      <c r="AA5" s="46" t="s">
        <v>68</v>
      </c>
      <c r="AB5" s="45" t="s">
        <v>12</v>
      </c>
      <c r="AC5" s="172" t="s">
        <v>65</v>
      </c>
      <c r="AD5" s="173" t="s">
        <v>64</v>
      </c>
      <c r="AE5" s="173" t="s">
        <v>25</v>
      </c>
      <c r="AF5" s="173" t="s">
        <v>26</v>
      </c>
      <c r="AG5" s="173" t="s">
        <v>27</v>
      </c>
      <c r="AH5" s="173" t="s">
        <v>28</v>
      </c>
      <c r="AI5" s="173" t="s">
        <v>169</v>
      </c>
      <c r="AJ5" s="174" t="s">
        <v>141</v>
      </c>
      <c r="AK5" s="47" t="s">
        <v>69</v>
      </c>
      <c r="AL5" s="223" t="s">
        <v>18</v>
      </c>
      <c r="AM5" s="48" t="s">
        <v>15</v>
      </c>
      <c r="AN5" s="175" t="s">
        <v>13</v>
      </c>
      <c r="AO5" s="176" t="s">
        <v>14</v>
      </c>
      <c r="AP5" s="176" t="s">
        <v>16</v>
      </c>
      <c r="AQ5" s="177" t="s">
        <v>17</v>
      </c>
      <c r="AR5" s="47" t="s">
        <v>19</v>
      </c>
      <c r="AS5" s="170" t="s">
        <v>24</v>
      </c>
      <c r="AT5" s="49" t="s">
        <v>21</v>
      </c>
      <c r="AU5" s="183" t="s">
        <v>39</v>
      </c>
      <c r="AV5" s="49" t="s">
        <v>20</v>
      </c>
      <c r="AW5" s="49" t="s">
        <v>97</v>
      </c>
      <c r="AX5" s="49" t="s">
        <v>22</v>
      </c>
      <c r="AY5" s="165" t="s">
        <v>23</v>
      </c>
      <c r="AZ5" s="47" t="s">
        <v>29</v>
      </c>
      <c r="BA5" s="214" t="s">
        <v>198</v>
      </c>
      <c r="BB5" s="178" t="s">
        <v>54</v>
      </c>
      <c r="BC5" s="171" t="s">
        <v>30</v>
      </c>
      <c r="BD5" s="171" t="s">
        <v>31</v>
      </c>
      <c r="BE5" s="171" t="s">
        <v>36</v>
      </c>
      <c r="BF5" s="171" t="s">
        <v>33</v>
      </c>
      <c r="BG5" s="171" t="s">
        <v>37</v>
      </c>
      <c r="BH5" s="171" t="s">
        <v>32</v>
      </c>
      <c r="BI5" s="171" t="s">
        <v>38</v>
      </c>
      <c r="BJ5" s="171" t="s">
        <v>34</v>
      </c>
      <c r="BK5" s="171" t="s">
        <v>35</v>
      </c>
      <c r="BL5" s="47" t="s">
        <v>181</v>
      </c>
      <c r="BM5" s="156" t="s">
        <v>191</v>
      </c>
      <c r="BN5" s="50" t="s">
        <v>192</v>
      </c>
      <c r="BO5" s="50" t="s">
        <v>183</v>
      </c>
      <c r="BP5" s="195" t="s">
        <v>190</v>
      </c>
      <c r="BQ5" s="196" t="s">
        <v>185</v>
      </c>
      <c r="BR5" s="51" t="s">
        <v>186</v>
      </c>
      <c r="BS5" s="50" t="s">
        <v>187</v>
      </c>
      <c r="BT5" s="56" t="s">
        <v>188</v>
      </c>
      <c r="BU5" s="51" t="s">
        <v>189</v>
      </c>
      <c r="BV5" s="50"/>
      <c r="BW5" s="50"/>
      <c r="BY5" s="50"/>
      <c r="CA5" s="50"/>
      <c r="CB5" s="50"/>
    </row>
    <row r="6" spans="1:80" ht="11.25">
      <c r="B6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Conta Corrente - BTG</v>
      </c>
      <c r="C6" s="166">
        <f>$A$3</f>
        <v>45444</v>
      </c>
      <c r="D6" s="50" t="s">
        <v>209</v>
      </c>
      <c r="E6" s="156" t="s">
        <v>203</v>
      </c>
      <c r="F6" s="156" t="s">
        <v>41</v>
      </c>
      <c r="G6" s="156" t="s">
        <v>204</v>
      </c>
      <c r="H6" s="156" t="s">
        <v>203</v>
      </c>
      <c r="I6" s="54"/>
      <c r="L6" s="50" t="s">
        <v>137</v>
      </c>
      <c r="M6" s="156"/>
      <c r="N6" s="194"/>
      <c r="O6" s="51"/>
      <c r="R6" s="156" t="str">
        <f>IFERROR(_xlfn.XLOOKUP(Dados[[#This Row],[Subclasse]],ClasseSubClasse[SubClasse],ClasseSubClasse[Classe]),"ERRO")</f>
        <v>Corrente, Poupança e Empréstimo</v>
      </c>
      <c r="S6" s="50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Conta Corrente - BTG</v>
      </c>
      <c r="T6" s="156" t="str">
        <f>IFERROR(_xlfn.XLOOKUP(Dados[[#This Row],[Subclasse]],ClasseSubClasse[SubClasse],ClasseSubClasse[Nomenclatura]),"ERRO")</f>
        <v>Conta Corrente</v>
      </c>
      <c r="U6" s="51" t="str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/>
      </c>
      <c r="V6" s="51"/>
      <c r="W6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6" s="50"/>
      <c r="Y6" s="51" t="str" cm="1">
        <f t="array" ref="Y6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6" s="55" t="str">
        <f>IFERROR((1+Dados[[#This Row],[Taxa | Esperada]])*Dados[[#This Row],[Saldo Líquido | Mês Anterior]]+Dados[[#This Row],[Juros / Dividendos]],"")</f>
        <v/>
      </c>
      <c r="AA6" s="55" t="str">
        <f>IFERROR(IF(Dados[[#This Row],[Classe]]="Renda Fixa",(1+Dados[[#This Row],[Taxa | Esperada]])*Dados[[#This Row],[Saldo Bruto | Mês Anterior]]+Dados[[#This Row],[Juros / Dividendos]],""),"")</f>
        <v/>
      </c>
      <c r="AC6" s="56">
        <v>1000</v>
      </c>
      <c r="AD6" s="56">
        <v>4</v>
      </c>
      <c r="AE6" s="56"/>
      <c r="AF6" s="56"/>
      <c r="AG6" s="56"/>
      <c r="AH6" s="56"/>
      <c r="AI6" s="56"/>
      <c r="AJ6" s="56"/>
      <c r="AL6" s="51">
        <f>Dados[[#This Row],[Saldo Bruto | Mês Anterior]]/SUM(Dados[Saldo Bruto | Mês Anterior])</f>
        <v>0</v>
      </c>
      <c r="AM6" s="56">
        <f>Dados[[#This Row],[Saldo Bruto | Mês Anterior]]-Dados[[#This Row],[Saldo Líquido | Mês Anterior]]</f>
        <v>0</v>
      </c>
      <c r="AN6" s="56">
        <v>0</v>
      </c>
      <c r="AO6" s="56">
        <v>0</v>
      </c>
      <c r="AP6" s="56">
        <v>-49.959999999999809</v>
      </c>
      <c r="AQ6" s="56">
        <v>0</v>
      </c>
      <c r="AS6" s="51">
        <v>100</v>
      </c>
      <c r="AT6" s="56">
        <f>Dados[[#This Row],[Saldo Bruto | Mês Atual]]-Dados[[#This Row],[Saldo Líquido | Mês Atual]]</f>
        <v>-96</v>
      </c>
      <c r="AU6" s="184" t="str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0,00%</v>
      </c>
      <c r="AV6" s="56">
        <v>100</v>
      </c>
      <c r="AW6" s="56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4</v>
      </c>
      <c r="AX6" s="56">
        <f>SUM(Dados[[#This Row],[Aplicações]:[Cashback]])</f>
        <v>0</v>
      </c>
      <c r="AY6" s="56">
        <f>Dados[[#This Row],[Imposto Pago]]</f>
        <v>0</v>
      </c>
      <c r="AZ6" s="50"/>
      <c r="BA6" s="50" t="b">
        <f>OR(Dados[[#This Row],[Saldo Bruto | Mês Anterior]]&lt;&gt;0,Dados[[#This Row],[Saldo Bruto | Mês Atual]]&lt;&gt;0,Dados[[#This Row],[Movimentaçao | Mês Atual]]&lt;&gt;0)</f>
        <v>1</v>
      </c>
      <c r="BB6" s="56"/>
      <c r="BC6" s="56">
        <f>IF(Dados[[#This Row],[Participação]]="",IF(Dados[[#This Row],[Movimentaçao | Mês Atual]]&gt;0,Dados[[#This Row],[Saldo Bruto | Mês Atual]],Dados[[#This Row],[Saldo Bruto | Mês Atual]]-Dados[[#This Row],[Movimentaçao | Mês Atual]]),0)</f>
        <v>4</v>
      </c>
      <c r="BD6" s="51">
        <f>IFERROR(Dados[[#This Row],[Saldo Corrigido]]/SUM(Dados[Saldo Corrigido]),"0,00%")</f>
        <v>9.6613690159895668E-3</v>
      </c>
      <c r="BE6" s="51">
        <f>IFERROR(SUMPRODUCT(Dados[Performance | Mês Atual],Dados[Peso Corrigido | Carteira]),"0,00%")</f>
        <v>5.5617732315065895</v>
      </c>
      <c r="BF6" s="51">
        <f>IFERROR(Dados[[#This Row],[Saldo Corrigido]]/SUMIF(Dados[Custódia],Dados[[#This Row],[Custódia]],Dados[Saldo Corrigido]),"0,00%")</f>
        <v>9.6613690159895668E-3</v>
      </c>
      <c r="BG6" s="51" cm="1">
        <f t="array" ref="BG6">IFERROR(SUMPRODUCT((_xlfn._xlws.FILTER(Dados[Peso Corrigido | Custódia],Dados[Custódia]=Dados[[#This Row],[Custódia]])),_xlfn._xlws.FILTER(Dados[Performance | Mês Atual],Dados[Custódia]=Dados[[#This Row],[Custódia]])),"0,00%")</f>
        <v>5.5617732315065895</v>
      </c>
      <c r="BH6" s="51">
        <f>IFERROR(Dados[[#This Row],[Saldo Corrigido]]/SUMIF(Dados[Subclasse],Dados[[#This Row],[Subclasse]],Dados[Saldo Corrigido]),"0,00%")</f>
        <v>1</v>
      </c>
      <c r="BI6" s="51" cm="1">
        <f t="array" ref="BI6">IFERROR(SUMPRODUCT((_xlfn._xlws.FILTER(Dados[Peso Corrigido | SubClasse],Dados[Subclasse]=Dados[[#This Row],[Subclasse]])),_xlfn._xlws.FILTER(Dados[Performance | Mês Atual],Dados[Subclasse]=Dados[[#This Row],[Subclasse]])),"0,00%")</f>
        <v>0</v>
      </c>
      <c r="BJ6" s="51">
        <f>IFERROR(Dados[[#This Row],[Saldo Corrigido]]/SUMIF(Dados[Classe],Dados[[#This Row],[Classe]],Dados[Saldo Corrigido]),"0,00%")</f>
        <v>1</v>
      </c>
      <c r="BK6" s="51" cm="1">
        <f t="array" ref="BK6">IFERROR(SUMPRODUCT((_xlfn._xlws.FILTER(Dados[Peso Corrigido | Classe],Dados[Classe]=Dados[[#This Row],[Classe]])),_xlfn._xlws.FILTER(Dados[Performance | Mês Atual],Dados[Classe]=Dados[[#This Row],[Classe]])),"0,00%")</f>
        <v>0</v>
      </c>
      <c r="BL6" s="51"/>
      <c r="BM6" s="194" t="str">
        <f>IF(Dados[[#This Row],[Ticker do Ativo]]="","",Dados[[#This Row],[Ticker do Ativo]])</f>
        <v/>
      </c>
      <c r="BN6" s="194"/>
      <c r="BO6" s="51" t="str" cm="1">
        <f t="array" ref="BO6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/>
      </c>
      <c r="BP6" s="191"/>
      <c r="BQ6" s="197">
        <f>IFERROR(Dados[[#This Row],[Saldo Bruto | Mês Atual]]*(1+Dados[[#This Row],[Taxa RF / FI]])+Dados[[#This Row],[Movimentações Atualizadas]],Dados[[#This Row],[Saldo Bruto | Mês Atual]]+Dados[[#This Row],[Movimentações Atualizadas]])</f>
        <v>4</v>
      </c>
      <c r="BR6" s="51">
        <f>IFERROR(Dados[[#This Row],[Saldo Atualizado]]/SUM(Dados[Saldo Atualizado]),"0,00%")</f>
        <v>9.6609144615870928E-3</v>
      </c>
      <c r="BS6" s="184">
        <f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0</v>
      </c>
      <c r="BT6" s="56">
        <f>IF(Dados[[#This Row],[Participação]]="",IF(Dados[[#This Row],[Movimentações Atualizadas]]&gt;0,Dados[[#This Row],[Saldo Atualizado]],Dados[[#This Row],[Saldo Atualizado]]-Dados[[#This Row],[Movimentações Atualizadas]]),0)</f>
        <v>4</v>
      </c>
      <c r="BU6" s="51">
        <f>Dados[[#This Row],[Saldo Corrigido Atualizado]]/SUM(Dados[Saldo Corrigido Atualizado])</f>
        <v>9.6609144615870928E-3</v>
      </c>
      <c r="BV6" s="50"/>
      <c r="BW6" s="50"/>
      <c r="BY6" s="50"/>
      <c r="CA6" s="50"/>
      <c r="CB6" s="50"/>
    </row>
    <row r="7" spans="1:80" ht="11.25">
      <c r="B7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Call Vendida WEGE3 07/24</v>
      </c>
      <c r="C7" s="166">
        <f>$A$3</f>
        <v>45444</v>
      </c>
      <c r="D7" s="50" t="s">
        <v>209</v>
      </c>
      <c r="E7" s="156" t="s">
        <v>203</v>
      </c>
      <c r="F7" s="156" t="s">
        <v>55</v>
      </c>
      <c r="G7" s="156"/>
      <c r="H7" s="156" t="s">
        <v>205</v>
      </c>
      <c r="I7" s="54">
        <v>45495</v>
      </c>
      <c r="L7" s="50">
        <v>2024</v>
      </c>
      <c r="M7" s="156"/>
      <c r="N7" s="194"/>
      <c r="O7" s="51"/>
      <c r="R7" s="156" t="str">
        <f>IFERROR(_xlfn.XLOOKUP(Dados[[#This Row],[Subclasse]],ClasseSubClasse[SubClasse],ClasseSubClasse[Classe]),"ERRO")</f>
        <v>Opções</v>
      </c>
      <c r="S7" s="50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Call Vendida WEGE3 07/24</v>
      </c>
      <c r="T7" s="156" t="str">
        <f>IFERROR(_xlfn.XLOOKUP(Dados[[#This Row],[Subclasse]],ClasseSubClasse[SubClasse],ClasseSubClasse[Nomenclatura]),"ERRO")</f>
        <v>Opções - Derivativos</v>
      </c>
      <c r="U7" s="51" t="str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/>
      </c>
      <c r="V7" s="51"/>
      <c r="W7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7" s="50"/>
      <c r="Y7" s="51" t="str" cm="1">
        <f t="array" ref="Y7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7" s="55" t="str">
        <f>IFERROR((1+Dados[[#This Row],[Taxa | Esperada]])*Dados[[#This Row],[Saldo Líquido | Mês Anterior]]+Dados[[#This Row],[Juros / Dividendos]],"")</f>
        <v/>
      </c>
      <c r="AA7" s="55" t="str">
        <f>IFERROR(IF(Dados[[#This Row],[Classe]]="Renda Fixa",(1+Dados[[#This Row],[Taxa | Esperada]])*Dados[[#This Row],[Saldo Bruto | Mês Anterior]]+Dados[[#This Row],[Juros / Dividendos]],""),"")</f>
        <v/>
      </c>
      <c r="AC7" s="56"/>
      <c r="AD7" s="56">
        <v>50</v>
      </c>
      <c r="AE7" s="56"/>
      <c r="AF7" s="56"/>
      <c r="AG7" s="56"/>
      <c r="AH7" s="56"/>
      <c r="AI7" s="56"/>
      <c r="AJ7" s="56"/>
      <c r="AL7" s="51">
        <f>Dados[[#This Row],[Saldo Bruto | Mês Anterior]]/SUM(Dados[Saldo Bruto | Mês Anterior])</f>
        <v>2.2749898751101653E-5</v>
      </c>
      <c r="AM7" s="56">
        <f>Dados[[#This Row],[Saldo Bruto | Mês Anterior]]-Dados[[#This Row],[Saldo Líquido | Mês Anterior]]</f>
        <v>0</v>
      </c>
      <c r="AN7" s="56">
        <v>0.96</v>
      </c>
      <c r="AO7" s="56">
        <v>0.96</v>
      </c>
      <c r="AP7" s="56">
        <v>0</v>
      </c>
      <c r="AQ7" s="56">
        <v>0</v>
      </c>
      <c r="AS7" s="51">
        <v>1</v>
      </c>
      <c r="AT7" s="56">
        <f>Dados[[#This Row],[Saldo Bruto | Mês Atual]]-Dados[[#This Row],[Saldo Líquido | Mês Atual]]</f>
        <v>48</v>
      </c>
      <c r="AU7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51.083333333333336</v>
      </c>
      <c r="AV7" s="56">
        <v>2</v>
      </c>
      <c r="AW7" s="56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50</v>
      </c>
      <c r="AX7" s="56">
        <f>SUM(Dados[[#This Row],[Aplicações]:[Cashback]])</f>
        <v>0</v>
      </c>
      <c r="AY7" s="56">
        <f>Dados[[#This Row],[Imposto Pago]]</f>
        <v>0</v>
      </c>
      <c r="AZ7" s="50"/>
      <c r="BA7" s="50" t="b">
        <f>OR(Dados[[#This Row],[Saldo Bruto | Mês Anterior]]&lt;&gt;0,Dados[[#This Row],[Saldo Bruto | Mês Atual]]&lt;&gt;0,Dados[[#This Row],[Movimentaçao | Mês Atual]]&lt;&gt;0)</f>
        <v>1</v>
      </c>
      <c r="BB7" s="56"/>
      <c r="BC7" s="56">
        <f>IF(Dados[[#This Row],[Participação]]="",IF(Dados[[#This Row],[Movimentaçao | Mês Atual]]&gt;0,Dados[[#This Row],[Saldo Bruto | Mês Atual]],Dados[[#This Row],[Saldo Bruto | Mês Atual]]-Dados[[#This Row],[Movimentaçao | Mês Atual]]),0)</f>
        <v>50</v>
      </c>
      <c r="BD7" s="51">
        <f>IFERROR(Dados[[#This Row],[Saldo Corrigido]]/SUM(Dados[Saldo Corrigido]),"0,00%")</f>
        <v>0.12076711269986957</v>
      </c>
      <c r="BE7" s="51">
        <f>IFERROR(SUMPRODUCT(Dados[Performance | Mês Atual],Dados[Peso Corrigido | Carteira]),"0,00%")</f>
        <v>5.5617732315065895</v>
      </c>
      <c r="BF7" s="51">
        <f>IFERROR(Dados[[#This Row],[Saldo Corrigido]]/SUMIF(Dados[Custódia],Dados[[#This Row],[Custódia]],Dados[Saldo Corrigido]),"0,00%")</f>
        <v>0.12076711269986957</v>
      </c>
      <c r="BG7" s="51" cm="1">
        <f t="array" ref="BG7">IFERROR(SUMPRODUCT((_xlfn._xlws.FILTER(Dados[Peso Corrigido | Custódia],Dados[Custódia]=Dados[[#This Row],[Custódia]])),_xlfn._xlws.FILTER(Dados[Performance | Mês Atual],Dados[Custódia]=Dados[[#This Row],[Custódia]])),"0,00%")</f>
        <v>5.5617732315065895</v>
      </c>
      <c r="BH7" s="51">
        <f>IFERROR(Dados[[#This Row],[Saldo Corrigido]]/SUMIF(Dados[Subclasse],Dados[[#This Row],[Subclasse]],Dados[Saldo Corrigido]),"0,00%")</f>
        <v>0.2</v>
      </c>
      <c r="BI7" s="51" cm="1">
        <f t="array" ref="BI7">IFERROR(SUMPRODUCT((_xlfn._xlws.FILTER(Dados[Peso Corrigido | SubClasse],Dados[Subclasse]=Dados[[#This Row],[Subclasse]])),_xlfn._xlws.FILTER(Dados[Performance | Mês Atual],Dados[Subclasse]=Dados[[#This Row],[Subclasse]])),"0,00%")</f>
        <v>9.6466310221915617</v>
      </c>
      <c r="BJ7" s="51">
        <f>IFERROR(Dados[[#This Row],[Saldo Corrigido]]/SUMIF(Dados[Classe],Dados[[#This Row],[Classe]],Dados[Saldo Corrigido]),"0,00%")</f>
        <v>0.16128511983484403</v>
      </c>
      <c r="BK7" s="51" cm="1">
        <f t="array" ref="BK7">IFERROR(SUMPRODUCT((_xlfn._xlws.FILTER(Dados[Peso Corrigido | Classe],Dados[Classe]=Dados[[#This Row],[Classe]])),_xlfn._xlws.FILTER(Dados[Performance | Mês Atual],Dados[Classe]=Dados[[#This Row],[Classe]])),"0,00%")</f>
        <v>7.5859970359700188</v>
      </c>
      <c r="BL7" s="51"/>
      <c r="BM7" s="194" t="str">
        <f>IF(Dados[[#This Row],[Ticker do Ativo]]="","",Dados[[#This Row],[Ticker do Ativo]])</f>
        <v/>
      </c>
      <c r="BN7" s="194"/>
      <c r="BO7" s="51" t="str" cm="1">
        <f t="array" ref="BO7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/>
      </c>
      <c r="BP7" s="191"/>
      <c r="BQ7" s="197">
        <f>IFERROR(Dados[[#This Row],[Saldo Bruto | Mês Atual]]*(1+Dados[[#This Row],[Taxa RF / FI]])+Dados[[#This Row],[Movimentações Atualizadas]],Dados[[#This Row],[Saldo Bruto | Mês Atual]]+Dados[[#This Row],[Movimentações Atualizadas]])</f>
        <v>50</v>
      </c>
      <c r="BR7" s="51">
        <f>IFERROR(Dados[[#This Row],[Saldo Atualizado]]/SUM(Dados[Saldo Atualizado]),"0,00%")</f>
        <v>0.12076143076983865</v>
      </c>
      <c r="BS7" s="184">
        <f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0</v>
      </c>
      <c r="BT7" s="56">
        <f>IF(Dados[[#This Row],[Participação]]="",IF(Dados[[#This Row],[Movimentações Atualizadas]]&gt;0,Dados[[#This Row],[Saldo Atualizado]],Dados[[#This Row],[Saldo Atualizado]]-Dados[[#This Row],[Movimentações Atualizadas]]),0)</f>
        <v>50</v>
      </c>
      <c r="BU7" s="51">
        <f>Dados[[#This Row],[Saldo Corrigido Atualizado]]/SUM(Dados[Saldo Corrigido Atualizado])</f>
        <v>0.12076143076983865</v>
      </c>
      <c r="BV7" s="50"/>
      <c r="BW7" s="50"/>
      <c r="BY7" s="50"/>
      <c r="CA7" s="50"/>
      <c r="CB7" s="50"/>
    </row>
    <row r="8" spans="1:80" ht="11.25">
      <c r="B8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WEGE3 Smart Hedge 07/24</v>
      </c>
      <c r="C8" s="166">
        <f>$A$3</f>
        <v>45444</v>
      </c>
      <c r="D8" s="50" t="s">
        <v>209</v>
      </c>
      <c r="E8" s="156" t="s">
        <v>203</v>
      </c>
      <c r="F8" s="156" t="s">
        <v>175</v>
      </c>
      <c r="G8" s="156"/>
      <c r="H8" s="156" t="s">
        <v>206</v>
      </c>
      <c r="I8" s="54">
        <v>45495</v>
      </c>
      <c r="L8" s="50">
        <v>2024</v>
      </c>
      <c r="M8" s="156"/>
      <c r="N8" s="194"/>
      <c r="O8" s="51"/>
      <c r="R8" s="156" t="str">
        <f>IFERROR(_xlfn.XLOOKUP(Dados[[#This Row],[Subclasse]],ClasseSubClasse[SubClasse],ClasseSubClasse[Classe]),"ERRO")</f>
        <v>Opções</v>
      </c>
      <c r="S8" s="50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WEGE3 Smart Hedge 07/24</v>
      </c>
      <c r="T8" s="156" t="str">
        <f>IFERROR(_xlfn.XLOOKUP(Dados[[#This Row],[Subclasse]],ClasseSubClasse[SubClasse],ClasseSubClasse[Nomenclatura]),"ERRO")</f>
        <v>Opções - Estruturado</v>
      </c>
      <c r="U8" s="51" t="str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/>
      </c>
      <c r="V8" s="51"/>
      <c r="W8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8" s="50"/>
      <c r="Y8" s="51" t="str" cm="1">
        <f t="array" ref="Y8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8" s="55" t="str">
        <f>IFERROR((1+Dados[[#This Row],[Taxa | Esperada]])*Dados[[#This Row],[Saldo Líquido | Mês Anterior]]+Dados[[#This Row],[Juros / Dividendos]],"")</f>
        <v/>
      </c>
      <c r="AA8" s="55" t="str">
        <f>IFERROR(IF(Dados[[#This Row],[Classe]]="Renda Fixa",(1+Dados[[#This Row],[Taxa | Esperada]])*Dados[[#This Row],[Saldo Bruto | Mês Anterior]]+Dados[[#This Row],[Juros / Dividendos]],""),"")</f>
        <v/>
      </c>
      <c r="AC8" s="56">
        <v>40</v>
      </c>
      <c r="AD8" s="56">
        <v>60</v>
      </c>
      <c r="AE8" s="56"/>
      <c r="AF8" s="56"/>
      <c r="AG8" s="56"/>
      <c r="AH8" s="56"/>
      <c r="AI8" s="56">
        <v>-0.01</v>
      </c>
      <c r="AJ8" s="56"/>
      <c r="AL8" s="51">
        <f>Dados[[#This Row],[Saldo Bruto | Mês Anterior]]/SUM(Dados[Saldo Bruto | Mês Anterior])</f>
        <v>0.97883809157734769</v>
      </c>
      <c r="AM8" s="56">
        <f>Dados[[#This Row],[Saldo Bruto | Mês Anterior]]-Dados[[#This Row],[Saldo Líquido | Mês Anterior]]</f>
        <v>0</v>
      </c>
      <c r="AN8" s="56">
        <v>41305</v>
      </c>
      <c r="AO8" s="56">
        <v>41305</v>
      </c>
      <c r="AP8" s="56">
        <v>-0.03</v>
      </c>
      <c r="AQ8" s="56">
        <v>0</v>
      </c>
      <c r="AS8" s="51">
        <v>2</v>
      </c>
      <c r="AT8" s="56">
        <f>Dados[[#This Row],[Saldo Bruto | Mês Atual]]-Dados[[#This Row],[Saldo Líquido | Mês Atual]]</f>
        <v>59</v>
      </c>
      <c r="AU8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-0.99854714925553811</v>
      </c>
      <c r="AV8" s="56">
        <v>1</v>
      </c>
      <c r="AW8" s="56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60</v>
      </c>
      <c r="AX8" s="56">
        <f>SUM(Dados[[#This Row],[Aplicações]:[Cashback]])</f>
        <v>-0.01</v>
      </c>
      <c r="AY8" s="56">
        <f>Dados[[#This Row],[Imposto Pago]]</f>
        <v>0</v>
      </c>
      <c r="AZ8" s="50"/>
      <c r="BA8" s="50" t="b">
        <f>OR(Dados[[#This Row],[Saldo Bruto | Mês Anterior]]&lt;&gt;0,Dados[[#This Row],[Saldo Bruto | Mês Atual]]&lt;&gt;0,Dados[[#This Row],[Movimentaçao | Mês Atual]]&lt;&gt;0)</f>
        <v>1</v>
      </c>
      <c r="BB8" s="56"/>
      <c r="BC8" s="56">
        <f>IF(Dados[[#This Row],[Participação]]="",IF(Dados[[#This Row],[Movimentaçao | Mês Atual]]&gt;0,Dados[[#This Row],[Saldo Bruto | Mês Atual]],Dados[[#This Row],[Saldo Bruto | Mês Atual]]-Dados[[#This Row],[Movimentaçao | Mês Atual]]),0)</f>
        <v>60.01</v>
      </c>
      <c r="BD8" s="51">
        <f>IFERROR(Dados[[#This Row],[Saldo Corrigido]]/SUM(Dados[Saldo Corrigido]),"0,00%")</f>
        <v>0.14494468866238347</v>
      </c>
      <c r="BE8" s="51">
        <f>IFERROR(SUMPRODUCT(Dados[Performance | Mês Atual],Dados[Peso Corrigido | Carteira]),"0,00%")</f>
        <v>5.5617732315065895</v>
      </c>
      <c r="BF8" s="51">
        <f>IFERROR(Dados[[#This Row],[Saldo Corrigido]]/SUMIF(Dados[Custódia],Dados[[#This Row],[Custódia]],Dados[Saldo Corrigido]),"0,00%")</f>
        <v>0.14494468866238347</v>
      </c>
      <c r="BG8" s="51" cm="1">
        <f t="array" ref="BG8">IFERROR(SUMPRODUCT((_xlfn._xlws.FILTER(Dados[Peso Corrigido | Custódia],Dados[Custódia]=Dados[[#This Row],[Custódia]])),_xlfn._xlws.FILTER(Dados[Performance | Mês Atual],Dados[Custódia]=Dados[[#This Row],[Custódia]])),"0,00%")</f>
        <v>5.5617732315065895</v>
      </c>
      <c r="BH8" s="51">
        <f>IFERROR(Dados[[#This Row],[Saldo Corrigido]]/SUMIF(Dados[Subclasse],Dados[[#This Row],[Subclasse]],Dados[Saldo Corrigido]),"0,00%")</f>
        <v>1</v>
      </c>
      <c r="BI8" s="51" cm="1">
        <f t="array" ref="BI8">IFERROR(SUMPRODUCT((_xlfn._xlws.FILTER(Dados[Peso Corrigido | SubClasse],Dados[Subclasse]=Dados[[#This Row],[Subclasse]])),_xlfn._xlws.FILTER(Dados[Performance | Mês Atual],Dados[Subclasse]=Dados[[#This Row],[Subclasse]])),"0,00%")</f>
        <v>-0.99854714925553811</v>
      </c>
      <c r="BJ8" s="51">
        <f>IFERROR(Dados[[#This Row],[Saldo Corrigido]]/SUMIF(Dados[Classe],Dados[[#This Row],[Classe]],Dados[Saldo Corrigido]),"0,00%")</f>
        <v>0.19357440082577981</v>
      </c>
      <c r="BK8" s="51" cm="1">
        <f t="array" ref="BK8">IFERROR(SUMPRODUCT((_xlfn._xlws.FILTER(Dados[Peso Corrigido | Classe],Dados[Classe]=Dados[[#This Row],[Classe]])),_xlfn._xlws.FILTER(Dados[Performance | Mês Atual],Dados[Classe]=Dados[[#This Row],[Classe]])),"0,00%")</f>
        <v>7.5859970359700188</v>
      </c>
      <c r="BL8" s="51"/>
      <c r="BM8" s="194" t="str">
        <f>IF(Dados[[#This Row],[Ticker do Ativo]]="","",Dados[[#This Row],[Ticker do Ativo]])</f>
        <v/>
      </c>
      <c r="BN8" s="194"/>
      <c r="BO8" s="51" t="str" cm="1">
        <f t="array" ref="BO8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/>
      </c>
      <c r="BP8" s="191"/>
      <c r="BQ8" s="197">
        <f>IFERROR(Dados[[#This Row],[Saldo Bruto | Mês Atual]]*(1+Dados[[#This Row],[Taxa RF / FI]])+Dados[[#This Row],[Movimentações Atualizadas]],Dados[[#This Row],[Saldo Bruto | Mês Atual]]+Dados[[#This Row],[Movimentações Atualizadas]])</f>
        <v>60</v>
      </c>
      <c r="BR8" s="51">
        <f>IFERROR(Dados[[#This Row],[Saldo Atualizado]]/SUM(Dados[Saldo Atualizado]),"0,00%")</f>
        <v>0.14491371692380639</v>
      </c>
      <c r="BS8" s="184">
        <f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0</v>
      </c>
      <c r="BT8" s="56">
        <f>IF(Dados[[#This Row],[Participação]]="",IF(Dados[[#This Row],[Movimentações Atualizadas]]&gt;0,Dados[[#This Row],[Saldo Atualizado]],Dados[[#This Row],[Saldo Atualizado]]-Dados[[#This Row],[Movimentações Atualizadas]]),0)</f>
        <v>60</v>
      </c>
      <c r="BU8" s="51">
        <f>Dados[[#This Row],[Saldo Corrigido Atualizado]]/SUM(Dados[Saldo Corrigido Atualizado])</f>
        <v>0.14491371692380639</v>
      </c>
      <c r="BV8" s="50"/>
      <c r="BW8" s="50"/>
      <c r="BY8" s="50"/>
      <c r="CA8" s="50"/>
      <c r="CB8" s="50"/>
    </row>
    <row r="9" spans="1:80" ht="11.25">
      <c r="B9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BTG CDB Plus FI RF CP</v>
      </c>
      <c r="C9" s="166">
        <f>$A$3</f>
        <v>45444</v>
      </c>
      <c r="D9" s="50" t="s">
        <v>209</v>
      </c>
      <c r="E9" s="156" t="s">
        <v>203</v>
      </c>
      <c r="F9" s="156" t="s">
        <v>52</v>
      </c>
      <c r="G9" s="156"/>
      <c r="H9" s="156" t="s">
        <v>207</v>
      </c>
      <c r="I9" s="54"/>
      <c r="L9" s="50" t="s">
        <v>137</v>
      </c>
      <c r="M9" s="156" t="s">
        <v>210</v>
      </c>
      <c r="N9" s="194"/>
      <c r="O9" s="51"/>
      <c r="R9" s="156" t="str">
        <f>IFERROR(_xlfn.XLOOKUP(Dados[[#This Row],[Subclasse]],ClasseSubClasse[SubClasse],ClasseSubClasse[Classe]),"ERRO")</f>
        <v>Fundos de Investimento</v>
      </c>
      <c r="S9" s="50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BTG CDB Plus FI RF CP</v>
      </c>
      <c r="T9" s="156" t="str">
        <f>IFERROR(_xlfn.XLOOKUP(Dados[[#This Row],[Subclasse]],ClasseSubClasse[SubClasse],ClasseSubClasse[Nomenclatura]),"ERRO")</f>
        <v>Fundos - Renda Fixa</v>
      </c>
      <c r="U9" s="51" t="str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/>
      </c>
      <c r="V9" s="51"/>
      <c r="W9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9" s="50"/>
      <c r="Y9" s="51" t="str" cm="1">
        <f t="array" ref="Y9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9" s="55" t="str">
        <f>IFERROR((1+Dados[[#This Row],[Taxa | Esperada]])*Dados[[#This Row],[Saldo Líquido | Mês Anterior]]+Dados[[#This Row],[Juros / Dividendos]],"")</f>
        <v/>
      </c>
      <c r="AA9" s="55" t="str">
        <f>IFERROR(IF(Dados[[#This Row],[Classe]]="Renda Fixa",(1+Dados[[#This Row],[Taxa | Esperada]])*Dados[[#This Row],[Saldo Bruto | Mês Anterior]]+Dados[[#This Row],[Juros / Dividendos]],""),"")</f>
        <v/>
      </c>
      <c r="AC9" s="56">
        <v>30</v>
      </c>
      <c r="AD9" s="56">
        <v>100</v>
      </c>
      <c r="AE9" s="56"/>
      <c r="AF9" s="56"/>
      <c r="AG9" s="56"/>
      <c r="AH9" s="56"/>
      <c r="AI9" s="56">
        <v>-0.01</v>
      </c>
      <c r="AJ9" s="56"/>
      <c r="AL9" s="51">
        <f>Dados[[#This Row],[Saldo Bruto | Mês Anterior]]/SUM(Dados[Saldo Bruto | Mês Anterior])</f>
        <v>4.6511694040403352E-3</v>
      </c>
      <c r="AM9" s="56">
        <f>Dados[[#This Row],[Saldo Bruto | Mês Anterior]]-Dados[[#This Row],[Saldo Líquido | Mês Anterior]]</f>
        <v>0.24000000000000909</v>
      </c>
      <c r="AN9" s="56">
        <v>196.03</v>
      </c>
      <c r="AO9" s="56">
        <v>196.27</v>
      </c>
      <c r="AP9" s="56">
        <v>-1504.26</v>
      </c>
      <c r="AQ9" s="56">
        <v>4.21</v>
      </c>
      <c r="AS9" s="51">
        <v>3</v>
      </c>
      <c r="AT9" s="56">
        <f>Dados[[#This Row],[Saldo Bruto | Mês Atual]]-Dados[[#This Row],[Saldo Líquido | Mês Atual]]</f>
        <v>99</v>
      </c>
      <c r="AU9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-0.49044683344372553</v>
      </c>
      <c r="AV9" s="56">
        <v>1</v>
      </c>
      <c r="AW9" s="56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100</v>
      </c>
      <c r="AX9" s="56">
        <f>SUM(Dados[[#This Row],[Aplicações]:[Cashback]])</f>
        <v>-0.01</v>
      </c>
      <c r="AY9" s="56">
        <f>Dados[[#This Row],[Imposto Pago]]</f>
        <v>0</v>
      </c>
      <c r="AZ9" s="50"/>
      <c r="BA9" s="50" t="b">
        <f>OR(Dados[[#This Row],[Saldo Bruto | Mês Anterior]]&lt;&gt;0,Dados[[#This Row],[Saldo Bruto | Mês Atual]]&lt;&gt;0,Dados[[#This Row],[Movimentaçao | Mês Atual]]&lt;&gt;0)</f>
        <v>1</v>
      </c>
      <c r="BB9" s="56"/>
      <c r="BC9" s="56">
        <f>IF(Dados[[#This Row],[Participação]]="",IF(Dados[[#This Row],[Movimentaçao | Mês Atual]]&gt;0,Dados[[#This Row],[Saldo Bruto | Mês Atual]],Dados[[#This Row],[Saldo Bruto | Mês Atual]]-Dados[[#This Row],[Movimentaçao | Mês Atual]]),0)</f>
        <v>100.01</v>
      </c>
      <c r="BD9" s="51">
        <f>IFERROR(Dados[[#This Row],[Saldo Corrigido]]/SUM(Dados[Saldo Corrigido]),"0,00%")</f>
        <v>0.24155837882227915</v>
      </c>
      <c r="BE9" s="51">
        <f>IFERROR(SUMPRODUCT(Dados[Performance | Mês Atual],Dados[Peso Corrigido | Carteira]),"0,00%")</f>
        <v>5.5617732315065895</v>
      </c>
      <c r="BF9" s="51">
        <f>IFERROR(Dados[[#This Row],[Saldo Corrigido]]/SUMIF(Dados[Custódia],Dados[[#This Row],[Custódia]],Dados[Saldo Corrigido]),"0,00%")</f>
        <v>0.24155837882227915</v>
      </c>
      <c r="BG9" s="51" cm="1">
        <f t="array" ref="BG9">IFERROR(SUMPRODUCT((_xlfn._xlws.FILTER(Dados[Peso Corrigido | Custódia],Dados[Custódia]=Dados[[#This Row],[Custódia]])),_xlfn._xlws.FILTER(Dados[Performance | Mês Atual],Dados[Custódia]=Dados[[#This Row],[Custódia]])),"0,00%")</f>
        <v>5.5617732315065895</v>
      </c>
      <c r="BH9" s="51">
        <f>IFERROR(Dados[[#This Row],[Saldo Corrigido]]/SUMIF(Dados[Subclasse],Dados[[#This Row],[Subclasse]],Dados[Saldo Corrigido]),"0,00%")</f>
        <v>1</v>
      </c>
      <c r="BI9" s="51" cm="1">
        <f t="array" ref="BI9">IFERROR(SUMPRODUCT((_xlfn._xlws.FILTER(Dados[Peso Corrigido | SubClasse],Dados[Subclasse]=Dados[[#This Row],[Subclasse]])),_xlfn._xlws.FILTER(Dados[Performance | Mês Atual],Dados[Subclasse]=Dados[[#This Row],[Subclasse]])),"0,00%")</f>
        <v>-0.49044683344372553</v>
      </c>
      <c r="BJ9" s="51">
        <f>IFERROR(Dados[[#This Row],[Saldo Corrigido]]/SUMIF(Dados[Classe],Dados[[#This Row],[Classe]],Dados[Saldo Corrigido]),"0,00%")</f>
        <v>1</v>
      </c>
      <c r="BK9" s="51" cm="1">
        <f t="array" ref="BK9">IFERROR(SUMPRODUCT((_xlfn._xlws.FILTER(Dados[Peso Corrigido | Classe],Dados[Classe]=Dados[[#This Row],[Classe]])),_xlfn._xlws.FILTER(Dados[Performance | Mês Atual],Dados[Classe]=Dados[[#This Row],[Classe]])),"0,00%")</f>
        <v>-0.49044683344372553</v>
      </c>
      <c r="BL9" s="51"/>
      <c r="BM9" s="194" t="str">
        <f>IF(Dados[[#This Row],[Ticker do Ativo]]="","",Dados[[#This Row],[Ticker do Ativo]])</f>
        <v>27.717.359/0001-30</v>
      </c>
      <c r="BN9" s="194" t="e" vm="1">
        <v>#VALUE!</v>
      </c>
      <c r="BO9" s="51" cm="1">
        <f t="array" ref="BO9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>3.948E-4</v>
      </c>
      <c r="BP9" s="191"/>
      <c r="BQ9" s="197">
        <f>IFERROR(Dados[[#This Row],[Saldo Bruto | Mês Atual]]*(1+Dados[[#This Row],[Taxa RF / FI]])+Dados[[#This Row],[Movimentações Atualizadas]],Dados[[#This Row],[Saldo Bruto | Mês Atual]]+Dados[[#This Row],[Movimentações Atualizadas]])</f>
        <v>100.03948</v>
      </c>
      <c r="BR9" s="51">
        <f>IFERROR(Dados[[#This Row],[Saldo Atualizado]]/SUM(Dados[Saldo Atualizado]),"0,00%")</f>
        <v>0.24161821476541318</v>
      </c>
      <c r="BS9" s="184">
        <f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3.9480000000002846E-4</v>
      </c>
      <c r="BT9" s="56">
        <f>IF(Dados[[#This Row],[Participação]]="",IF(Dados[[#This Row],[Movimentações Atualizadas]]&gt;0,Dados[[#This Row],[Saldo Atualizado]],Dados[[#This Row],[Saldo Atualizado]]-Dados[[#This Row],[Movimentações Atualizadas]]),0)</f>
        <v>100.03948</v>
      </c>
      <c r="BU9" s="51">
        <f>Dados[[#This Row],[Saldo Corrigido Atualizado]]/SUM(Dados[Saldo Corrigido Atualizado])</f>
        <v>0.24161821476541318</v>
      </c>
      <c r="BV9" s="50"/>
      <c r="BW9" s="50"/>
      <c r="BY9" s="50"/>
      <c r="CA9" s="50"/>
      <c r="CB9" s="50"/>
    </row>
    <row r="10" spans="1:80" ht="11.25">
      <c r="B10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Put Comprada WEGE3 07/24</v>
      </c>
      <c r="C10" s="166">
        <f>$A$3</f>
        <v>45444</v>
      </c>
      <c r="D10" s="50" t="s">
        <v>209</v>
      </c>
      <c r="E10" s="156" t="s">
        <v>203</v>
      </c>
      <c r="F10" s="156" t="s">
        <v>55</v>
      </c>
      <c r="G10" s="156"/>
      <c r="H10" s="156" t="s">
        <v>208</v>
      </c>
      <c r="I10" s="54">
        <v>45495</v>
      </c>
      <c r="L10" s="50">
        <v>2024</v>
      </c>
      <c r="M10" s="156"/>
      <c r="N10" s="194"/>
      <c r="O10" s="51"/>
      <c r="R10" s="156" t="str">
        <f>IFERROR(_xlfn.XLOOKUP(Dados[[#This Row],[Subclasse]],ClasseSubClasse[SubClasse],ClasseSubClasse[Classe]),"ERRO")</f>
        <v>Opções</v>
      </c>
      <c r="S10" s="50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Put Comprada WEGE3 07/24</v>
      </c>
      <c r="T10" s="156" t="str">
        <f>IFERROR(_xlfn.XLOOKUP(Dados[[#This Row],[Subclasse]],ClasseSubClasse[SubClasse],ClasseSubClasse[Nomenclatura]),"ERRO")</f>
        <v>Opções - Derivativos</v>
      </c>
      <c r="U10" s="51" t="str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/>
      </c>
      <c r="V10" s="51"/>
      <c r="W10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10" s="50"/>
      <c r="Y10" s="51" t="str" cm="1">
        <f t="array" ref="Y10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10" s="55" t="str">
        <f>IFERROR((1+Dados[[#This Row],[Taxa | Esperada]])*Dados[[#This Row],[Saldo Líquido | Mês Anterior]]+Dados[[#This Row],[Juros / Dividendos]],"")</f>
        <v/>
      </c>
      <c r="AA10" s="55" t="str">
        <f>IFERROR(IF(Dados[[#This Row],[Classe]]="Renda Fixa",(1+Dados[[#This Row],[Taxa | Esperada]])*Dados[[#This Row],[Saldo Bruto | Mês Anterior]]+Dados[[#This Row],[Juros / Dividendos]],""),"")</f>
        <v/>
      </c>
      <c r="AC10" s="56">
        <v>20</v>
      </c>
      <c r="AD10" s="56">
        <v>200</v>
      </c>
      <c r="AE10" s="56"/>
      <c r="AF10" s="56"/>
      <c r="AG10" s="56"/>
      <c r="AH10" s="56"/>
      <c r="AI10" s="56"/>
      <c r="AJ10" s="56"/>
      <c r="AL10" s="51">
        <f>Dados[[#This Row],[Saldo Bruto | Mês Anterior]]/SUM(Dados[Saldo Bruto | Mês Anterior])</f>
        <v>1.6487989119860921E-2</v>
      </c>
      <c r="AM10" s="56">
        <f>Dados[[#This Row],[Saldo Bruto | Mês Anterior]]-Dados[[#This Row],[Saldo Líquido | Mês Anterior]]</f>
        <v>0</v>
      </c>
      <c r="AN10" s="56">
        <v>695.76</v>
      </c>
      <c r="AO10" s="56">
        <v>695.76</v>
      </c>
      <c r="AP10" s="56">
        <v>0</v>
      </c>
      <c r="AQ10" s="56">
        <v>0</v>
      </c>
      <c r="AS10" s="51">
        <v>4</v>
      </c>
      <c r="AT10" s="56">
        <f>Dados[[#This Row],[Saldo Bruto | Mês Atual]]-Dados[[#This Row],[Saldo Líquido | Mês Atual]]</f>
        <v>199</v>
      </c>
      <c r="AU10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-0.71254455559388297</v>
      </c>
      <c r="AV10" s="56">
        <v>1</v>
      </c>
      <c r="AW10" s="56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200</v>
      </c>
      <c r="AX10" s="56">
        <f>SUM(Dados[[#This Row],[Aplicações]:[Cashback]])</f>
        <v>0</v>
      </c>
      <c r="AY10" s="56">
        <f>Dados[[#This Row],[Imposto Pago]]</f>
        <v>0</v>
      </c>
      <c r="AZ10" s="50"/>
      <c r="BA10" s="50" t="b">
        <f>OR(Dados[[#This Row],[Saldo Bruto | Mês Anterior]]&lt;&gt;0,Dados[[#This Row],[Saldo Bruto | Mês Atual]]&lt;&gt;0,Dados[[#This Row],[Movimentaçao | Mês Atual]]&lt;&gt;0)</f>
        <v>1</v>
      </c>
      <c r="BB10" s="56"/>
      <c r="BC10" s="56">
        <f>IF(Dados[[#This Row],[Participação]]="",IF(Dados[[#This Row],[Movimentaçao | Mês Atual]]&gt;0,Dados[[#This Row],[Saldo Bruto | Mês Atual]],Dados[[#This Row],[Saldo Bruto | Mês Atual]]-Dados[[#This Row],[Movimentaçao | Mês Atual]]),0)</f>
        <v>200</v>
      </c>
      <c r="BD10" s="51">
        <f>IFERROR(Dados[[#This Row],[Saldo Corrigido]]/SUM(Dados[Saldo Corrigido]),"0,00%")</f>
        <v>0.4830684507994783</v>
      </c>
      <c r="BE10" s="51">
        <f>IFERROR(SUMPRODUCT(Dados[Performance | Mês Atual],Dados[Peso Corrigido | Carteira]),"0,00%")</f>
        <v>5.5617732315065895</v>
      </c>
      <c r="BF10" s="51">
        <f>IFERROR(Dados[[#This Row],[Saldo Corrigido]]/SUMIF(Dados[Custódia],Dados[[#This Row],[Custódia]],Dados[Saldo Corrigido]),"0,00%")</f>
        <v>0.4830684507994783</v>
      </c>
      <c r="BG10" s="51" cm="1">
        <f t="array" ref="BG10">IFERROR(SUMPRODUCT((_xlfn._xlws.FILTER(Dados[Peso Corrigido | Custódia],Dados[Custódia]=Dados[[#This Row],[Custódia]])),_xlfn._xlws.FILTER(Dados[Performance | Mês Atual],Dados[Custódia]=Dados[[#This Row],[Custódia]])),"0,00%")</f>
        <v>5.5617732315065895</v>
      </c>
      <c r="BH10" s="51">
        <f>IFERROR(Dados[[#This Row],[Saldo Corrigido]]/SUMIF(Dados[Subclasse],Dados[[#This Row],[Subclasse]],Dados[Saldo Corrigido]),"0,00%")</f>
        <v>0.8</v>
      </c>
      <c r="BI10" s="51" cm="1">
        <f t="array" ref="BI10">IFERROR(SUMPRODUCT((_xlfn._xlws.FILTER(Dados[Peso Corrigido | SubClasse],Dados[Subclasse]=Dados[[#This Row],[Subclasse]])),_xlfn._xlws.FILTER(Dados[Performance | Mês Atual],Dados[Subclasse]=Dados[[#This Row],[Subclasse]])),"0,00%")</f>
        <v>9.6466310221915617</v>
      </c>
      <c r="BJ10" s="51">
        <f>IFERROR(Dados[[#This Row],[Saldo Corrigido]]/SUMIF(Dados[Classe],Dados[[#This Row],[Classe]],Dados[Saldo Corrigido]),"0,00%")</f>
        <v>0.64514047933937613</v>
      </c>
      <c r="BK10" s="51" cm="1">
        <f t="array" ref="BK10">IFERROR(SUMPRODUCT((_xlfn._xlws.FILTER(Dados[Peso Corrigido | Classe],Dados[Classe]=Dados[[#This Row],[Classe]])),_xlfn._xlws.FILTER(Dados[Performance | Mês Atual],Dados[Classe]=Dados[[#This Row],[Classe]])),"0,00%")</f>
        <v>7.5859970359700188</v>
      </c>
      <c r="BL10" s="51"/>
      <c r="BM10" s="194" t="str">
        <f>IF(Dados[[#This Row],[Ticker do Ativo]]="","",Dados[[#This Row],[Ticker do Ativo]])</f>
        <v/>
      </c>
      <c r="BN10" s="194"/>
      <c r="BO10" s="51" t="str" cm="1">
        <f t="array" ref="BO10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/>
      </c>
      <c r="BP10" s="191"/>
      <c r="BQ10" s="197">
        <f>IFERROR(Dados[[#This Row],[Saldo Bruto | Mês Atual]]*(1+Dados[[#This Row],[Taxa RF / FI]])+Dados[[#This Row],[Movimentações Atualizadas]],Dados[[#This Row],[Saldo Bruto | Mês Atual]]+Dados[[#This Row],[Movimentações Atualizadas]])</f>
        <v>200</v>
      </c>
      <c r="BR10" s="51">
        <f>IFERROR(Dados[[#This Row],[Saldo Atualizado]]/SUM(Dados[Saldo Atualizado]),"0,00%")</f>
        <v>0.48304572307935462</v>
      </c>
      <c r="BS10" s="184">
        <f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0</v>
      </c>
      <c r="BT10" s="56">
        <f>IF(Dados[[#This Row],[Participação]]="",IF(Dados[[#This Row],[Movimentações Atualizadas]]&gt;0,Dados[[#This Row],[Saldo Atualizado]],Dados[[#This Row],[Saldo Atualizado]]-Dados[[#This Row],[Movimentações Atualizadas]]),0)</f>
        <v>200</v>
      </c>
      <c r="BU10" s="51">
        <f>Dados[[#This Row],[Saldo Corrigido Atualizado]]/SUM(Dados[Saldo Corrigido Atualizado])</f>
        <v>0.48304572307935462</v>
      </c>
      <c r="BV10" s="50"/>
      <c r="BW10" s="50"/>
      <c r="BY10" s="50"/>
      <c r="CA10" s="50"/>
      <c r="CB10" s="50"/>
    </row>
    <row r="11" spans="1:80">
      <c r="BV11" s="50"/>
      <c r="BW11" s="50"/>
      <c r="BY11" s="50"/>
      <c r="CA11" s="50"/>
      <c r="CB11" s="50"/>
    </row>
    <row r="12" spans="1:80">
      <c r="BV12" s="50"/>
      <c r="BW12" s="50"/>
      <c r="BY12" s="50"/>
      <c r="CA12" s="50"/>
      <c r="CB12" s="50"/>
    </row>
    <row r="13" spans="1:80">
      <c r="BW13" s="50"/>
      <c r="BY13" s="50"/>
      <c r="CA13" s="50"/>
      <c r="CB13" s="50"/>
    </row>
    <row r="14" spans="1:80">
      <c r="BW14" s="50"/>
      <c r="BY14" s="50"/>
      <c r="CA14" s="50"/>
      <c r="CB14" s="50"/>
    </row>
    <row r="15" spans="1:80">
      <c r="BW15" s="50"/>
      <c r="BY15" s="50"/>
      <c r="CA15" s="50"/>
      <c r="CB15" s="50"/>
    </row>
    <row r="16" spans="1:80">
      <c r="BW16" s="50"/>
      <c r="BY16" s="50"/>
      <c r="CA16" s="50"/>
      <c r="CB16" s="50"/>
    </row>
    <row r="17" spans="45:80">
      <c r="BW17" s="50"/>
      <c r="BY17" s="50"/>
      <c r="CA17" s="50"/>
      <c r="CB17" s="50"/>
    </row>
    <row r="18" spans="45:80">
      <c r="AS18" s="225"/>
      <c r="BW18" s="50"/>
      <c r="BY18" s="50"/>
      <c r="CA18" s="50"/>
      <c r="CB18" s="50"/>
    </row>
    <row r="19" spans="45:80">
      <c r="BW19" s="50"/>
      <c r="BY19" s="50"/>
      <c r="CA19" s="50"/>
      <c r="CB19" s="50"/>
    </row>
    <row r="20" spans="45:80">
      <c r="BW20" s="50"/>
      <c r="BY20" s="50"/>
      <c r="CA20" s="50"/>
      <c r="CB20" s="50"/>
    </row>
    <row r="21" spans="45:80">
      <c r="BW21" s="50"/>
      <c r="BY21" s="50"/>
      <c r="CA21" s="50"/>
      <c r="CB21" s="50"/>
    </row>
    <row r="22" spans="45:80">
      <c r="BW22" s="50"/>
      <c r="BY22" s="50"/>
      <c r="CA22" s="50"/>
      <c r="CB22" s="50"/>
    </row>
    <row r="23" spans="45:80">
      <c r="BW23" s="50"/>
      <c r="BY23" s="50"/>
      <c r="CA23" s="50"/>
      <c r="CB23" s="50"/>
    </row>
    <row r="24" spans="45:80">
      <c r="BW24" s="50"/>
      <c r="BY24" s="50"/>
      <c r="CA24" s="50"/>
      <c r="CB24" s="50"/>
    </row>
    <row r="25" spans="45:80">
      <c r="BW25" s="50"/>
      <c r="BY25" s="50"/>
      <c r="CA25" s="50"/>
      <c r="CB25" s="50"/>
    </row>
    <row r="26" spans="45:80">
      <c r="BW26" s="50"/>
      <c r="BY26" s="50"/>
      <c r="CA26" s="50"/>
      <c r="CB26" s="50"/>
    </row>
    <row r="27" spans="45:80">
      <c r="BW27" s="50"/>
      <c r="BY27" s="50"/>
      <c r="CA27" s="50"/>
      <c r="CB27" s="50"/>
    </row>
    <row r="28" spans="45:80">
      <c r="BW28" s="50"/>
      <c r="BY28" s="50"/>
      <c r="CA28" s="50"/>
      <c r="CB28" s="50"/>
    </row>
  </sheetData>
  <phoneticPr fontId="27" type="noConversion"/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>
                  <from>
                    <xdr:col>24</xdr:col>
                    <xdr:colOff>85725</xdr:colOff>
                    <xdr:row>0</xdr:row>
                    <xdr:rowOff>38100</xdr:rowOff>
                  </from>
                  <to>
                    <xdr:col>26</xdr:col>
                    <xdr:colOff>1209675</xdr:colOff>
                    <xdr:row>2</xdr:row>
                    <xdr:rowOff>152400</xdr:rowOff>
                  </to>
                </anchor>
              </controlPr>
            </control>
          </mc:Choice>
        </mc:AlternateContent>
      </controls>
    </mc:Choice>
  </mc:AlternateContent>
  <tableParts count="1">
    <tablePart r:id="rId4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9F6F0-BE8C-4AE2-8780-017A91E14A1D}">
  <sheetPr codeName="Planilha8"/>
  <dimension ref="B1:AY45"/>
  <sheetViews>
    <sheetView topLeftCell="M1" workbookViewId="0">
      <selection activeCell="W21" sqref="W21"/>
    </sheetView>
  </sheetViews>
  <sheetFormatPr defaultRowHeight="15"/>
  <cols>
    <col min="2" max="2" width="16.85546875" bestFit="1" customWidth="1"/>
    <col min="3" max="3" width="31.85546875" bestFit="1" customWidth="1"/>
    <col min="4" max="4" width="23.42578125" bestFit="1" customWidth="1"/>
    <col min="5" max="5" width="14.5703125" bestFit="1" customWidth="1"/>
    <col min="6" max="6" width="9.140625" customWidth="1"/>
    <col min="7" max="7" width="5.42578125" bestFit="1" customWidth="1"/>
    <col min="8" max="8" width="15.85546875" bestFit="1" customWidth="1"/>
    <col min="9" max="9" width="14.42578125" bestFit="1" customWidth="1"/>
    <col min="10" max="10" width="14" bestFit="1" customWidth="1"/>
    <col min="11" max="11" width="20" bestFit="1" customWidth="1"/>
    <col min="12" max="12" width="19.28515625" bestFit="1" customWidth="1"/>
    <col min="13" max="13" width="9.140625" customWidth="1"/>
    <col min="14" max="14" width="9.42578125" bestFit="1" customWidth="1"/>
    <col min="15" max="15" width="13.140625" bestFit="1" customWidth="1"/>
    <col min="16" max="16" width="14.42578125" bestFit="1" customWidth="1"/>
    <col min="17" max="17" width="16.5703125" bestFit="1" customWidth="1"/>
    <col min="18" max="18" width="8.5703125" bestFit="1" customWidth="1"/>
    <col min="19" max="19" width="13.5703125" bestFit="1" customWidth="1"/>
    <col min="20" max="20" width="9.7109375" bestFit="1" customWidth="1"/>
    <col min="21" max="21" width="15.28515625" bestFit="1" customWidth="1"/>
    <col min="22" max="22" width="15.85546875" bestFit="1" customWidth="1"/>
    <col min="23" max="23" width="19" bestFit="1" customWidth="1"/>
    <col min="24" max="24" width="19" customWidth="1"/>
    <col min="25" max="25" width="24.7109375" bestFit="1" customWidth="1"/>
    <col min="26" max="31" width="10.7109375" bestFit="1" customWidth="1"/>
    <col min="32" max="32" width="9.140625" bestFit="1" customWidth="1"/>
    <col min="33" max="34" width="9.140625" customWidth="1"/>
    <col min="35" max="35" width="8.7109375" bestFit="1" customWidth="1"/>
    <col min="36" max="36" width="15.85546875" bestFit="1" customWidth="1"/>
    <col min="37" max="37" width="14.42578125" bestFit="1" customWidth="1"/>
    <col min="38" max="38" width="7.140625" bestFit="1" customWidth="1"/>
    <col min="39" max="40" width="12.42578125" bestFit="1" customWidth="1"/>
    <col min="41" max="41" width="14.5703125" bestFit="1" customWidth="1"/>
    <col min="42" max="42" width="15.85546875" bestFit="1" customWidth="1"/>
    <col min="43" max="43" width="14.42578125" bestFit="1" customWidth="1"/>
    <col min="44" max="44" width="7.140625" bestFit="1" customWidth="1"/>
    <col min="45" max="45" width="12.42578125" bestFit="1" customWidth="1"/>
    <col min="46" max="46" width="7.28515625" bestFit="1" customWidth="1"/>
    <col min="47" max="47" width="31.85546875" bestFit="1" customWidth="1"/>
    <col min="48" max="49" width="15.85546875" bestFit="1" customWidth="1"/>
    <col min="50" max="50" width="7.140625" bestFit="1" customWidth="1"/>
    <col min="51" max="52" width="12.42578125" bestFit="1" customWidth="1"/>
  </cols>
  <sheetData>
    <row r="1" spans="2:51">
      <c r="N1" s="185">
        <v>12</v>
      </c>
      <c r="O1" t="s">
        <v>165</v>
      </c>
    </row>
    <row r="2" spans="2:51">
      <c r="AI2" s="233" t="s">
        <v>0</v>
      </c>
      <c r="AJ2" s="233"/>
      <c r="AK2" s="233"/>
      <c r="AL2" s="233"/>
      <c r="AM2" s="233"/>
      <c r="AO2" s="233" t="s">
        <v>63</v>
      </c>
      <c r="AP2" s="233"/>
      <c r="AQ2" s="233"/>
      <c r="AR2" s="233"/>
      <c r="AS2" s="233"/>
      <c r="AU2" s="233" t="s">
        <v>43</v>
      </c>
      <c r="AV2" s="233"/>
      <c r="AW2" s="233"/>
      <c r="AX2" s="233"/>
      <c r="AY2" s="233"/>
    </row>
    <row r="3" spans="2:51">
      <c r="B3" s="18" t="s">
        <v>63</v>
      </c>
      <c r="C3" s="18" t="s">
        <v>43</v>
      </c>
      <c r="D3" s="18" t="s">
        <v>143</v>
      </c>
      <c r="E3" s="18" t="s">
        <v>135</v>
      </c>
      <c r="G3" s="28"/>
      <c r="H3" s="28" t="s">
        <v>72</v>
      </c>
      <c r="I3" s="28" t="s">
        <v>73</v>
      </c>
      <c r="J3" s="28" t="s">
        <v>76</v>
      </c>
      <c r="K3" s="28" t="s">
        <v>77</v>
      </c>
      <c r="L3" s="28" t="s">
        <v>78</v>
      </c>
      <c r="N3" s="37">
        <f>Dados!$A$3</f>
        <v>45444</v>
      </c>
      <c r="O3" s="36" t="s">
        <v>94</v>
      </c>
      <c r="P3" s="36">
        <v>20</v>
      </c>
      <c r="Q3" s="38">
        <v>3.8999999999999998E-3</v>
      </c>
      <c r="R3" s="38">
        <v>7.9000000000000008E-3</v>
      </c>
      <c r="S3" s="38">
        <v>1.4800000000000001E-2</v>
      </c>
      <c r="T3" s="38">
        <v>2.0999999999999999E-3</v>
      </c>
      <c r="U3" s="36">
        <v>5.5589000000000004</v>
      </c>
      <c r="V3" s="39">
        <f>$H$11</f>
        <v>414</v>
      </c>
      <c r="W3" s="39">
        <f>$I$11</f>
        <v>-0.02</v>
      </c>
      <c r="X3" s="39">
        <f>ABS(SUM(Dados[Cashback]))</f>
        <v>0.02</v>
      </c>
      <c r="Y3" s="40">
        <f>$K$11</f>
        <v>0.1052</v>
      </c>
      <c r="Z3" s="40">
        <f>$K$4</f>
        <v>0.1052</v>
      </c>
      <c r="AA3" s="40">
        <f>$K$5</f>
        <v>0</v>
      </c>
      <c r="AB3" s="40">
        <f>$K$6</f>
        <v>0</v>
      </c>
      <c r="AC3" s="40">
        <f>$K$7</f>
        <v>0</v>
      </c>
      <c r="AD3" s="40">
        <f>$K$8</f>
        <v>0</v>
      </c>
      <c r="AE3" s="40">
        <f>$K$9</f>
        <v>0</v>
      </c>
      <c r="AI3" s="28" t="s">
        <v>0</v>
      </c>
      <c r="AJ3" s="28" t="s">
        <v>72</v>
      </c>
      <c r="AK3" s="28" t="s">
        <v>73</v>
      </c>
      <c r="AL3" s="28" t="s">
        <v>74</v>
      </c>
      <c r="AM3" s="28" t="s">
        <v>75</v>
      </c>
      <c r="AO3" s="28" t="s">
        <v>63</v>
      </c>
      <c r="AP3" s="28" t="s">
        <v>72</v>
      </c>
      <c r="AQ3" s="28" t="s">
        <v>73</v>
      </c>
      <c r="AR3" s="28" t="s">
        <v>74</v>
      </c>
      <c r="AS3" s="28" t="s">
        <v>75</v>
      </c>
      <c r="AU3" s="28" t="s">
        <v>43</v>
      </c>
      <c r="AV3" s="28" t="s">
        <v>72</v>
      </c>
      <c r="AW3" s="28" t="s">
        <v>73</v>
      </c>
      <c r="AX3" s="28" t="s">
        <v>74</v>
      </c>
      <c r="AY3" s="28" t="s">
        <v>75</v>
      </c>
    </row>
    <row r="4" spans="2:51">
      <c r="B4" t="s">
        <v>44</v>
      </c>
      <c r="C4" t="s">
        <v>45</v>
      </c>
      <c r="D4" t="s">
        <v>154</v>
      </c>
      <c r="E4">
        <f>COUNTIFS(Dados[Subclasse],ClasseSubClasse[[#This Row],[SubClasse]],Dados[Lista?],TRUE)</f>
        <v>0</v>
      </c>
      <c r="G4" t="str" cm="1">
        <f t="array" ref="G4">_xlfn._xlws.SORT(_xlfn.UNIQUE(Dados[Custódia]))</f>
        <v>BTG</v>
      </c>
      <c r="H4" s="24">
        <f>IF(G4="","",SUMIF(Dados[Custódia],G4,Dados[Saldo Bruto | Mês Atual]))</f>
        <v>414</v>
      </c>
      <c r="I4" s="24">
        <f>IF(G4="","",SUMIF(Dados[Custódia],G4,Dados[Movimentaçao | Mês Atual]))</f>
        <v>-0.02</v>
      </c>
      <c r="J4" s="42">
        <f>IF(G4="","",SUMIF(Dados[Custódia],G4,Dados[Peso Corrigido | Carteira]))</f>
        <v>1</v>
      </c>
      <c r="K4" s="42">
        <v>0.1052</v>
      </c>
      <c r="L4" s="42">
        <f>IF(G4="","",_xlfn.XLOOKUP(G4,Dados[Custódia],Dados[Performance Custódia]))</f>
        <v>5.5617732315065895</v>
      </c>
      <c r="AI4" t="str" cm="1">
        <f t="array" ref="AI4">_xlfn._xlws.SORT(_xlfn.UNIQUE(Dados[Custódia]),1,1)</f>
        <v>BTG</v>
      </c>
      <c r="AJ4" s="24">
        <f>IF(AI4="","",SUMIF(Dados[Custódia],AI4,Dados[Saldo Bruto | Mês Atual]))</f>
        <v>414</v>
      </c>
      <c r="AK4" s="24">
        <f>IF(AI4="","",SUMIF(Dados[Custódia],AI4,Dados[Movimentaçao | Mês Atual]))</f>
        <v>-0.02</v>
      </c>
      <c r="AL4" s="26">
        <f>IF(AI4="","",AJ4/SUM($AJ$4:$AJ$27))</f>
        <v>1</v>
      </c>
      <c r="AM4" s="26">
        <f>IF(AI4="","",_xlfn.XLOOKUP(AI4,Dados[Custódia],Dados[Performance Custódia]))</f>
        <v>5.5617732315065895</v>
      </c>
      <c r="AO4" t="str" cm="1">
        <f t="array" ref="AO4:AO7">_xlfn._xlws.SORT(_xlfn.UNIQUE(Dados[Subclasse]),1,1)</f>
        <v>Conta Corrente</v>
      </c>
      <c r="AP4" s="24">
        <f>IF(AO4="","",SUMIF(Dados[Subclasse],AO4,Dados[Saldo Bruto | Mês Atual]))</f>
        <v>4</v>
      </c>
      <c r="AQ4" s="24">
        <f>IF(AO4="","",SUMIF(Dados[Movimentaçao | Mês Atual],AO4,Dados[Movimentaçao | Mês Atual]))</f>
        <v>0</v>
      </c>
      <c r="AR4" s="26">
        <f>IF(AO4="","",AP4/SUM($AP$4:$AP$27))</f>
        <v>9.6618357487922701E-3</v>
      </c>
      <c r="AS4" s="26">
        <f>IF(AO4="","",_xlfn.XLOOKUP(AO4,Dados[Subclasse],Dados[Performance SubClasse]))</f>
        <v>0</v>
      </c>
      <c r="AU4" t="str" cm="1">
        <f t="array" ref="AU4:AU6">_xlfn._xlws.SORT(_xlfn.UNIQUE(Dados[Classe]),1,1)</f>
        <v>Corrente, Poupança e Empréstimo</v>
      </c>
      <c r="AV4" s="24">
        <f>IF(AU4="","",SUMIF(Dados[Classe],AU4,Dados[Saldo Bruto | Mês Atual]))</f>
        <v>4</v>
      </c>
      <c r="AW4" s="24">
        <f>IF(AU4="","",SUMIF(Dados[Classe],AU4,Dados[Movimentaçao | Mês Atual]))</f>
        <v>0</v>
      </c>
      <c r="AX4" s="26">
        <f>IF(AU4="","",AV4/SUM($AV$4:$AV$27))</f>
        <v>9.6618357487922701E-3</v>
      </c>
      <c r="AY4" s="26">
        <f>IF(AU4="","",_xlfn.XLOOKUP(AU4,Dados[Classe],Dados[Performance Classe]))</f>
        <v>0</v>
      </c>
    </row>
    <row r="5" spans="2:51">
      <c r="B5" t="s">
        <v>166</v>
      </c>
      <c r="C5" t="s">
        <v>45</v>
      </c>
      <c r="D5" t="s">
        <v>167</v>
      </c>
      <c r="E5">
        <f>COUNTIFS(Dados[Subclasse],ClasseSubClasse[[#This Row],[SubClasse]],Dados[Lista?],TRUE)</f>
        <v>0</v>
      </c>
      <c r="G5" s="23"/>
      <c r="H5" s="25" t="str">
        <f>IF(G5="","",SUMIF(Dados[Custódia],G5,Dados[Saldo Bruto | Mês Atual]))</f>
        <v/>
      </c>
      <c r="I5" s="25" t="str">
        <f>IF(G5="","",SUMIF(Dados[Custódia],G5,Dados[Movimentaçao | Mês Atual]))</f>
        <v/>
      </c>
      <c r="J5" s="43" t="str">
        <f>IF(G5="","",SUMIF(Dados[Custódia],G5,Dados[Peso Corrigido | Carteira]))</f>
        <v/>
      </c>
      <c r="K5" s="43"/>
      <c r="L5" s="43" t="str">
        <f>IF(G5="","",_xlfn.XLOOKUP(G5,Dados[Custódia],Dados[Performance Custódia]))</f>
        <v/>
      </c>
      <c r="Z5" s="18" t="str" cm="1">
        <f t="array" ref="Z5">TRANSPOSE(_xlfn._xlws.SORT(_xlfn.UNIQUE(Dados[Custódia])))</f>
        <v>BTG</v>
      </c>
      <c r="AA5" s="18"/>
      <c r="AB5" s="18"/>
      <c r="AC5" s="18"/>
      <c r="AD5" s="18"/>
      <c r="AE5" s="18"/>
      <c r="AI5" s="23"/>
      <c r="AJ5" s="25" t="str">
        <f>IF(AI5="","",SUMIF(Dados[Custódia],AI5,Dados[Saldo Bruto | Mês Atual]))</f>
        <v/>
      </c>
      <c r="AK5" s="25" t="str">
        <f>IF(AI5="","",SUMIF(Dados[Custódia],AI5,Dados[Movimentaçao | Mês Atual]))</f>
        <v/>
      </c>
      <c r="AL5" s="27" t="str">
        <f t="shared" ref="AL5:AL27" si="0">IF(AI5="","",AJ5/SUM($AJ$4:$AJ$27))</f>
        <v/>
      </c>
      <c r="AM5" s="27" t="str">
        <f>IF(AI5="","",_xlfn.XLOOKUP(AI5,Dados[Custódia],Dados[Performance Custódia]))</f>
        <v/>
      </c>
      <c r="AO5" s="23" t="str">
        <v>Derivativos</v>
      </c>
      <c r="AP5" s="25">
        <f>IF(AO5="","",SUMIF(Dados[Subclasse],AO5,Dados[Saldo Bruto | Mês Atual]))</f>
        <v>250</v>
      </c>
      <c r="AQ5" s="25">
        <f>IF(AO5="","",SUMIF(Dados[Movimentaçao | Mês Atual],AO5,Dados[Movimentaçao | Mês Atual]))</f>
        <v>0</v>
      </c>
      <c r="AR5" s="27">
        <f t="shared" ref="AR5:AR27" si="1">IF(AO5="","",AP5/SUM($AP$4:$AP$27))</f>
        <v>0.60386473429951693</v>
      </c>
      <c r="AS5" s="27">
        <f>IF(AO5="","",_xlfn.XLOOKUP(AO5,Dados[Subclasse],Dados[Performance SubClasse]))</f>
        <v>9.6466310221915617</v>
      </c>
      <c r="AU5" s="23" t="str">
        <v>Fundos de Investimento</v>
      </c>
      <c r="AV5" s="25">
        <f>IF(AU5="","",SUMIF(Dados[Classe],AU5,Dados[Saldo Bruto | Mês Atual]))</f>
        <v>100</v>
      </c>
      <c r="AW5" s="25">
        <f>IF(AU5="","",SUMIF(Dados[Classe],AU5,Dados[Movimentaçao | Mês Atual]))</f>
        <v>-0.01</v>
      </c>
      <c r="AX5" s="27">
        <f t="shared" ref="AX5:AX27" si="2">IF(AU5="","",AV5/SUM($AV$4:$AV$27))</f>
        <v>0.24154589371980675</v>
      </c>
      <c r="AY5" s="27">
        <f>IF(AU5="","",_xlfn.XLOOKUP(AU5,Dados[Classe],Dados[Performance Classe]))</f>
        <v>-0.49044683344372553</v>
      </c>
    </row>
    <row r="6" spans="2:51">
      <c r="B6" t="s">
        <v>46</v>
      </c>
      <c r="C6" t="s">
        <v>47</v>
      </c>
      <c r="D6" t="s">
        <v>144</v>
      </c>
      <c r="E6">
        <f>COUNTIFS(Dados[Subclasse],ClasseSubClasse[[#This Row],[SubClasse]],Dados[Lista?],TRUE)</f>
        <v>0</v>
      </c>
      <c r="H6" s="24" t="str">
        <f>IF(G6="","",SUMIF(Dados[Custódia],G6,Dados[Saldo Bruto | Mês Atual]))</f>
        <v/>
      </c>
      <c r="I6" s="24" t="str">
        <f>IF(G6="","",SUMIF(Dados[Custódia],G6,Dados[Movimentaçao | Mês Atual]))</f>
        <v/>
      </c>
      <c r="J6" s="42" t="str">
        <f>IF(G6="","",SUMIF(Dados[Custódia],G6,Dados[Peso Corrigido | Carteira]))</f>
        <v/>
      </c>
      <c r="K6" s="42"/>
      <c r="L6" s="42" t="str">
        <f>IF(G6="","",_xlfn.XLOOKUP(G6,Dados[Custódia],Dados[Performance Custódia]))</f>
        <v/>
      </c>
      <c r="N6" s="28" t="s">
        <v>40</v>
      </c>
      <c r="O6" s="28" t="s">
        <v>92</v>
      </c>
      <c r="P6" s="28" t="s">
        <v>80</v>
      </c>
      <c r="Q6" s="28" t="s">
        <v>85</v>
      </c>
      <c r="R6" s="28" t="s">
        <v>81</v>
      </c>
      <c r="S6" s="28" t="s">
        <v>83</v>
      </c>
      <c r="T6" s="28" t="s">
        <v>82</v>
      </c>
      <c r="U6" s="28" t="s">
        <v>84</v>
      </c>
      <c r="V6" s="28" t="s">
        <v>72</v>
      </c>
      <c r="W6" s="28" t="s">
        <v>73</v>
      </c>
      <c r="X6" s="28" t="s">
        <v>169</v>
      </c>
      <c r="Y6" s="28" t="s">
        <v>36</v>
      </c>
      <c r="Z6" s="28" t="s">
        <v>87</v>
      </c>
      <c r="AA6" s="28" t="s">
        <v>86</v>
      </c>
      <c r="AB6" s="28" t="s">
        <v>88</v>
      </c>
      <c r="AC6" s="28" t="s">
        <v>89</v>
      </c>
      <c r="AD6" s="28" t="s">
        <v>90</v>
      </c>
      <c r="AE6" s="28" t="s">
        <v>91</v>
      </c>
      <c r="AF6" s="28" t="s">
        <v>93</v>
      </c>
      <c r="AJ6" s="24" t="str">
        <f>IF(AI6="","",SUMIF(Dados[Custódia],AI6,Dados[Saldo Bruto | Mês Atual]))</f>
        <v/>
      </c>
      <c r="AK6" s="24" t="str">
        <f>IF(AI6="","",SUMIF(Dados[Custódia],AI6,Dados[Movimentaçao | Mês Atual]))</f>
        <v/>
      </c>
      <c r="AL6" s="26" t="str">
        <f t="shared" si="0"/>
        <v/>
      </c>
      <c r="AM6" s="26" t="str">
        <f>IF(AI6="","",_xlfn.XLOOKUP(AI6,Dados[Custódia],Dados[Performance Custódia]))</f>
        <v/>
      </c>
      <c r="AO6" t="str">
        <v>Estruturado</v>
      </c>
      <c r="AP6" s="24">
        <f>IF(AO6="","",SUMIF(Dados[Subclasse],AO6,Dados[Saldo Bruto | Mês Atual]))</f>
        <v>60</v>
      </c>
      <c r="AQ6" s="24">
        <f>IF(AO6="","",SUMIF(Dados[Movimentaçao | Mês Atual],AO6,Dados[Movimentaçao | Mês Atual]))</f>
        <v>0</v>
      </c>
      <c r="AR6" s="26">
        <f t="shared" si="1"/>
        <v>0.14492753623188406</v>
      </c>
      <c r="AS6" s="26">
        <f>IF(AO6="","",_xlfn.XLOOKUP(AO6,Dados[Subclasse],Dados[Performance SubClasse]))</f>
        <v>-0.99854714925553811</v>
      </c>
      <c r="AU6" t="str">
        <v>Opções</v>
      </c>
      <c r="AV6" s="24">
        <f>IF(AU6="","",SUMIF(Dados[Classe],AU6,Dados[Saldo Bruto | Mês Atual]))</f>
        <v>310</v>
      </c>
      <c r="AW6" s="24">
        <f>IF(AU6="","",SUMIF(Dados[Classe],AU6,Dados[Movimentaçao | Mês Atual]))</f>
        <v>-0.01</v>
      </c>
      <c r="AX6" s="26">
        <f t="shared" si="2"/>
        <v>0.74879227053140096</v>
      </c>
      <c r="AY6" s="26">
        <f>IF(AU6="","",_xlfn.XLOOKUP(AU6,Dados[Classe],Dados[Performance Classe]))</f>
        <v>7.5859970359700188</v>
      </c>
    </row>
    <row r="7" spans="2:51">
      <c r="B7" t="s">
        <v>49</v>
      </c>
      <c r="C7" t="s">
        <v>47</v>
      </c>
      <c r="D7" t="s">
        <v>146</v>
      </c>
      <c r="E7">
        <f>COUNTIFS(Dados[Subclasse],ClasseSubClasse[[#This Row],[SubClasse]],Dados[Lista?],TRUE)</f>
        <v>0</v>
      </c>
      <c r="G7" s="23"/>
      <c r="H7" s="25" t="str">
        <f>IF(G7="","",SUMIF(Dados[Custódia],G7,Dados[Saldo Bruto | Mês Atual]))</f>
        <v/>
      </c>
      <c r="I7" s="25" t="str">
        <f>IF(G7="","",SUMIF(Dados[Custódia],G7,Dados[Movimentaçao | Mês Atual]))</f>
        <v/>
      </c>
      <c r="J7" s="43" t="str">
        <f>IF(G7="","",SUMIF(Dados[Custódia],G7,Dados[Peso Corrigido | Carteira]))</f>
        <v/>
      </c>
      <c r="K7" s="43"/>
      <c r="L7" s="43" t="str">
        <f>IF(G7="","",_xlfn.XLOOKUP(G7,Dados[Custódia],Dados[Performance Custódia]))</f>
        <v/>
      </c>
      <c r="N7" s="41">
        <v>45444</v>
      </c>
      <c r="O7" s="18" t="s">
        <v>94</v>
      </c>
      <c r="P7" s="18">
        <v>20</v>
      </c>
      <c r="Q7" s="19">
        <v>3.8999999999999998E-3</v>
      </c>
      <c r="R7" s="19">
        <v>7.9000000000000008E-3</v>
      </c>
      <c r="S7" s="19">
        <v>1.4800000000000001E-2</v>
      </c>
      <c r="T7" s="19">
        <v>2.0999999999999999E-3</v>
      </c>
      <c r="U7" s="18">
        <v>5.5589000000000004</v>
      </c>
      <c r="V7" s="30">
        <v>46638.770000000004</v>
      </c>
      <c r="W7" s="30">
        <v>-0.02</v>
      </c>
      <c r="X7" s="30">
        <v>0.02</v>
      </c>
      <c r="Y7" s="19">
        <v>0.1052</v>
      </c>
      <c r="Z7" s="19">
        <v>0.1052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8">
        <f>YEAR(TabelaHistóricoDados[[#This Row],[Mês]])</f>
        <v>2024</v>
      </c>
      <c r="AI7" s="23"/>
      <c r="AJ7" s="25" t="str">
        <f>IF(AI7="","",SUMIF(Dados[Custódia],AI7,Dados[Saldo Bruto | Mês Atual]))</f>
        <v/>
      </c>
      <c r="AK7" s="25" t="str">
        <f>IF(AI7="","",SUMIF(Dados[Custódia],AI7,Dados[Movimentaçao | Mês Atual]))</f>
        <v/>
      </c>
      <c r="AL7" s="27" t="str">
        <f t="shared" si="0"/>
        <v/>
      </c>
      <c r="AM7" s="27" t="str">
        <f>IF(AI7="","",_xlfn.XLOOKUP(AI7,Dados[Custódia],Dados[Performance Custódia]))</f>
        <v/>
      </c>
      <c r="AO7" s="23" t="str">
        <v>Renda Fixa</v>
      </c>
      <c r="AP7" s="25">
        <f>IF(AO7="","",SUMIF(Dados[Subclasse],AO7,Dados[Saldo Bruto | Mês Atual]))</f>
        <v>100</v>
      </c>
      <c r="AQ7" s="25">
        <f>IF(AO7="","",SUMIF(Dados[Movimentaçao | Mês Atual],AO7,Dados[Movimentaçao | Mês Atual]))</f>
        <v>0</v>
      </c>
      <c r="AR7" s="27">
        <f t="shared" si="1"/>
        <v>0.24154589371980675</v>
      </c>
      <c r="AS7" s="27">
        <f>IF(AO7="","",_xlfn.XLOOKUP(AO7,Dados[Subclasse],Dados[Performance SubClasse]))</f>
        <v>-0.49044683344372553</v>
      </c>
      <c r="AU7" s="23"/>
      <c r="AV7" s="25" t="str">
        <f>IF(AU7="","",SUMIF(Dados[Classe],AU7,Dados[Saldo Bruto | Mês Atual]))</f>
        <v/>
      </c>
      <c r="AW7" s="25" t="str">
        <f>IF(AU7="","",SUMIF(Dados[Classe],AU7,Dados[Movimentaçao | Mês Atual]))</f>
        <v/>
      </c>
      <c r="AX7" s="27" t="str">
        <f t="shared" si="2"/>
        <v/>
      </c>
      <c r="AY7" s="27" t="str">
        <f>IF(AU7="","",_xlfn.XLOOKUP(AU7,Dados[Classe],Dados[Performance Classe]))</f>
        <v/>
      </c>
    </row>
    <row r="8" spans="2:51">
      <c r="B8" t="s">
        <v>50</v>
      </c>
      <c r="C8" t="s">
        <v>47</v>
      </c>
      <c r="D8" t="s">
        <v>147</v>
      </c>
      <c r="E8">
        <f>COUNTIFS(Dados[Subclasse],ClasseSubClasse[[#This Row],[SubClasse]],Dados[Lista?],TRUE)</f>
        <v>0</v>
      </c>
      <c r="H8" s="24" t="str">
        <f>IF(G8="","",SUMIF(Dados[Custódia],G8,Dados[Saldo Bruto | Mês Atual]))</f>
        <v/>
      </c>
      <c r="I8" s="24" t="str">
        <f>IF(G8="","",SUMIF(Dados[Custódia],G8,Dados[Movimentaçao | Mês Atual]))</f>
        <v/>
      </c>
      <c r="J8" s="42" t="str">
        <f>IF(G8="","",SUMIF(Dados[Custódia],G8,Dados[Peso Corrigido | Carteira]))</f>
        <v/>
      </c>
      <c r="K8" s="42"/>
      <c r="L8" s="42" t="str">
        <f>IF(G8="","",_xlfn.XLOOKUP(G8,Dados[Custódia],Dados[Performance Custódia]))</f>
        <v/>
      </c>
      <c r="N8" s="41">
        <v>45413</v>
      </c>
      <c r="O8" s="18" t="s">
        <v>94</v>
      </c>
      <c r="P8" s="18">
        <v>21</v>
      </c>
      <c r="Q8" s="19">
        <v>4.4000000000000003E-3</v>
      </c>
      <c r="R8" s="19">
        <v>8.3000000000000001E-3</v>
      </c>
      <c r="S8" s="19">
        <v>-3.04E-2</v>
      </c>
      <c r="T8" s="19">
        <v>4.5999999999999999E-3</v>
      </c>
      <c r="U8" s="18">
        <v>5.2416</v>
      </c>
      <c r="V8" s="30">
        <v>42198.57</v>
      </c>
      <c r="W8" s="30">
        <v>-1554.2499999999998</v>
      </c>
      <c r="X8" s="30">
        <v>0.09</v>
      </c>
      <c r="Y8" s="19">
        <v>-3.1799999999999995E-2</v>
      </c>
      <c r="Z8" s="19">
        <v>-3.1800000000000002E-2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8">
        <f>YEAR(TabelaHistóricoDados[[#This Row],[Mês]])</f>
        <v>2024</v>
      </c>
      <c r="AJ8" s="24" t="str">
        <f>IF(AI8="","",SUMIF(Dados[Custódia],AI8,Dados[Saldo Bruto | Mês Atual]))</f>
        <v/>
      </c>
      <c r="AK8" s="24" t="str">
        <f>IF(AI8="","",SUMIF(Dados[Custódia],AI8,Dados[Movimentaçao | Mês Atual]))</f>
        <v/>
      </c>
      <c r="AL8" s="26" t="str">
        <f t="shared" si="0"/>
        <v/>
      </c>
      <c r="AM8" s="26" t="str">
        <f>IF(AI8="","",_xlfn.XLOOKUP(AI8,Dados[Custódia],Dados[Performance Custódia]))</f>
        <v/>
      </c>
      <c r="AP8" s="24" t="str">
        <f>IF(AO8="","",SUMIF(Dados[Subclasse],AO8,Dados[Saldo Bruto | Mês Atual]))</f>
        <v/>
      </c>
      <c r="AQ8" s="24" t="str">
        <f>IF(AO8="","",SUMIF(Dados[Movimentaçao | Mês Atual],AO8,Dados[Movimentaçao | Mês Atual]))</f>
        <v/>
      </c>
      <c r="AR8" s="26" t="str">
        <f t="shared" si="1"/>
        <v/>
      </c>
      <c r="AS8" s="26" t="str">
        <f>IF(AO8="","",_xlfn.XLOOKUP(AO8,Dados[Subclasse],Dados[Performance SubClasse]))</f>
        <v/>
      </c>
      <c r="AV8" s="24" t="str">
        <f>IF(AU8="","",SUMIF(Dados[Classe],AU8,Dados[Saldo Bruto | Mês Atual]))</f>
        <v/>
      </c>
      <c r="AW8" s="24" t="str">
        <f>IF(AU8="","",SUMIF(Dados[Classe],AU8,Dados[Movimentaçao | Mês Atual]))</f>
        <v/>
      </c>
      <c r="AX8" s="26" t="str">
        <f t="shared" si="2"/>
        <v/>
      </c>
      <c r="AY8" s="26" t="str">
        <f>IF(AU8="","",_xlfn.XLOOKUP(AU8,Dados[Classe],Dados[Performance Classe]))</f>
        <v/>
      </c>
    </row>
    <row r="9" spans="2:51">
      <c r="B9" t="s">
        <v>60</v>
      </c>
      <c r="C9" t="s">
        <v>47</v>
      </c>
      <c r="D9" t="s">
        <v>148</v>
      </c>
      <c r="E9">
        <f>COUNTIFS(Dados[Subclasse],ClasseSubClasse[[#This Row],[SubClasse]],Dados[Lista?],TRUE)</f>
        <v>0</v>
      </c>
      <c r="G9" s="23"/>
      <c r="H9" s="25" t="str">
        <f>IF(G9="","",SUMIF(Dados[Custódia],G9,Dados[Saldo Bruto | Mês Atual]))</f>
        <v/>
      </c>
      <c r="I9" s="25" t="str">
        <f>IF(G9="","",SUMIF(Dados[Custódia],G9,Dados[Movimentaçao | Mês Atual]))</f>
        <v/>
      </c>
      <c r="J9" s="43" t="str">
        <f>IF(G9="","",SUMIF(Dados[Custódia],G9,Dados[Peso Corrigido | Carteira]))</f>
        <v/>
      </c>
      <c r="K9" s="43"/>
      <c r="L9" s="43" t="str">
        <f>IF(G9="","",_xlfn.XLOOKUP(G9,Dados[Custódia],Dados[Performance Custódia]))</f>
        <v/>
      </c>
      <c r="N9" s="41">
        <v>45383</v>
      </c>
      <c r="O9" s="18" t="s">
        <v>94</v>
      </c>
      <c r="P9" s="18">
        <v>22</v>
      </c>
      <c r="Q9" s="19">
        <v>2.0999999999999999E-3</v>
      </c>
      <c r="R9" s="19">
        <v>8.8999999999999999E-3</v>
      </c>
      <c r="S9" s="19">
        <v>-1.7000000000000001E-2</v>
      </c>
      <c r="T9" s="19">
        <v>3.8E-3</v>
      </c>
      <c r="U9" s="18">
        <v>5.1718000000000002</v>
      </c>
      <c r="V9" s="30">
        <v>45454.6</v>
      </c>
      <c r="W9" s="30">
        <v>-5422.29</v>
      </c>
      <c r="X9" s="30">
        <v>0.3</v>
      </c>
      <c r="Y9" s="19">
        <v>2.2599999999999995E-2</v>
      </c>
      <c r="Z9" s="19">
        <v>2.2599999999999999E-2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8">
        <f>YEAR(TabelaHistóricoDados[[#This Row],[Mês]])</f>
        <v>2024</v>
      </c>
      <c r="AI9" s="23"/>
      <c r="AJ9" s="25" t="str">
        <f>IF(AI9="","",SUMIF(Dados[Custódia],AI9,Dados[Saldo Bruto | Mês Atual]))</f>
        <v/>
      </c>
      <c r="AK9" s="25" t="str">
        <f>IF(AI9="","",SUMIF(Dados[Custódia],AI9,Dados[Movimentaçao | Mês Atual]))</f>
        <v/>
      </c>
      <c r="AL9" s="27" t="str">
        <f t="shared" si="0"/>
        <v/>
      </c>
      <c r="AM9" s="27" t="str">
        <f>IF(AI9="","",_xlfn.XLOOKUP(AI9,Dados[Custódia],Dados[Performance Custódia]))</f>
        <v/>
      </c>
      <c r="AO9" s="23"/>
      <c r="AP9" s="25" t="str">
        <f>IF(AO9="","",SUMIF(Dados[Subclasse],AO9,Dados[Saldo Bruto | Mês Atual]))</f>
        <v/>
      </c>
      <c r="AQ9" s="25" t="str">
        <f>IF(AO9="","",SUMIF(Dados[Movimentaçao | Mês Atual],AO9,Dados[Movimentaçao | Mês Atual]))</f>
        <v/>
      </c>
      <c r="AR9" s="27" t="str">
        <f t="shared" si="1"/>
        <v/>
      </c>
      <c r="AS9" s="27" t="str">
        <f>IF(AO9="","",_xlfn.XLOOKUP(AO9,Dados[Subclasse],Dados[Performance SubClasse]))</f>
        <v/>
      </c>
      <c r="AU9" s="23"/>
      <c r="AV9" s="25" t="str">
        <f>IF(AU9="","",SUMIF(Dados[Classe],AU9,Dados[Saldo Bruto | Mês Atual]))</f>
        <v/>
      </c>
      <c r="AW9" s="25" t="str">
        <f>IF(AU9="","",SUMIF(Dados[Classe],AU9,Dados[Movimentaçao | Mês Atual]))</f>
        <v/>
      </c>
      <c r="AX9" s="27" t="str">
        <f t="shared" si="2"/>
        <v/>
      </c>
      <c r="AY9" s="27" t="str">
        <f>IF(AU9="","",_xlfn.XLOOKUP(AU9,Dados[Classe],Dados[Performance Classe]))</f>
        <v/>
      </c>
    </row>
    <row r="10" spans="2:51" ht="15.75" thickBot="1">
      <c r="B10" t="s">
        <v>48</v>
      </c>
      <c r="C10" t="s">
        <v>47</v>
      </c>
      <c r="D10" t="s">
        <v>149</v>
      </c>
      <c r="E10">
        <f>COUNTIFS(Dados[Subclasse],ClasseSubClasse[[#This Row],[SubClasse]],Dados[Lista?],TRUE)</f>
        <v>0</v>
      </c>
      <c r="J10" s="18"/>
      <c r="K10" s="18"/>
      <c r="L10" s="18"/>
      <c r="N10" s="41">
        <v>45352</v>
      </c>
      <c r="O10" s="18" t="s">
        <v>94</v>
      </c>
      <c r="P10" s="18">
        <v>20</v>
      </c>
      <c r="Q10" s="19">
        <v>3.5999999999999999E-3</v>
      </c>
      <c r="R10" s="19">
        <v>8.3000000000000001E-3</v>
      </c>
      <c r="S10" s="19">
        <v>-7.1000000000000004E-3</v>
      </c>
      <c r="T10" s="19">
        <v>1.6000000000000001E-3</v>
      </c>
      <c r="U10" s="18">
        <v>4.9962</v>
      </c>
      <c r="V10" s="30">
        <v>49728.140000000007</v>
      </c>
      <c r="W10" s="30">
        <v>-20113.029999999995</v>
      </c>
      <c r="X10" s="30">
        <v>0.47000000000000003</v>
      </c>
      <c r="Y10" s="19">
        <v>2.2599999999999995E-2</v>
      </c>
      <c r="Z10" s="19">
        <v>2.2599999999999999E-2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8">
        <f>YEAR(TabelaHistóricoDados[[#This Row],[Mês]])</f>
        <v>2024</v>
      </c>
      <c r="AJ10" s="24" t="str">
        <f>IF(AI10="","",SUMIF(Dados[Custódia],AI10,Dados[Saldo Bruto | Mês Atual]))</f>
        <v/>
      </c>
      <c r="AK10" s="24" t="str">
        <f>IF(AI10="","",SUMIF(Dados[Custódia],AI10,Dados[Movimentaçao | Mês Atual]))</f>
        <v/>
      </c>
      <c r="AL10" s="26" t="str">
        <f t="shared" si="0"/>
        <v/>
      </c>
      <c r="AM10" s="26" t="str">
        <f>IF(AI10="","",_xlfn.XLOOKUP(AI10,Dados[Custódia],Dados[Performance Custódia]))</f>
        <v/>
      </c>
      <c r="AP10" s="24" t="str">
        <f>IF(AO10="","",SUMIF(Dados[Subclasse],AO10,Dados[Saldo Bruto | Mês Atual]))</f>
        <v/>
      </c>
      <c r="AQ10" s="24" t="str">
        <f>IF(AO10="","",SUMIF(Dados[Movimentaçao | Mês Atual],AO10,Dados[Movimentaçao | Mês Atual]))</f>
        <v/>
      </c>
      <c r="AR10" s="26" t="str">
        <f t="shared" si="1"/>
        <v/>
      </c>
      <c r="AS10" s="26" t="str">
        <f>IF(AO10="","",_xlfn.XLOOKUP(AO10,Dados[Subclasse],Dados[Performance SubClasse]))</f>
        <v/>
      </c>
      <c r="AV10" s="24" t="str">
        <f>IF(AU10="","",SUMIF(Dados[Classe],AU10,Dados[Saldo Bruto | Mês Atual]))</f>
        <v/>
      </c>
      <c r="AW10" s="24" t="str">
        <f>IF(AU10="","",SUMIF(Dados[Classe],AU10,Dados[Movimentaçao | Mês Atual]))</f>
        <v/>
      </c>
      <c r="AX10" s="26" t="str">
        <f t="shared" si="2"/>
        <v/>
      </c>
      <c r="AY10" s="26" t="str">
        <f>IF(AU10="","",_xlfn.XLOOKUP(AU10,Dados[Classe],Dados[Performance Classe]))</f>
        <v/>
      </c>
    </row>
    <row r="11" spans="2:51" ht="15.75" thickBot="1">
      <c r="B11" t="s">
        <v>61</v>
      </c>
      <c r="C11" t="s">
        <v>61</v>
      </c>
      <c r="D11" t="s">
        <v>61</v>
      </c>
      <c r="E11">
        <f>COUNTIFS(Dados[Subclasse],ClasseSubClasse[[#This Row],[SubClasse]],Dados[Lista?],TRUE)</f>
        <v>0</v>
      </c>
      <c r="G11" s="20" t="s">
        <v>79</v>
      </c>
      <c r="H11" s="34">
        <f>SUM(H4:H9)</f>
        <v>414</v>
      </c>
      <c r="I11" s="34">
        <f>SUM(I4:I9)</f>
        <v>-0.02</v>
      </c>
      <c r="J11" s="21">
        <f>SUM(J4:J9)</f>
        <v>1</v>
      </c>
      <c r="K11" s="164">
        <f>SUMPRODUCT($J$4:$J$9,$K$4:$K$9)</f>
        <v>0.1052</v>
      </c>
      <c r="L11" s="35">
        <f>SUMPRODUCT($J$4:$J$9,$L$4:$L$9)</f>
        <v>5.5617732315065895</v>
      </c>
      <c r="N11" s="41">
        <v>45323</v>
      </c>
      <c r="O11" s="18" t="s">
        <v>94</v>
      </c>
      <c r="P11" s="18">
        <v>21</v>
      </c>
      <c r="Q11" s="19">
        <v>7.7999999999999996E-3</v>
      </c>
      <c r="R11" s="19">
        <v>8.0000000000000002E-3</v>
      </c>
      <c r="S11" s="19">
        <v>9.9000000000000008E-3</v>
      </c>
      <c r="T11" s="19">
        <v>8.3000000000000001E-3</v>
      </c>
      <c r="U11" s="18">
        <v>4.9832999999999998</v>
      </c>
      <c r="V11" s="30">
        <v>68611.87</v>
      </c>
      <c r="W11" s="30">
        <v>-4056.97</v>
      </c>
      <c r="X11" s="30">
        <v>0.24000000000000002</v>
      </c>
      <c r="Y11" s="19">
        <v>2.9499999999999998E-2</v>
      </c>
      <c r="Z11" s="19">
        <v>2.9499999999999998E-2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8">
        <f>YEAR(TabelaHistóricoDados[[#This Row],[Mês]])</f>
        <v>2024</v>
      </c>
      <c r="AI11" s="23"/>
      <c r="AJ11" s="25" t="str">
        <f>IF(AI11="","",SUMIF(Dados[Custódia],AI11,Dados[Saldo Bruto | Mês Atual]))</f>
        <v/>
      </c>
      <c r="AK11" s="25" t="str">
        <f>IF(AI11="","",SUMIF(Dados[Custódia],AI11,Dados[Movimentaçao | Mês Atual]))</f>
        <v/>
      </c>
      <c r="AL11" s="27" t="str">
        <f t="shared" si="0"/>
        <v/>
      </c>
      <c r="AM11" s="27" t="str">
        <f>IF(AI11="","",_xlfn.XLOOKUP(AI11,Dados[Custódia],Dados[Performance Custódia]))</f>
        <v/>
      </c>
      <c r="AO11" s="23"/>
      <c r="AP11" s="25" t="str">
        <f>IF(AO11="","",SUMIF(Dados[Subclasse],AO11,Dados[Saldo Bruto | Mês Atual]))</f>
        <v/>
      </c>
      <c r="AQ11" s="25" t="str">
        <f>IF(AO11="","",SUMIF(Dados[Movimentaçao | Mês Atual],AO11,Dados[Movimentaçao | Mês Atual]))</f>
        <v/>
      </c>
      <c r="AR11" s="27" t="str">
        <f t="shared" si="1"/>
        <v/>
      </c>
      <c r="AS11" s="27" t="str">
        <f>IF(AO11="","",_xlfn.XLOOKUP(AO11,Dados[Subclasse],Dados[Performance SubClasse]))</f>
        <v/>
      </c>
      <c r="AU11" s="23"/>
      <c r="AV11" s="25" t="str">
        <f>IF(AU11="","",SUMIF(Dados[Classe],AU11,Dados[Saldo Bruto | Mês Atual]))</f>
        <v/>
      </c>
      <c r="AW11" s="25" t="str">
        <f>IF(AU11="","",SUMIF(Dados[Classe],AU11,Dados[Movimentaçao | Mês Atual]))</f>
        <v/>
      </c>
      <c r="AX11" s="27" t="str">
        <f t="shared" si="2"/>
        <v/>
      </c>
      <c r="AY11" s="27" t="str">
        <f>IF(AU11="","",_xlfn.XLOOKUP(AU11,Dados[Classe],Dados[Performance Classe]))</f>
        <v/>
      </c>
    </row>
    <row r="12" spans="2:51">
      <c r="B12" t="s">
        <v>41</v>
      </c>
      <c r="C12" t="s">
        <v>51</v>
      </c>
      <c r="D12" t="s">
        <v>41</v>
      </c>
      <c r="E12">
        <f>COUNTIFS(Dados[Subclasse],ClasseSubClasse[[#This Row],[SubClasse]],Dados[Lista?],TRUE)</f>
        <v>1</v>
      </c>
      <c r="N12" s="41">
        <v>45292</v>
      </c>
      <c r="O12" s="18" t="s">
        <v>94</v>
      </c>
      <c r="P12" s="18">
        <v>21</v>
      </c>
      <c r="Q12" s="19">
        <v>3.0999999999999999E-3</v>
      </c>
      <c r="R12" s="19">
        <v>9.7000000000000003E-3</v>
      </c>
      <c r="S12" s="19">
        <v>-4.7899999999999998E-2</v>
      </c>
      <c r="T12" s="19">
        <v>4.1999999999999997E-3</v>
      </c>
      <c r="U12" s="18">
        <v>4.9535</v>
      </c>
      <c r="V12" s="30">
        <v>70996.946290163323</v>
      </c>
      <c r="W12" s="30">
        <v>-10162.119999999999</v>
      </c>
      <c r="X12" s="30">
        <v>0.17409492577184071</v>
      </c>
      <c r="Y12" s="19">
        <v>-7.6E-3</v>
      </c>
      <c r="Z12" s="19">
        <v>-7.6E-3</v>
      </c>
      <c r="AA12" s="19"/>
      <c r="AB12" s="19"/>
      <c r="AC12" s="19"/>
      <c r="AD12" s="19"/>
      <c r="AE12" s="19"/>
      <c r="AF12" s="18">
        <f>YEAR(TabelaHistóricoDados[[#This Row],[Mês]])</f>
        <v>2024</v>
      </c>
      <c r="AJ12" s="24" t="str">
        <f>IF(AI12="","",SUMIF(Dados[Custódia],AI12,Dados[Saldo Bruto | Mês Atual]))</f>
        <v/>
      </c>
      <c r="AK12" s="24" t="str">
        <f>IF(AI12="","",SUMIF(Dados[Custódia],AI12,Dados[Movimentaçao | Mês Atual]))</f>
        <v/>
      </c>
      <c r="AL12" s="26" t="str">
        <f t="shared" si="0"/>
        <v/>
      </c>
      <c r="AM12" s="26" t="str">
        <f>IF(AI12="","",_xlfn.XLOOKUP(AI12,Dados[Custódia],Dados[Performance Custódia]))</f>
        <v/>
      </c>
      <c r="AP12" s="24" t="str">
        <f>IF(AO12="","",SUMIF(Dados[Subclasse],AO12,Dados[Saldo Bruto | Mês Atual]))</f>
        <v/>
      </c>
      <c r="AQ12" s="24" t="str">
        <f>IF(AO12="","",SUMIF(Dados[Movimentaçao | Mês Atual],AO12,Dados[Movimentaçao | Mês Atual]))</f>
        <v/>
      </c>
      <c r="AR12" s="26" t="str">
        <f t="shared" si="1"/>
        <v/>
      </c>
      <c r="AS12" s="26" t="str">
        <f>IF(AO12="","",_xlfn.XLOOKUP(AO12,Dados[Subclasse],Dados[Performance SubClasse]))</f>
        <v/>
      </c>
      <c r="AV12" s="24" t="str">
        <f>IF(AU12="","",SUMIF(Dados[Classe],AU12,Dados[Saldo Bruto | Mês Atual]))</f>
        <v/>
      </c>
      <c r="AW12" s="24" t="str">
        <f>IF(AU12="","",SUMIF(Dados[Classe],AU12,Dados[Movimentaçao | Mês Atual]))</f>
        <v/>
      </c>
      <c r="AX12" s="26" t="str">
        <f t="shared" si="2"/>
        <v/>
      </c>
      <c r="AY12" s="26" t="str">
        <f>IF(AU12="","",_xlfn.XLOOKUP(AU12,Dados[Classe],Dados[Performance Classe]))</f>
        <v/>
      </c>
    </row>
    <row r="13" spans="2:51">
      <c r="B13" t="s">
        <v>62</v>
      </c>
      <c r="C13" t="s">
        <v>51</v>
      </c>
      <c r="D13" t="s">
        <v>62</v>
      </c>
      <c r="E13">
        <f>COUNTIFS(Dados[Subclasse],ClasseSubClasse[[#This Row],[SubClasse]],Dados[Lista?],TRUE)</f>
        <v>0</v>
      </c>
      <c r="N13" s="41">
        <v>45261</v>
      </c>
      <c r="O13" s="18" t="s">
        <v>94</v>
      </c>
      <c r="P13" s="18">
        <v>19</v>
      </c>
      <c r="Q13" s="19">
        <v>5.5999999999999999E-3</v>
      </c>
      <c r="R13" s="19">
        <v>8.8999999999999999E-3</v>
      </c>
      <c r="S13" s="19">
        <v>5.3800000000000001E-2</v>
      </c>
      <c r="T13" s="19">
        <v>5.5999999999999999E-3</v>
      </c>
      <c r="U13" s="18">
        <v>4.8413000000000004</v>
      </c>
      <c r="V13" s="30">
        <v>81917.645473997967</v>
      </c>
      <c r="W13" s="30">
        <v>-12247.500000000002</v>
      </c>
      <c r="X13" s="30">
        <v>0.64</v>
      </c>
      <c r="Y13" s="19">
        <v>1.7999999999999999E-2</v>
      </c>
      <c r="Z13" s="19">
        <v>1.7999999999999999E-2</v>
      </c>
      <c r="AA13" s="19"/>
      <c r="AB13" s="19"/>
      <c r="AC13" s="19"/>
      <c r="AD13" s="19"/>
      <c r="AE13" s="19"/>
      <c r="AF13" s="18">
        <f>YEAR(TabelaHistóricoDados[[#This Row],[Mês]])</f>
        <v>2023</v>
      </c>
      <c r="AI13" s="23"/>
      <c r="AJ13" s="25" t="str">
        <f>IF(AI13="","",SUMIF(Dados[Custódia],AI13,Dados[Saldo Bruto | Mês Atual]))</f>
        <v/>
      </c>
      <c r="AK13" s="25" t="str">
        <f>IF(AI13="","",SUMIF(Dados[Custódia],AI13,Dados[Movimentaçao | Mês Atual]))</f>
        <v/>
      </c>
      <c r="AL13" s="27" t="str">
        <f t="shared" si="0"/>
        <v/>
      </c>
      <c r="AM13" s="27" t="str">
        <f>IF(AI13="","",_xlfn.XLOOKUP(AI13,Dados[Custódia],Dados[Performance Custódia]))</f>
        <v/>
      </c>
      <c r="AO13" s="23"/>
      <c r="AP13" s="25" t="str">
        <f>IF(AO13="","",SUMIF(Dados[Subclasse],AO13,Dados[Saldo Bruto | Mês Atual]))</f>
        <v/>
      </c>
      <c r="AQ13" s="25" t="str">
        <f>IF(AO13="","",SUMIF(Dados[Movimentaçao | Mês Atual],AO13,Dados[Movimentaçao | Mês Atual]))</f>
        <v/>
      </c>
      <c r="AR13" s="27" t="str">
        <f t="shared" si="1"/>
        <v/>
      </c>
      <c r="AS13" s="27" t="str">
        <f>IF(AO13="","",_xlfn.XLOOKUP(AO13,Dados[Subclasse],Dados[Performance SubClasse]))</f>
        <v/>
      </c>
      <c r="AU13" s="23"/>
      <c r="AV13" s="25" t="str">
        <f>IF(AU13="","",SUMIF(Dados[Classe],AU13,Dados[Saldo Bruto | Mês Atual]))</f>
        <v/>
      </c>
      <c r="AW13" s="25" t="str">
        <f>IF(AU13="","",SUMIF(Dados[Classe],AU13,Dados[Movimentaçao | Mês Atual]))</f>
        <v/>
      </c>
      <c r="AX13" s="27" t="str">
        <f t="shared" si="2"/>
        <v/>
      </c>
      <c r="AY13" s="27" t="str">
        <f>IF(AU13="","",_xlfn.XLOOKUP(AU13,Dados[Classe],Dados[Performance Classe]))</f>
        <v/>
      </c>
    </row>
    <row r="14" spans="2:51">
      <c r="B14" t="s">
        <v>195</v>
      </c>
      <c r="C14" t="s">
        <v>51</v>
      </c>
      <c r="D14" t="s">
        <v>195</v>
      </c>
      <c r="E14">
        <f>COUNTIFS(Dados[Subclasse],ClasseSubClasse[[#This Row],[SubClasse]],Dados[Lista?],TRUE)</f>
        <v>0</v>
      </c>
      <c r="N14" s="41">
        <v>45231</v>
      </c>
      <c r="O14" s="18" t="s">
        <v>94</v>
      </c>
      <c r="P14" s="18">
        <v>20</v>
      </c>
      <c r="Q14" s="19">
        <v>3.3E-3</v>
      </c>
      <c r="R14" s="19">
        <v>9.1999999999999998E-3</v>
      </c>
      <c r="S14" s="19">
        <v>0.12540000000000001</v>
      </c>
      <c r="T14" s="19">
        <v>2.8E-3</v>
      </c>
      <c r="U14" s="18">
        <v>4.9355000000000002</v>
      </c>
      <c r="V14" s="30">
        <v>94376.512381996479</v>
      </c>
      <c r="W14" s="30">
        <v>-41386.240000000005</v>
      </c>
      <c r="X14" s="30">
        <v>0.66</v>
      </c>
      <c r="Y14" s="19">
        <v>1.04E-2</v>
      </c>
      <c r="Z14" s="19">
        <v>1.04E-2</v>
      </c>
      <c r="AA14" s="19"/>
      <c r="AB14" s="19"/>
      <c r="AC14" s="19"/>
      <c r="AD14" s="19"/>
      <c r="AE14" s="19"/>
      <c r="AF14" s="18">
        <f>YEAR(TabelaHistóricoDados[[#This Row],[Mês]])</f>
        <v>2023</v>
      </c>
      <c r="AJ14" s="24" t="str">
        <f>IF(AI14="","",SUMIF(Dados[Custódia],AI14,Dados[Saldo Bruto | Mês Atual]))</f>
        <v/>
      </c>
      <c r="AK14" s="24" t="str">
        <f>IF(AI14="","",SUMIF(Dados[Custódia],AI14,Dados[Movimentaçao | Mês Atual]))</f>
        <v/>
      </c>
      <c r="AL14" s="26" t="str">
        <f t="shared" si="0"/>
        <v/>
      </c>
      <c r="AM14" s="26" t="str">
        <f>IF(AI14="","",_xlfn.XLOOKUP(AI14,Dados[Custódia],Dados[Performance Custódia]))</f>
        <v/>
      </c>
      <c r="AP14" s="24" t="str">
        <f>IF(AO14="","",SUMIF(Dados[Subclasse],AO14,Dados[Saldo Bruto | Mês Atual]))</f>
        <v/>
      </c>
      <c r="AQ14" s="24" t="str">
        <f>IF(AO14="","",SUMIF(Dados[Movimentaçao | Mês Atual],AO14,Dados[Movimentaçao | Mês Atual]))</f>
        <v/>
      </c>
      <c r="AR14" s="26" t="str">
        <f t="shared" si="1"/>
        <v/>
      </c>
      <c r="AS14" s="26" t="str">
        <f>IF(AO14="","",_xlfn.XLOOKUP(AO14,Dados[Subclasse],Dados[Performance SubClasse]))</f>
        <v/>
      </c>
      <c r="AV14" s="24" t="str">
        <f>IF(AU14="","",SUMIF(Dados[Classe],AU14,Dados[Saldo Bruto | Mês Atual]))</f>
        <v/>
      </c>
      <c r="AW14" s="24" t="str">
        <f>IF(AU14="","",SUMIF(Dados[Classe],AU14,Dados[Movimentaçao | Mês Atual]))</f>
        <v/>
      </c>
      <c r="AX14" s="26" t="str">
        <f t="shared" si="2"/>
        <v/>
      </c>
      <c r="AY14" s="26" t="str">
        <f>IF(AU14="","",_xlfn.XLOOKUP(AU14,Dados[Classe],Dados[Performance Classe]))</f>
        <v/>
      </c>
    </row>
    <row r="15" spans="2:51">
      <c r="B15" t="s">
        <v>52</v>
      </c>
      <c r="C15" t="s">
        <v>194</v>
      </c>
      <c r="D15" t="s">
        <v>152</v>
      </c>
      <c r="E15">
        <f>COUNTIFS(Dados[Subclasse],ClasseSubClasse[[#This Row],[SubClasse]],Dados[Lista?],TRUE)</f>
        <v>1</v>
      </c>
      <c r="N15" s="41">
        <v>45200</v>
      </c>
      <c r="O15" s="18" t="s">
        <v>94</v>
      </c>
      <c r="P15" s="18">
        <v>21</v>
      </c>
      <c r="Q15" s="19">
        <v>2.0999999999999999E-3</v>
      </c>
      <c r="R15" s="19">
        <v>0.01</v>
      </c>
      <c r="S15" s="19">
        <v>-2.9399999999999999E-2</v>
      </c>
      <c r="T15" s="19">
        <v>2.3999999999999998E-3</v>
      </c>
      <c r="U15" s="18">
        <v>5.0575000000000001</v>
      </c>
      <c r="V15" s="30">
        <v>132888.15</v>
      </c>
      <c r="W15" s="30"/>
      <c r="X15" s="30">
        <v>0.54</v>
      </c>
      <c r="Y15" s="19">
        <v>8.9999999999999998E-4</v>
      </c>
      <c r="Z15" s="19">
        <v>8.9999999999999998E-4</v>
      </c>
      <c r="AA15" s="19"/>
      <c r="AB15" s="19"/>
      <c r="AC15" s="19"/>
      <c r="AD15" s="19"/>
      <c r="AE15" s="19"/>
      <c r="AF15" s="18">
        <f>YEAR(TabelaHistóricoDados[[#This Row],[Mês]])</f>
        <v>2023</v>
      </c>
      <c r="AI15" s="23"/>
      <c r="AJ15" s="25" t="str">
        <f>IF(AI15="","",SUMIF(Dados[Custódia],AI15,Dados[Saldo Bruto | Mês Atual]))</f>
        <v/>
      </c>
      <c r="AK15" s="25" t="str">
        <f>IF(AI15="","",SUMIF(Dados[Custódia],AI15,Dados[Movimentaçao | Mês Atual]))</f>
        <v/>
      </c>
      <c r="AL15" s="27" t="str">
        <f t="shared" si="0"/>
        <v/>
      </c>
      <c r="AM15" s="27" t="str">
        <f>IF(AI15="","",_xlfn.XLOOKUP(AI15,Dados[Custódia],Dados[Performance Custódia]))</f>
        <v/>
      </c>
      <c r="AO15" s="23"/>
      <c r="AP15" s="25" t="str">
        <f>IF(AO15="","",SUMIF(Dados[Subclasse],AO15,Dados[Saldo Bruto | Mês Atual]))</f>
        <v/>
      </c>
      <c r="AQ15" s="25" t="str">
        <f>IF(AO15="","",SUMIF(Dados[Movimentaçao | Mês Atual],AO15,Dados[Movimentaçao | Mês Atual]))</f>
        <v/>
      </c>
      <c r="AR15" s="27" t="str">
        <f t="shared" si="1"/>
        <v/>
      </c>
      <c r="AS15" s="27" t="str">
        <f>IF(AO15="","",_xlfn.XLOOKUP(AO15,Dados[Subclasse],Dados[Performance SubClasse]))</f>
        <v/>
      </c>
      <c r="AU15" s="23"/>
      <c r="AV15" s="25" t="str">
        <f>IF(AU15="","",SUMIF(Dados[Classe],AU15,Dados[Saldo Bruto | Mês Atual]))</f>
        <v/>
      </c>
      <c r="AW15" s="25" t="str">
        <f>IF(AU15="","",SUMIF(Dados[Classe],AU15,Dados[Movimentaçao | Mês Atual]))</f>
        <v/>
      </c>
      <c r="AX15" s="27" t="str">
        <f t="shared" si="2"/>
        <v/>
      </c>
      <c r="AY15" s="27" t="str">
        <f>IF(AU15="","",_xlfn.XLOOKUP(AU15,Dados[Classe],Dados[Performance Classe]))</f>
        <v/>
      </c>
    </row>
    <row r="16" spans="2:51">
      <c r="B16" t="s">
        <v>134</v>
      </c>
      <c r="C16" t="s">
        <v>194</v>
      </c>
      <c r="D16" t="s">
        <v>153</v>
      </c>
      <c r="E16">
        <f>COUNTIFS(Dados[Subclasse],ClasseSubClasse[[#This Row],[SubClasse]],Dados[Lista?],TRUE)</f>
        <v>0</v>
      </c>
      <c r="N16" s="41">
        <v>45170</v>
      </c>
      <c r="O16" s="18" t="s">
        <v>94</v>
      </c>
      <c r="P16" s="18">
        <v>20</v>
      </c>
      <c r="Q16" s="19">
        <v>3.5000000000000001E-3</v>
      </c>
      <c r="R16" s="19">
        <v>9.7000000000000003E-3</v>
      </c>
      <c r="S16" s="19">
        <v>7.1000000000000004E-3</v>
      </c>
      <c r="T16" s="19">
        <v>2.5999999999999999E-3</v>
      </c>
      <c r="U16" s="18">
        <v>5.0076000000000001</v>
      </c>
      <c r="V16" s="30">
        <v>144916.43908359596</v>
      </c>
      <c r="W16" s="30"/>
      <c r="X16" s="30">
        <v>196.47</v>
      </c>
      <c r="Y16" s="19">
        <v>1.06E-2</v>
      </c>
      <c r="Z16" s="19">
        <v>1.06E-2</v>
      </c>
      <c r="AA16" s="19"/>
      <c r="AB16" s="19"/>
      <c r="AC16" s="19"/>
      <c r="AD16" s="19"/>
      <c r="AE16" s="19"/>
      <c r="AF16" s="18">
        <f>YEAR(TabelaHistóricoDados[[#This Row],[Mês]])</f>
        <v>2023</v>
      </c>
      <c r="AJ16" s="24" t="str">
        <f>IF(AI16="","",SUMIF(Dados[Custódia],AI16,Dados[Saldo Bruto | Mês Atual]))</f>
        <v/>
      </c>
      <c r="AK16" s="24" t="str">
        <f>IF(AI16="","",SUMIF(Dados[Custódia],AI16,Dados[Movimentaçao | Mês Atual]))</f>
        <v/>
      </c>
      <c r="AL16" s="26" t="str">
        <f t="shared" si="0"/>
        <v/>
      </c>
      <c r="AM16" s="26" t="str">
        <f>IF(AI16="","",_xlfn.XLOOKUP(AI16,Dados[Custódia],Dados[Performance Custódia]))</f>
        <v/>
      </c>
      <c r="AP16" s="24" t="str">
        <f>IF(AO16="","",SUMIF(Dados[Subclasse],AO16,Dados[Saldo Bruto | Mês Atual]))</f>
        <v/>
      </c>
      <c r="AQ16" s="24" t="str">
        <f>IF(AO16="","",SUMIF(Dados[Movimentaçao | Mês Atual],AO16,Dados[Movimentaçao | Mês Atual]))</f>
        <v/>
      </c>
      <c r="AR16" s="26" t="str">
        <f t="shared" si="1"/>
        <v/>
      </c>
      <c r="AS16" s="26" t="str">
        <f>IF(AO16="","",_xlfn.XLOOKUP(AO16,Dados[Subclasse],Dados[Performance SubClasse]))</f>
        <v/>
      </c>
      <c r="AV16" s="24" t="str">
        <f>IF(AU16="","",SUMIF(Dados[Classe],AU16,Dados[Saldo Bruto | Mês Atual]))</f>
        <v/>
      </c>
      <c r="AW16" s="24" t="str">
        <f>IF(AU16="","",SUMIF(Dados[Classe],AU16,Dados[Movimentaçao | Mês Atual]))</f>
        <v/>
      </c>
      <c r="AX16" s="26" t="str">
        <f t="shared" si="2"/>
        <v/>
      </c>
      <c r="AY16" s="26" t="str">
        <f>IF(AU16="","",_xlfn.XLOOKUP(AU16,Dados[Classe],Dados[Performance Classe]))</f>
        <v/>
      </c>
    </row>
    <row r="17" spans="2:51">
      <c r="B17" t="s">
        <v>45</v>
      </c>
      <c r="C17" t="s">
        <v>194</v>
      </c>
      <c r="D17" t="s">
        <v>145</v>
      </c>
      <c r="E17">
        <f>COUNTIFS(Dados[Subclasse],ClasseSubClasse[[#This Row],[SubClasse]],Dados[Lista?],TRUE)</f>
        <v>0</v>
      </c>
      <c r="N17" s="41">
        <v>45139</v>
      </c>
      <c r="O17" s="18"/>
      <c r="P17" s="18">
        <v>23</v>
      </c>
      <c r="Q17" s="19">
        <v>2.8E-3</v>
      </c>
      <c r="R17" s="19">
        <v>1.14E-2</v>
      </c>
      <c r="S17" s="19">
        <v>-5.0900000000000001E-2</v>
      </c>
      <c r="T17" s="19">
        <v>2.3E-3</v>
      </c>
      <c r="U17" s="18">
        <v>4.9218999999999999</v>
      </c>
      <c r="V17" s="30">
        <v>195489.68999999997</v>
      </c>
      <c r="W17" s="30"/>
      <c r="X17" s="30"/>
      <c r="Y17" s="19">
        <v>-1.49E-2</v>
      </c>
      <c r="Z17" s="19">
        <v>-1.49E-2</v>
      </c>
      <c r="AA17" s="19"/>
      <c r="AB17" s="19"/>
      <c r="AC17" s="19"/>
      <c r="AD17" s="19"/>
      <c r="AE17" s="19"/>
      <c r="AF17" s="18">
        <f>YEAR(TabelaHistóricoDados[[#This Row],[Mês]])</f>
        <v>2023</v>
      </c>
      <c r="AI17" s="23"/>
      <c r="AJ17" s="25" t="str">
        <f>IF(AI17="","",SUMIF(Dados[Custódia],AI17,Dados[Saldo Bruto | Mês Atual]))</f>
        <v/>
      </c>
      <c r="AK17" s="25" t="str">
        <f>IF(AI17="","",SUMIF(Dados[Custódia],AI17,Dados[Movimentaçao | Mês Atual]))</f>
        <v/>
      </c>
      <c r="AL17" s="27" t="str">
        <f t="shared" si="0"/>
        <v/>
      </c>
      <c r="AM17" s="27" t="str">
        <f>IF(AI17="","",_xlfn.XLOOKUP(AI17,Dados[Custódia],Dados[Performance Custódia]))</f>
        <v/>
      </c>
      <c r="AO17" s="23"/>
      <c r="AP17" s="25" t="str">
        <f>IF(AO17="","",SUMIF(Dados[Subclasse],AO17,Dados[Saldo Bruto | Mês Atual]))</f>
        <v/>
      </c>
      <c r="AQ17" s="25" t="str">
        <f>IF(AO17="","",SUMIF(Dados[Movimentaçao | Mês Atual],AO17,Dados[Movimentaçao | Mês Atual]))</f>
        <v/>
      </c>
      <c r="AR17" s="27" t="str">
        <f t="shared" si="1"/>
        <v/>
      </c>
      <c r="AS17" s="27" t="str">
        <f>IF(AO17="","",_xlfn.XLOOKUP(AO17,Dados[Subclasse],Dados[Performance SubClasse]))</f>
        <v/>
      </c>
      <c r="AU17" s="23"/>
      <c r="AV17" s="25" t="str">
        <f>IF(AU17="","",SUMIF(Dados[Classe],AU17,Dados[Saldo Bruto | Mês Atual]))</f>
        <v/>
      </c>
      <c r="AW17" s="25" t="str">
        <f>IF(AU17="","",SUMIF(Dados[Classe],AU17,Dados[Movimentaçao | Mês Atual]))</f>
        <v/>
      </c>
      <c r="AX17" s="27" t="str">
        <f t="shared" si="2"/>
        <v/>
      </c>
      <c r="AY17" s="27" t="str">
        <f>IF(AU17="","",_xlfn.XLOOKUP(AU17,Dados[Classe],Dados[Performance Classe]))</f>
        <v/>
      </c>
    </row>
    <row r="18" spans="2:51">
      <c r="B18" t="s">
        <v>53</v>
      </c>
      <c r="C18" t="s">
        <v>194</v>
      </c>
      <c r="D18" t="s">
        <v>150</v>
      </c>
      <c r="E18">
        <f>COUNTIFS(Dados[Subclasse],ClasseSubClasse[[#This Row],[SubClasse]],Dados[Lista?],TRUE)</f>
        <v>0</v>
      </c>
      <c r="N18" s="41">
        <v>45108</v>
      </c>
      <c r="O18" s="18"/>
      <c r="P18" s="18">
        <v>21</v>
      </c>
      <c r="Q18" s="19">
        <v>6.9999999999999999E-4</v>
      </c>
      <c r="R18" s="19">
        <v>1.0699999999999999E-2</v>
      </c>
      <c r="S18" s="19">
        <v>3.27E-2</v>
      </c>
      <c r="T18" s="19">
        <v>1.1999999999999999E-3</v>
      </c>
      <c r="U18" s="18">
        <v>4.7412000000000001</v>
      </c>
      <c r="V18" s="30">
        <v>205151.8</v>
      </c>
      <c r="W18" s="30"/>
      <c r="X18" s="30"/>
      <c r="Y18" s="19">
        <v>-3.3E-3</v>
      </c>
      <c r="Z18" s="19">
        <v>-3.3E-3</v>
      </c>
      <c r="AA18" s="19"/>
      <c r="AB18" s="19"/>
      <c r="AC18" s="19"/>
      <c r="AD18" s="19"/>
      <c r="AE18" s="19"/>
      <c r="AF18" s="18">
        <f>YEAR(TabelaHistóricoDados[[#This Row],[Mês]])</f>
        <v>2023</v>
      </c>
      <c r="AJ18" s="24" t="str">
        <f>IF(AI18="","",SUMIF(Dados[Custódia],AI18,Dados[Saldo Bruto | Mês Atual]))</f>
        <v/>
      </c>
      <c r="AK18" s="24" t="str">
        <f>IF(AI18="","",SUMIF(Dados[Custódia],AI18,Dados[Movimentaçao | Mês Atual]))</f>
        <v/>
      </c>
      <c r="AL18" s="26" t="str">
        <f t="shared" si="0"/>
        <v/>
      </c>
      <c r="AM18" s="26" t="str">
        <f>IF(AI18="","",_xlfn.XLOOKUP(AI18,Dados[Custódia],Dados[Performance Custódia]))</f>
        <v/>
      </c>
      <c r="AP18" s="24" t="str">
        <f>IF(AO18="","",SUMIF(Dados[Subclasse],AO18,Dados[Saldo Bruto | Mês Atual]))</f>
        <v/>
      </c>
      <c r="AQ18" s="24" t="str">
        <f>IF(AO18="","",SUMIF(Dados[Movimentaçao | Mês Atual],AO18,Dados[Movimentaçao | Mês Atual]))</f>
        <v/>
      </c>
      <c r="AR18" s="26" t="str">
        <f t="shared" si="1"/>
        <v/>
      </c>
      <c r="AS18" s="26" t="str">
        <f>IF(AO18="","",_xlfn.XLOOKUP(AO18,Dados[Subclasse],Dados[Performance SubClasse]))</f>
        <v/>
      </c>
      <c r="AV18" s="24" t="str">
        <f>IF(AU18="","",SUMIF(Dados[Classe],AU18,Dados[Saldo Bruto | Mês Atual]))</f>
        <v/>
      </c>
      <c r="AW18" s="24" t="str">
        <f>IF(AU18="","",SUMIF(Dados[Classe],AU18,Dados[Movimentaçao | Mês Atual]))</f>
        <v/>
      </c>
      <c r="AX18" s="26" t="str">
        <f t="shared" si="2"/>
        <v/>
      </c>
      <c r="AY18" s="26" t="str">
        <f>IF(AU18="","",_xlfn.XLOOKUP(AU18,Dados[Classe],Dados[Performance Classe]))</f>
        <v/>
      </c>
    </row>
    <row r="19" spans="2:51">
      <c r="B19" t="s">
        <v>54</v>
      </c>
      <c r="C19" t="s">
        <v>194</v>
      </c>
      <c r="D19" t="s">
        <v>151</v>
      </c>
      <c r="E19">
        <f>COUNTIFS(Dados[Subclasse],ClasseSubClasse[[#This Row],[SubClasse]],Dados[Lista?],TRUE)</f>
        <v>0</v>
      </c>
      <c r="N19" s="41">
        <v>45078</v>
      </c>
      <c r="O19" s="18"/>
      <c r="P19" s="18"/>
      <c r="Q19" s="19"/>
      <c r="R19" s="19"/>
      <c r="S19" s="19"/>
      <c r="T19" s="19"/>
      <c r="U19" s="18"/>
      <c r="V19" s="30"/>
      <c r="W19" s="30"/>
      <c r="X19" s="30"/>
      <c r="Y19" s="19"/>
      <c r="Z19" s="19"/>
      <c r="AA19" s="19"/>
      <c r="AB19" s="19"/>
      <c r="AC19" s="19"/>
      <c r="AD19" s="19"/>
      <c r="AE19" s="19"/>
      <c r="AF19" s="18">
        <f>YEAR(TabelaHistóricoDados[[#This Row],[Mês]])</f>
        <v>2023</v>
      </c>
      <c r="AI19" s="23"/>
      <c r="AJ19" s="25" t="str">
        <f>IF(AI19="","",SUMIF(Dados[Custódia],AI19,Dados[Saldo Bruto | Mês Atual]))</f>
        <v/>
      </c>
      <c r="AK19" s="25" t="str">
        <f>IF(AI19="","",SUMIF(Dados[Custódia],AI19,Dados[Movimentaçao | Mês Atual]))</f>
        <v/>
      </c>
      <c r="AL19" s="27" t="str">
        <f t="shared" si="0"/>
        <v/>
      </c>
      <c r="AM19" s="27" t="str">
        <f>IF(AI19="","",_xlfn.XLOOKUP(AI19,Dados[Custódia],Dados[Performance Custódia]))</f>
        <v/>
      </c>
      <c r="AO19" s="23"/>
      <c r="AP19" s="25" t="str">
        <f>IF(AO19="","",SUMIF(Dados[Subclasse],AO19,Dados[Saldo Bruto | Mês Atual]))</f>
        <v/>
      </c>
      <c r="AQ19" s="25" t="str">
        <f>IF(AO19="","",SUMIF(Dados[Movimentaçao | Mês Atual],AO19,Dados[Movimentaçao | Mês Atual]))</f>
        <v/>
      </c>
      <c r="AR19" s="27" t="str">
        <f t="shared" si="1"/>
        <v/>
      </c>
      <c r="AS19" s="27" t="str">
        <f>IF(AO19="","",_xlfn.XLOOKUP(AO19,Dados[Subclasse],Dados[Performance SubClasse]))</f>
        <v/>
      </c>
      <c r="AU19" s="23"/>
      <c r="AV19" s="25" t="str">
        <f>IF(AU19="","",SUMIF(Dados[Classe],AU19,Dados[Saldo Bruto | Mês Atual]))</f>
        <v/>
      </c>
      <c r="AW19" s="25" t="str">
        <f>IF(AU19="","",SUMIF(Dados[Classe],AU19,Dados[Movimentaçao | Mês Atual]))</f>
        <v/>
      </c>
      <c r="AX19" s="27" t="str">
        <f t="shared" si="2"/>
        <v/>
      </c>
      <c r="AY19" s="27" t="str">
        <f>IF(AU19="","",_xlfn.XLOOKUP(AU19,Dados[Classe],Dados[Performance Classe]))</f>
        <v/>
      </c>
    </row>
    <row r="20" spans="2:51">
      <c r="B20" t="s">
        <v>55</v>
      </c>
      <c r="C20" t="s">
        <v>56</v>
      </c>
      <c r="D20" t="s">
        <v>155</v>
      </c>
      <c r="E20">
        <f>COUNTIFS(Dados[Subclasse],ClasseSubClasse[[#This Row],[SubClasse]],Dados[Lista?],TRUE)</f>
        <v>2</v>
      </c>
      <c r="N20" s="41">
        <v>45047</v>
      </c>
      <c r="O20" s="18"/>
      <c r="P20" s="18"/>
      <c r="Q20" s="19"/>
      <c r="R20" s="19"/>
      <c r="S20" s="19"/>
      <c r="T20" s="19"/>
      <c r="U20" s="18"/>
      <c r="V20" s="30"/>
      <c r="W20" s="30"/>
      <c r="X20" s="30"/>
      <c r="Y20" s="19"/>
      <c r="Z20" s="19"/>
      <c r="AA20" s="19"/>
      <c r="AB20" s="19"/>
      <c r="AC20" s="19"/>
      <c r="AD20" s="19"/>
      <c r="AE20" s="19"/>
      <c r="AF20" s="18">
        <f>YEAR(TabelaHistóricoDados[[#This Row],[Mês]])</f>
        <v>2023</v>
      </c>
      <c r="AJ20" s="24" t="str">
        <f>IF(AI20="","",SUMIF(Dados[Custódia],AI20,Dados[Saldo Bruto | Mês Atual]))</f>
        <v/>
      </c>
      <c r="AK20" s="24" t="str">
        <f>IF(AI20="","",SUMIF(Dados[Custódia],AI20,Dados[Movimentaçao | Mês Atual]))</f>
        <v/>
      </c>
      <c r="AL20" s="26" t="str">
        <f t="shared" si="0"/>
        <v/>
      </c>
      <c r="AM20" s="26" t="str">
        <f>IF(AI20="","",_xlfn.XLOOKUP(AI20,Dados[Custódia],Dados[Performance Custódia]))</f>
        <v/>
      </c>
      <c r="AP20" s="24" t="str">
        <f>IF(AO20="","",SUMIF(Dados[Subclasse],AO20,Dados[Saldo Bruto | Mês Atual]))</f>
        <v/>
      </c>
      <c r="AQ20" s="24" t="str">
        <f>IF(AO20="","",SUMIF(Dados[Movimentaçao | Mês Atual],AO20,Dados[Movimentaçao | Mês Atual]))</f>
        <v/>
      </c>
      <c r="AR20" s="26" t="str">
        <f t="shared" si="1"/>
        <v/>
      </c>
      <c r="AS20" s="26" t="str">
        <f>IF(AO20="","",_xlfn.XLOOKUP(AO20,Dados[Subclasse],Dados[Performance SubClasse]))</f>
        <v/>
      </c>
      <c r="AV20" s="24" t="str">
        <f>IF(AU20="","",SUMIF(Dados[Classe],AU20,Dados[Saldo Bruto | Mês Atual]))</f>
        <v/>
      </c>
      <c r="AW20" s="24" t="str">
        <f>IF(AU20="","",SUMIF(Dados[Classe],AU20,Dados[Movimentaçao | Mês Atual]))</f>
        <v/>
      </c>
      <c r="AX20" s="26" t="str">
        <f t="shared" si="2"/>
        <v/>
      </c>
      <c r="AY20" s="26" t="str">
        <f>IF(AU20="","",_xlfn.XLOOKUP(AU20,Dados[Classe],Dados[Performance Classe]))</f>
        <v/>
      </c>
    </row>
    <row r="21" spans="2:51">
      <c r="B21" t="s">
        <v>175</v>
      </c>
      <c r="C21" t="s">
        <v>56</v>
      </c>
      <c r="D21" t="s">
        <v>177</v>
      </c>
      <c r="E21">
        <f>COUNTIFS(Dados[Subclasse],ClasseSubClasse[[#This Row],[SubClasse]],Dados[Lista?],TRUE)</f>
        <v>1</v>
      </c>
      <c r="N21" s="41">
        <v>45017</v>
      </c>
      <c r="O21" s="18"/>
      <c r="P21" s="18"/>
      <c r="Q21" s="19"/>
      <c r="R21" s="19"/>
      <c r="S21" s="19"/>
      <c r="T21" s="19"/>
      <c r="U21" s="18"/>
      <c r="V21" s="30"/>
      <c r="W21" s="30"/>
      <c r="X21" s="30"/>
      <c r="Y21" s="19"/>
      <c r="Z21" s="19"/>
      <c r="AA21" s="19"/>
      <c r="AB21" s="19"/>
      <c r="AC21" s="19"/>
      <c r="AD21" s="19"/>
      <c r="AE21" s="19"/>
      <c r="AF21" s="18">
        <f>YEAR(TabelaHistóricoDados[[#This Row],[Mês]])</f>
        <v>2023</v>
      </c>
      <c r="AI21" s="23"/>
      <c r="AJ21" s="25" t="str">
        <f>IF(AI21="","",SUMIF(Dados[Custódia],AI21,Dados[Saldo Bruto | Mês Atual]))</f>
        <v/>
      </c>
      <c r="AK21" s="25" t="str">
        <f>IF(AI21="","",SUMIF(Dados[Custódia],AI21,Dados[Movimentaçao | Mês Atual]))</f>
        <v/>
      </c>
      <c r="AL21" s="27" t="str">
        <f t="shared" si="0"/>
        <v/>
      </c>
      <c r="AM21" s="27" t="str">
        <f>IF(AI21="","",_xlfn.XLOOKUP(AI21,Dados[Custódia],Dados[Performance Custódia]))</f>
        <v/>
      </c>
      <c r="AO21" s="23"/>
      <c r="AP21" s="25" t="str">
        <f>IF(AO21="","",SUMIF(Dados[Subclasse],AO21,Dados[Saldo Bruto | Mês Atual]))</f>
        <v/>
      </c>
      <c r="AQ21" s="25" t="str">
        <f>IF(AO21="","",SUMIF(Dados[Movimentaçao | Mês Atual],AO21,Dados[Movimentaçao | Mês Atual]))</f>
        <v/>
      </c>
      <c r="AR21" s="27" t="str">
        <f t="shared" si="1"/>
        <v/>
      </c>
      <c r="AS21" s="27" t="str">
        <f>IF(AO21="","",_xlfn.XLOOKUP(AO21,Dados[Subclasse],Dados[Performance SubClasse]))</f>
        <v/>
      </c>
      <c r="AU21" s="23"/>
      <c r="AV21" s="25" t="str">
        <f>IF(AU21="","",SUMIF(Dados[Classe],AU21,Dados[Saldo Bruto | Mês Atual]))</f>
        <v/>
      </c>
      <c r="AW21" s="25" t="str">
        <f>IF(AU21="","",SUMIF(Dados[Classe],AU21,Dados[Movimentaçao | Mês Atual]))</f>
        <v/>
      </c>
      <c r="AX21" s="27" t="str">
        <f t="shared" si="2"/>
        <v/>
      </c>
      <c r="AY21" s="27" t="str">
        <f>IF(AU21="","",_xlfn.XLOOKUP(AU21,Dados[Classe],Dados[Performance Classe]))</f>
        <v/>
      </c>
    </row>
    <row r="22" spans="2:51">
      <c r="B22" t="s">
        <v>57</v>
      </c>
      <c r="C22" t="s">
        <v>57</v>
      </c>
      <c r="D22" t="s">
        <v>57</v>
      </c>
      <c r="E22">
        <f>COUNTIFS(Dados[Subclasse],ClasseSubClasse[[#This Row],[SubClasse]],Dados[Lista?],TRUE)</f>
        <v>0</v>
      </c>
      <c r="N22" s="41">
        <v>44986</v>
      </c>
      <c r="O22" s="18"/>
      <c r="P22" s="18"/>
      <c r="Q22" s="19"/>
      <c r="R22" s="19"/>
      <c r="S22" s="19"/>
      <c r="T22" s="19"/>
      <c r="U22" s="18"/>
      <c r="V22" s="30"/>
      <c r="W22" s="30"/>
      <c r="X22" s="30"/>
      <c r="Y22" s="19"/>
      <c r="Z22" s="19"/>
      <c r="AA22" s="19"/>
      <c r="AB22" s="19"/>
      <c r="AC22" s="19"/>
      <c r="AD22" s="19"/>
      <c r="AE22" s="19"/>
      <c r="AF22" s="18">
        <f>YEAR(TabelaHistóricoDados[[#This Row],[Mês]])</f>
        <v>2023</v>
      </c>
      <c r="AJ22" s="24" t="str">
        <f>IF(AI22="","",SUMIF(Dados[Custódia],AI22,Dados[Saldo Bruto | Mês Atual]))</f>
        <v/>
      </c>
      <c r="AK22" s="24" t="str">
        <f>IF(AI22="","",SUMIF(Dados[Custódia],AI22,Dados[Movimentaçao | Mês Atual]))</f>
        <v/>
      </c>
      <c r="AL22" s="26" t="str">
        <f t="shared" si="0"/>
        <v/>
      </c>
      <c r="AM22" s="26" t="str">
        <f>IF(AI22="","",_xlfn.XLOOKUP(AI22,Dados[Custódia],Dados[Performance Custódia]))</f>
        <v/>
      </c>
      <c r="AP22" s="24" t="str">
        <f>IF(AO22="","",SUMIF(Dados[Subclasse],AO22,Dados[Saldo Bruto | Mês Atual]))</f>
        <v/>
      </c>
      <c r="AQ22" s="24" t="str">
        <f>IF(AO22="","",SUMIF(Dados[Movimentaçao | Mês Atual],AO22,Dados[Movimentaçao | Mês Atual]))</f>
        <v/>
      </c>
      <c r="AR22" s="26" t="str">
        <f t="shared" si="1"/>
        <v/>
      </c>
      <c r="AS22" s="26" t="str">
        <f>IF(AO22="","",_xlfn.XLOOKUP(AO22,Dados[Subclasse],Dados[Performance SubClasse]))</f>
        <v/>
      </c>
      <c r="AV22" s="24" t="str">
        <f>IF(AU22="","",SUMIF(Dados[Classe],AU22,Dados[Saldo Bruto | Mês Atual]))</f>
        <v/>
      </c>
      <c r="AW22" s="24" t="str">
        <f>IF(AU22="","",SUMIF(Dados[Classe],AU22,Dados[Movimentaçao | Mês Atual]))</f>
        <v/>
      </c>
      <c r="AX22" s="26" t="str">
        <f t="shared" si="2"/>
        <v/>
      </c>
      <c r="AY22" s="26" t="str">
        <f>IF(AU22="","",_xlfn.XLOOKUP(AU22,Dados[Classe],Dados[Performance Classe]))</f>
        <v/>
      </c>
    </row>
    <row r="23" spans="2:51">
      <c r="B23" t="s">
        <v>59</v>
      </c>
      <c r="C23" t="s">
        <v>52</v>
      </c>
      <c r="D23" t="s">
        <v>157</v>
      </c>
      <c r="E23">
        <f>COUNTIFS(Dados[Subclasse],ClasseSubClasse[[#This Row],[SubClasse]],Dados[Lista?],TRUE)</f>
        <v>0</v>
      </c>
      <c r="N23" s="41">
        <v>44958</v>
      </c>
      <c r="O23" s="18"/>
      <c r="P23" s="18"/>
      <c r="Q23" s="19"/>
      <c r="R23" s="19"/>
      <c r="S23" s="19"/>
      <c r="T23" s="19"/>
      <c r="U23" s="18"/>
      <c r="V23" s="30"/>
      <c r="W23" s="30"/>
      <c r="X23" s="30"/>
      <c r="Y23" s="19"/>
      <c r="Z23" s="19"/>
      <c r="AA23" s="19"/>
      <c r="AB23" s="19"/>
      <c r="AC23" s="19"/>
      <c r="AD23" s="19"/>
      <c r="AE23" s="19"/>
      <c r="AF23" s="18">
        <f>YEAR(TabelaHistóricoDados[[#This Row],[Mês]])</f>
        <v>2023</v>
      </c>
      <c r="AI23" s="23"/>
      <c r="AJ23" s="25" t="str">
        <f>IF(AI23="","",SUMIF(Dados[Custódia],AI23,Dados[Saldo Bruto | Mês Atual]))</f>
        <v/>
      </c>
      <c r="AK23" s="25" t="str">
        <f>IF(AI23="","",SUMIF(Dados[Custódia],AI23,Dados[Movimentaçao | Mês Atual]))</f>
        <v/>
      </c>
      <c r="AL23" s="27" t="str">
        <f t="shared" si="0"/>
        <v/>
      </c>
      <c r="AM23" s="27" t="str">
        <f>IF(AI23="","",_xlfn.XLOOKUP(AI23,Dados[Custódia],Dados[Performance Custódia]))</f>
        <v/>
      </c>
      <c r="AO23" s="23"/>
      <c r="AP23" s="25" t="str">
        <f>IF(AO23="","",SUMIF(Dados[Subclasse],AO23,Dados[Saldo Bruto | Mês Atual]))</f>
        <v/>
      </c>
      <c r="AQ23" s="25" t="str">
        <f>IF(AO23="","",SUMIF(Dados[Movimentaçao | Mês Atual],AO23,Dados[Movimentaçao | Mês Atual]))</f>
        <v/>
      </c>
      <c r="AR23" s="27" t="str">
        <f t="shared" si="1"/>
        <v/>
      </c>
      <c r="AS23" s="27" t="str">
        <f>IF(AO23="","",_xlfn.XLOOKUP(AO23,Dados[Subclasse],Dados[Performance SubClasse]))</f>
        <v/>
      </c>
      <c r="AU23" s="23"/>
      <c r="AV23" s="25" t="str">
        <f>IF(AU23="","",SUMIF(Dados[Classe],AU23,Dados[Saldo Bruto | Mês Atual]))</f>
        <v/>
      </c>
      <c r="AW23" s="25" t="str">
        <f>IF(AU23="","",SUMIF(Dados[Classe],AU23,Dados[Movimentaçao | Mês Atual]))</f>
        <v/>
      </c>
      <c r="AX23" s="27" t="str">
        <f t="shared" si="2"/>
        <v/>
      </c>
      <c r="AY23" s="27" t="str">
        <f>IF(AU23="","",_xlfn.XLOOKUP(AU23,Dados[Classe],Dados[Performance Classe]))</f>
        <v/>
      </c>
    </row>
    <row r="24" spans="2:51">
      <c r="B24" t="s">
        <v>58</v>
      </c>
      <c r="C24" t="s">
        <v>52</v>
      </c>
      <c r="D24" t="s">
        <v>156</v>
      </c>
      <c r="E24">
        <f>COUNTIFS(Dados[Subclasse],ClasseSubClasse[[#This Row],[SubClasse]],Dados[Lista?],TRUE)</f>
        <v>0</v>
      </c>
      <c r="N24" s="41">
        <v>44927</v>
      </c>
      <c r="O24" s="18"/>
      <c r="P24" s="18"/>
      <c r="Q24" s="19"/>
      <c r="R24" s="19"/>
      <c r="S24" s="19"/>
      <c r="T24" s="19"/>
      <c r="U24" s="18"/>
      <c r="V24" s="30"/>
      <c r="W24" s="30"/>
      <c r="X24" s="30"/>
      <c r="Y24" s="19"/>
      <c r="Z24" s="19"/>
      <c r="AA24" s="19"/>
      <c r="AB24" s="19"/>
      <c r="AC24" s="19"/>
      <c r="AD24" s="19"/>
      <c r="AE24" s="19"/>
      <c r="AF24" s="18">
        <f>YEAR(TabelaHistóricoDados[[#This Row],[Mês]])</f>
        <v>2023</v>
      </c>
      <c r="AJ24" s="24" t="str">
        <f>IF(AI24="","",SUMIF(Dados[Custódia],AI24,Dados[Saldo Bruto | Mês Atual]))</f>
        <v/>
      </c>
      <c r="AK24" s="24" t="str">
        <f>IF(AI24="","",SUMIF(Dados[Custódia],AI24,Dados[Movimentaçao | Mês Atual]))</f>
        <v/>
      </c>
      <c r="AL24" s="26" t="str">
        <f t="shared" si="0"/>
        <v/>
      </c>
      <c r="AM24" s="26" t="str">
        <f>IF(AI24="","",_xlfn.XLOOKUP(AI24,Dados[Custódia],Dados[Performance Custódia]))</f>
        <v/>
      </c>
      <c r="AP24" s="24" t="str">
        <f>IF(AO24="","",SUMIF(Dados[Subclasse],AO24,Dados[Saldo Bruto | Mês Atual]))</f>
        <v/>
      </c>
      <c r="AQ24" s="24" t="str">
        <f>IF(AO24="","",SUMIF(Dados[Movimentaçao | Mês Atual],AO24,Dados[Movimentaçao | Mês Atual]))</f>
        <v/>
      </c>
      <c r="AR24" s="26" t="str">
        <f t="shared" si="1"/>
        <v/>
      </c>
      <c r="AS24" s="26" t="str">
        <f>IF(AO24="","",_xlfn.XLOOKUP(AO24,Dados[Subclasse],Dados[Performance SubClasse]))</f>
        <v/>
      </c>
      <c r="AV24" s="24" t="str">
        <f>IF(AU24="","",SUMIF(Dados[Classe],AU24,Dados[Saldo Bruto | Mês Atual]))</f>
        <v/>
      </c>
      <c r="AW24" s="24" t="str">
        <f>IF(AU24="","",SUMIF(Dados[Classe],AU24,Dados[Movimentaçao | Mês Atual]))</f>
        <v/>
      </c>
      <c r="AX24" s="26" t="str">
        <f t="shared" si="2"/>
        <v/>
      </c>
      <c r="AY24" s="26" t="str">
        <f>IF(AU24="","",_xlfn.XLOOKUP(AU24,Dados[Classe],Dados[Performance Classe]))</f>
        <v/>
      </c>
    </row>
    <row r="25" spans="2:51">
      <c r="B25" t="s">
        <v>42</v>
      </c>
      <c r="C25" t="s">
        <v>52</v>
      </c>
      <c r="D25" t="s">
        <v>158</v>
      </c>
      <c r="E25">
        <f>COUNTIFS(Dados[Subclasse],ClasseSubClasse[[#This Row],[SubClasse]],Dados[Lista?],TRUE)</f>
        <v>0</v>
      </c>
      <c r="AI25" s="23"/>
      <c r="AJ25" s="25" t="str">
        <f>IF(AI25="","",SUMIF(Dados[Custódia],AI25,Dados[Saldo Bruto | Mês Atual]))</f>
        <v/>
      </c>
      <c r="AK25" s="25" t="str">
        <f>IF(AI25="","",SUMIF(Dados[Custódia],AI25,Dados[Movimentaçao | Mês Atual]))</f>
        <v/>
      </c>
      <c r="AL25" s="27" t="str">
        <f t="shared" si="0"/>
        <v/>
      </c>
      <c r="AM25" s="27" t="str">
        <f>IF(AI25="","",_xlfn.XLOOKUP(AI25,Dados[Custódia],Dados[Performance Custódia]))</f>
        <v/>
      </c>
      <c r="AO25" s="23"/>
      <c r="AP25" s="25" t="str">
        <f>IF(AO25="","",SUMIF(Dados[Subclasse],AO25,Dados[Saldo Bruto | Mês Atual]))</f>
        <v/>
      </c>
      <c r="AQ25" s="25" t="str">
        <f>IF(AO25="","",SUMIF(Dados[Movimentaçao | Mês Atual],AO25,Dados[Movimentaçao | Mês Atual]))</f>
        <v/>
      </c>
      <c r="AR25" s="27" t="str">
        <f t="shared" si="1"/>
        <v/>
      </c>
      <c r="AS25" s="27" t="str">
        <f>IF(AO25="","",_xlfn.XLOOKUP(AO25,Dados[Subclasse],Dados[Performance SubClasse]))</f>
        <v/>
      </c>
      <c r="AU25" s="23"/>
      <c r="AV25" s="25" t="str">
        <f>IF(AU25="","",SUMIF(Dados[Classe],AU25,Dados[Saldo Bruto | Mês Atual]))</f>
        <v/>
      </c>
      <c r="AW25" s="25" t="str">
        <f>IF(AU25="","",SUMIF(Dados[Classe],AU25,Dados[Movimentaçao | Mês Atual]))</f>
        <v/>
      </c>
      <c r="AX25" s="27" t="str">
        <f t="shared" si="2"/>
        <v/>
      </c>
      <c r="AY25" s="27" t="str">
        <f>IF(AU25="","",_xlfn.XLOOKUP(AU25,Dados[Classe],Dados[Performance Classe]))</f>
        <v/>
      </c>
    </row>
    <row r="26" spans="2:51">
      <c r="AJ26" s="24" t="str">
        <f>IF(AI26="","",SUMIF(Dados[Custódia],AI26,Dados[Saldo Bruto | Mês Atual]))</f>
        <v/>
      </c>
      <c r="AK26" s="24" t="str">
        <f>IF(AI26="","",SUMIF(Dados[Custódia],AI26,Dados[Movimentaçao | Mês Atual]))</f>
        <v/>
      </c>
      <c r="AL26" s="26" t="str">
        <f t="shared" si="0"/>
        <v/>
      </c>
      <c r="AM26" s="26" t="str">
        <f>IF(AI26="","",_xlfn.XLOOKUP(AI26,Dados[Custódia],Dados[Performance Custódia]))</f>
        <v/>
      </c>
      <c r="AP26" s="24" t="str">
        <f>IF(AO26="","",SUMIF(Dados[Subclasse],AO26,Dados[Saldo Bruto | Mês Atual]))</f>
        <v/>
      </c>
      <c r="AQ26" s="24" t="str">
        <f>IF(AO26="","",SUMIF(Dados[Movimentaçao | Mês Atual],AO26,Dados[Movimentaçao | Mês Atual]))</f>
        <v/>
      </c>
      <c r="AR26" s="26" t="str">
        <f t="shared" si="1"/>
        <v/>
      </c>
      <c r="AS26" s="26" t="str">
        <f>IF(AO26="","",_xlfn.XLOOKUP(AO26,Dados[Subclasse],Dados[Performance SubClasse]))</f>
        <v/>
      </c>
      <c r="AV26" s="24" t="str">
        <f>IF(AU26="","",SUMIF(Dados[Classe],AU26,Dados[Saldo Bruto | Mês Atual]))</f>
        <v/>
      </c>
      <c r="AW26" s="24" t="str">
        <f>IF(AU26="","",SUMIF(Dados[Classe],AU26,Dados[Movimentaçao | Mês Atual]))</f>
        <v/>
      </c>
      <c r="AX26" s="26" t="str">
        <f t="shared" si="2"/>
        <v/>
      </c>
      <c r="AY26" s="26" t="str">
        <f>IF(AU26="","",_xlfn.XLOOKUP(AU26,Dados[Classe],Dados[Performance Classe]))</f>
        <v/>
      </c>
    </row>
    <row r="27" spans="2:51">
      <c r="AI27" s="23"/>
      <c r="AJ27" s="25" t="str">
        <f>IF(AI27="","",SUMIF(Dados[Custódia],AI27,Dados[Saldo Bruto | Mês Atual]))</f>
        <v/>
      </c>
      <c r="AK27" s="25" t="str">
        <f>IF(AI27="","",SUMIF(Dados[Custódia],AI27,Dados[Movimentaçao | Mês Atual]))</f>
        <v/>
      </c>
      <c r="AL27" s="27" t="str">
        <f t="shared" si="0"/>
        <v/>
      </c>
      <c r="AM27" s="27" t="str">
        <f>IF(AI27="","",_xlfn.XLOOKUP(AI27,Dados[Custódia],Dados[Performance Custódia]))</f>
        <v/>
      </c>
      <c r="AO27" s="23"/>
      <c r="AP27" s="25" t="str">
        <f>IF(AO27="","",SUMIF(Dados[Subclasse],AO27,Dados[Saldo Bruto | Mês Atual]))</f>
        <v/>
      </c>
      <c r="AQ27" s="25" t="str">
        <f>IF(AO27="","",SUMIF(Dados[Movimentaçao | Mês Atual],AO27,Dados[Movimentaçao | Mês Atual]))</f>
        <v/>
      </c>
      <c r="AR27" s="27" t="str">
        <f t="shared" si="1"/>
        <v/>
      </c>
      <c r="AS27" s="27" t="str">
        <f>IF(AO27="","",_xlfn.XLOOKUP(AO27,Dados[Subclasse],Dados[Performance SubClasse]))</f>
        <v/>
      </c>
      <c r="AU27" s="23"/>
      <c r="AV27" s="25" t="str">
        <f>IF(AU27="","",SUMIF(Dados[Classe],AU27,Dados[Saldo Bruto | Mês Atual]))</f>
        <v/>
      </c>
      <c r="AW27" s="25" t="str">
        <f>IF(AU27="","",SUMIF(Dados[Classe],AU27,Dados[Movimentaçao | Mês Atual]))</f>
        <v/>
      </c>
      <c r="AX27" s="27" t="str">
        <f t="shared" si="2"/>
        <v/>
      </c>
      <c r="AY27" s="27" t="str">
        <f>IF(AU27="","",_xlfn.XLOOKUP(AU27,Dados[Classe],Dados[Performance Classe]))</f>
        <v/>
      </c>
    </row>
    <row r="30" spans="2:51">
      <c r="B30" s="238" t="s">
        <v>70</v>
      </c>
      <c r="C30" s="238"/>
      <c r="D30" s="18"/>
      <c r="E30" s="18"/>
    </row>
    <row r="31" spans="2:51">
      <c r="B31" t="s">
        <v>71</v>
      </c>
      <c r="C31" t="s">
        <v>8</v>
      </c>
    </row>
    <row r="32" spans="2:51">
      <c r="B32">
        <v>0</v>
      </c>
      <c r="C32" s="22">
        <v>0.22500000000000001</v>
      </c>
      <c r="D32" s="22"/>
      <c r="E32" s="22"/>
      <c r="AT32" s="228" t="s">
        <v>126</v>
      </c>
      <c r="AU32" s="228"/>
      <c r="AV32" s="228"/>
      <c r="AW32" s="228"/>
      <c r="AX32" s="228"/>
      <c r="AY32" s="228"/>
    </row>
    <row r="33" spans="2:51">
      <c r="B33">
        <v>181</v>
      </c>
      <c r="C33" s="22">
        <v>0.2</v>
      </c>
      <c r="D33" s="22"/>
      <c r="E33" s="22"/>
      <c r="AT33" s="120"/>
      <c r="AU33" s="120" t="s">
        <v>112</v>
      </c>
      <c r="AV33" s="120" t="s">
        <v>136</v>
      </c>
      <c r="AW33" s="120" t="s">
        <v>81</v>
      </c>
      <c r="AX33" s="120" t="s">
        <v>114</v>
      </c>
      <c r="AY33" s="120" t="s">
        <v>113</v>
      </c>
    </row>
    <row r="34" spans="2:51">
      <c r="B34">
        <v>361</v>
      </c>
      <c r="C34" s="22">
        <v>0.17499999999999999</v>
      </c>
      <c r="D34" s="22"/>
      <c r="E34" s="22"/>
      <c r="AT34" s="121">
        <f>EDATE(AT45,-11)</f>
        <v>45108</v>
      </c>
      <c r="AU34" s="19">
        <f>IFERROR(_xlfn.XLOOKUP(AT34,TabelaHistóricoDados[Mês],TabelaHistóricoDados[Performance Carteira]),"0")</f>
        <v>-3.3E-3</v>
      </c>
      <c r="AV34" s="19">
        <f>AU34</f>
        <v>-3.3E-3</v>
      </c>
      <c r="AW34" s="19">
        <f>IFERROR(_xlfn.XLOOKUP(AT34,TabelaHistóricoDados[Mês],TabelaHistóricoDados[CDI]),"0")</f>
        <v>1.0699999999999999E-2</v>
      </c>
      <c r="AX34" s="19">
        <f>AW34</f>
        <v>1.0699999999999999E-2</v>
      </c>
      <c r="AY34" s="30">
        <f>IFERROR(_xlfn.XLOOKUP(AT34,TabelaHistóricoDados[Mês],TabelaHistóricoDados[Saldo Bruto])/1000,"0")</f>
        <v>205.15179999999998</v>
      </c>
    </row>
    <row r="35" spans="2:51">
      <c r="B35">
        <v>721</v>
      </c>
      <c r="C35" s="22">
        <v>0.15</v>
      </c>
      <c r="D35" s="22"/>
      <c r="E35" s="22"/>
      <c r="AT35" s="122">
        <f>EDATE(AT45,-10)</f>
        <v>45139</v>
      </c>
      <c r="AU35" s="123">
        <f>_xlfn.XLOOKUP(AT35,TabelaHistóricoDados[Mês],TabelaHistóricoDados[Performance Carteira])</f>
        <v>-1.49E-2</v>
      </c>
      <c r="AV35" s="123">
        <f t="shared" ref="AV35:AV45" si="3">(1+AU35)*(1+AV34)-1</f>
        <v>-1.8150829999999951E-2</v>
      </c>
      <c r="AW35" s="123">
        <f>IFERROR(_xlfn.XLOOKUP(AT35,TabelaHistóricoDados[Mês],TabelaHistóricoDados[CDI]),"0")</f>
        <v>1.14E-2</v>
      </c>
      <c r="AX35" s="123">
        <f t="shared" ref="AX35:AX45" si="4">(1+AW35)*(1+AX34)-1</f>
        <v>2.2221980000000086E-2</v>
      </c>
      <c r="AY35" s="124">
        <f>IFERROR(_xlfn.XLOOKUP(AT35,TabelaHistóricoDados[Mês],TabelaHistóricoDados[Saldo Bruto])/1000,"0")</f>
        <v>195.48968999999997</v>
      </c>
    </row>
    <row r="36" spans="2:51">
      <c r="AJ36" s="24" t="str">
        <f>IF(AI36="","",SUMIF(Dados[Custódia],AI36,Dados[Saldo Bruto | Mês Atual]))</f>
        <v/>
      </c>
      <c r="AK36" s="24" t="str">
        <f>IF(AI36="","",SUMIF(Dados[Custódia],AI36,Dados[Movimentaçao | Mês Atual]))</f>
        <v/>
      </c>
      <c r="AL36" s="26" t="str">
        <f t="shared" ref="AL36" si="5">IF(AI36="","",AJ36/SUM($AJ$4:$AJ$27))</f>
        <v/>
      </c>
      <c r="AT36" s="121">
        <f>EDATE(AT45,-9)</f>
        <v>45170</v>
      </c>
      <c r="AU36" s="19">
        <f>_xlfn.XLOOKUP(AT36,TabelaHistóricoDados[Mês],TabelaHistóricoDados[Performance Carteira])</f>
        <v>1.06E-2</v>
      </c>
      <c r="AV36" s="19">
        <f t="shared" si="3"/>
        <v>-7.7432287980000458E-3</v>
      </c>
      <c r="AW36" s="19">
        <f>IFERROR(_xlfn.XLOOKUP(AT36,TabelaHistóricoDados[Mês],TabelaHistóricoDados[CDI]),"0")</f>
        <v>9.7000000000000003E-3</v>
      </c>
      <c r="AX36" s="19">
        <f t="shared" si="4"/>
        <v>3.2137533206000102E-2</v>
      </c>
      <c r="AY36" s="30">
        <f>IFERROR(_xlfn.XLOOKUP(AT36,TabelaHistóricoDados[Mês],TabelaHistóricoDados[Saldo Bruto])/1000,"0")</f>
        <v>144.91643908359598</v>
      </c>
    </row>
    <row r="37" spans="2:51">
      <c r="AT37" s="122">
        <f>EDATE(AT45,-8)</f>
        <v>45200</v>
      </c>
      <c r="AU37" s="123">
        <f>_xlfn.XLOOKUP(AT37,TabelaHistóricoDados[Mês],TabelaHistóricoDados[Performance Carteira])</f>
        <v>8.9999999999999998E-4</v>
      </c>
      <c r="AV37" s="123">
        <f t="shared" si="3"/>
        <v>-6.8501977039183704E-3</v>
      </c>
      <c r="AW37" s="123">
        <f>IFERROR(_xlfn.XLOOKUP(AT37,TabelaHistóricoDados[Mês],TabelaHistóricoDados[CDI]),"0")</f>
        <v>0.01</v>
      </c>
      <c r="AX37" s="123">
        <f t="shared" si="4"/>
        <v>4.2458908538060003E-2</v>
      </c>
      <c r="AY37" s="124">
        <f>IFERROR(_xlfn.XLOOKUP(AT37,TabelaHistóricoDados[Mês],TabelaHistóricoDados[Saldo Bruto])/1000,"0")</f>
        <v>132.88815</v>
      </c>
    </row>
    <row r="38" spans="2:51">
      <c r="AT38" s="121">
        <f>EDATE(AT45,-7)</f>
        <v>45231</v>
      </c>
      <c r="AU38" s="19">
        <f>_xlfn.XLOOKUP(AT38,TabelaHistóricoDados[Mês],TabelaHistóricoDados[Performance Carteira])</f>
        <v>1.04E-2</v>
      </c>
      <c r="AV38" s="19">
        <f t="shared" si="3"/>
        <v>3.4785602399607374E-3</v>
      </c>
      <c r="AW38" s="19">
        <f>IFERROR(_xlfn.XLOOKUP(AT38,TabelaHistóricoDados[Mês],TabelaHistóricoDados[CDI]),"0")</f>
        <v>9.1999999999999998E-3</v>
      </c>
      <c r="AX38" s="19">
        <f t="shared" si="4"/>
        <v>5.2049530496610208E-2</v>
      </c>
      <c r="AY38" s="30">
        <f>IFERROR(_xlfn.XLOOKUP(AT38,TabelaHistóricoDados[Mês],TabelaHistóricoDados[Saldo Bruto])/1000,"0")</f>
        <v>94.376512381996477</v>
      </c>
    </row>
    <row r="39" spans="2:51">
      <c r="AT39" s="122">
        <f>EDATE(AT45,-6)</f>
        <v>45261</v>
      </c>
      <c r="AU39" s="123">
        <f>_xlfn.XLOOKUP(AT39,TabelaHistóricoDados[Mês],TabelaHistóricoDados[Performance Carteira])</f>
        <v>1.7999999999999999E-2</v>
      </c>
      <c r="AV39" s="123">
        <f t="shared" si="3"/>
        <v>2.1541174324280155E-2</v>
      </c>
      <c r="AW39" s="123">
        <f>IFERROR(_xlfn.XLOOKUP(AT39,TabelaHistóricoDados[Mês],TabelaHistóricoDados[CDI]),"0")</f>
        <v>8.8999999999999999E-3</v>
      </c>
      <c r="AX39" s="123">
        <f t="shared" si="4"/>
        <v>6.1412771318029913E-2</v>
      </c>
      <c r="AY39" s="124">
        <f>IFERROR(_xlfn.XLOOKUP(AT39,TabelaHistóricoDados[Mês],TabelaHistóricoDados[Saldo Bruto])/1000,"0")</f>
        <v>81.917645473997965</v>
      </c>
    </row>
    <row r="40" spans="2:51">
      <c r="AT40" s="121">
        <f>EDATE(AT45,-5)</f>
        <v>45292</v>
      </c>
      <c r="AU40" s="19">
        <f>_xlfn.XLOOKUP(AT40,TabelaHistóricoDados[Mês],TabelaHistóricoDados[Performance Carteira])</f>
        <v>-7.6E-3</v>
      </c>
      <c r="AV40" s="19">
        <f t="shared" si="3"/>
        <v>1.3777461399415492E-2</v>
      </c>
      <c r="AW40" s="19">
        <f>IFERROR(_xlfn.XLOOKUP(AT40,TabelaHistóricoDados[Mês],TabelaHistóricoDados[CDI]),"0")</f>
        <v>9.7000000000000003E-3</v>
      </c>
      <c r="AX40" s="19">
        <f t="shared" si="4"/>
        <v>7.1708475199814936E-2</v>
      </c>
      <c r="AY40" s="30">
        <f>IFERROR(_xlfn.XLOOKUP(AT40,TabelaHistóricoDados[Mês],TabelaHistóricoDados[Saldo Bruto])/1000,"0")</f>
        <v>70.996946290163322</v>
      </c>
    </row>
    <row r="41" spans="2:51">
      <c r="AT41" s="122">
        <f>EDATE(AT45,-4)</f>
        <v>45323</v>
      </c>
      <c r="AU41" s="123">
        <f>_xlfn.XLOOKUP(AT41,TabelaHistóricoDados[Mês],TabelaHistóricoDados[Performance Carteira])</f>
        <v>2.9499999999999998E-2</v>
      </c>
      <c r="AV41" s="123">
        <f t="shared" si="3"/>
        <v>4.3683896510698261E-2</v>
      </c>
      <c r="AW41" s="123">
        <f>IFERROR(_xlfn.XLOOKUP(AT41,TabelaHistóricoDados[Mês],TabelaHistóricoDados[CDI]),"0")</f>
        <v>8.0000000000000002E-3</v>
      </c>
      <c r="AX41" s="123">
        <f t="shared" si="4"/>
        <v>8.0282143001413564E-2</v>
      </c>
      <c r="AY41" s="124">
        <f>IFERROR(_xlfn.XLOOKUP(AT41,TabelaHistóricoDados[Mês],TabelaHistóricoDados[Saldo Bruto])/1000,"0")</f>
        <v>68.611869999999996</v>
      </c>
    </row>
    <row r="42" spans="2:51">
      <c r="AT42" s="121">
        <f>EDATE(AT45,-3)</f>
        <v>45352</v>
      </c>
      <c r="AU42" s="19">
        <f>_xlfn.XLOOKUP(AT42,TabelaHistóricoDados[Mês],TabelaHistóricoDados[Performance Carteira])</f>
        <v>2.2599999999999995E-2</v>
      </c>
      <c r="AV42" s="19">
        <f t="shared" si="3"/>
        <v>6.7271152571839909E-2</v>
      </c>
      <c r="AW42" s="19">
        <f>IFERROR(_xlfn.XLOOKUP(AT42,TabelaHistóricoDados[Mês],TabelaHistóricoDados[CDI]),"0")</f>
        <v>8.3000000000000001E-3</v>
      </c>
      <c r="AX42" s="19">
        <f t="shared" si="4"/>
        <v>8.9248484788325255E-2</v>
      </c>
      <c r="AY42" s="30">
        <f>IFERROR(_xlfn.XLOOKUP(AT42,TabelaHistóricoDados[Mês],TabelaHistóricoDados[Saldo Bruto])/1000,"0")</f>
        <v>49.728140000000003</v>
      </c>
    </row>
    <row r="43" spans="2:51">
      <c r="AT43" s="122">
        <f>EDATE(AT45,-2)</f>
        <v>45383</v>
      </c>
      <c r="AU43" s="123">
        <f>_xlfn.XLOOKUP(AT43,TabelaHistóricoDados[Mês],TabelaHistóricoDados[Performance Carteira])</f>
        <v>2.2599999999999995E-2</v>
      </c>
      <c r="AV43" s="123">
        <f t="shared" si="3"/>
        <v>9.1391480619963383E-2</v>
      </c>
      <c r="AW43" s="123">
        <f>IFERROR(_xlfn.XLOOKUP(AT43,TabelaHistóricoDados[Mês],TabelaHistóricoDados[CDI]),"0")</f>
        <v>8.8999999999999999E-3</v>
      </c>
      <c r="AX43" s="123">
        <f t="shared" si="4"/>
        <v>9.8942796302941227E-2</v>
      </c>
      <c r="AY43" s="124">
        <f>IFERROR(_xlfn.XLOOKUP(AT43,TabelaHistóricoDados[Mês],TabelaHistóricoDados[Saldo Bruto])/1000,"0")</f>
        <v>45.454599999999999</v>
      </c>
    </row>
    <row r="44" spans="2:51">
      <c r="AT44" s="121">
        <f>EDATE(AT45,-1)</f>
        <v>45413</v>
      </c>
      <c r="AU44" s="19">
        <f>_xlfn.XLOOKUP(AT44,TabelaHistóricoDados[Mês],TabelaHistóricoDados[Performance Carteira])</f>
        <v>-3.1799999999999995E-2</v>
      </c>
      <c r="AV44" s="19">
        <f t="shared" si="3"/>
        <v>5.6685231536248493E-2</v>
      </c>
      <c r="AW44" s="19">
        <f>IFERROR(_xlfn.XLOOKUP(AT44,TabelaHistóricoDados[Mês],TabelaHistóricoDados[CDI]),"0")</f>
        <v>8.3000000000000001E-3</v>
      </c>
      <c r="AX44" s="19">
        <f t="shared" si="4"/>
        <v>0.10806402151225569</v>
      </c>
      <c r="AY44" s="30">
        <f>IFERROR(_xlfn.XLOOKUP(AT44,TabelaHistóricoDados[Mês],TabelaHistóricoDados[Saldo Bruto])/1000,"0")</f>
        <v>42.198569999999997</v>
      </c>
    </row>
    <row r="45" spans="2:51">
      <c r="AT45" s="122">
        <f>Dados!$A$3</f>
        <v>45444</v>
      </c>
      <c r="AU45" s="123">
        <f>_xlfn.XLOOKUP(AT45,TabelaHistóricoDados[Mês],TabelaHistóricoDados[Performance Carteira])</f>
        <v>0.1052</v>
      </c>
      <c r="AV45" s="123">
        <f t="shared" si="3"/>
        <v>0.16784851789386179</v>
      </c>
      <c r="AW45" s="123">
        <f>IFERROR(_xlfn.XLOOKUP(AT45,TabelaHistóricoDados[Mês],TabelaHistóricoDados[CDI]),"0")</f>
        <v>7.9000000000000008E-3</v>
      </c>
      <c r="AX45" s="123">
        <f t="shared" si="4"/>
        <v>0.11681772728220263</v>
      </c>
      <c r="AY45" s="124">
        <f>IFERROR(_xlfn.XLOOKUP(AT45,TabelaHistóricoDados[Mês],TabelaHistóricoDados[Saldo Bruto])/1000,"0")</f>
        <v>46.638770000000001</v>
      </c>
    </row>
  </sheetData>
  <mergeCells count="5">
    <mergeCell ref="B30:C30"/>
    <mergeCell ref="AI2:AM2"/>
    <mergeCell ref="AO2:AS2"/>
    <mergeCell ref="AU2:AY2"/>
    <mergeCell ref="AT32:AY3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121D-06CB-4C6B-8FDE-9C120A8240BD}">
  <sheetPr codeName="Planilha9"/>
  <dimension ref="A1:V150"/>
  <sheetViews>
    <sheetView zoomScale="70" zoomScaleNormal="70" workbookViewId="0">
      <pane ySplit="1" topLeftCell="A2" activePane="bottomLeft" state="frozen"/>
      <selection pane="bottomLeft" activeCell="O19" sqref="O19"/>
    </sheetView>
  </sheetViews>
  <sheetFormatPr defaultRowHeight="15"/>
  <cols>
    <col min="2" max="2" width="9.5703125" style="186" bestFit="1" customWidth="1"/>
    <col min="3" max="3" width="12" bestFit="1" customWidth="1"/>
    <col min="4" max="4" width="11.28515625" bestFit="1" customWidth="1"/>
    <col min="5" max="5" width="13.28515625" bestFit="1" customWidth="1"/>
    <col min="6" max="6" width="31.85546875" bestFit="1" customWidth="1"/>
    <col min="7" max="7" width="14.5703125" bestFit="1" customWidth="1"/>
    <col min="8" max="8" width="17.28515625" bestFit="1" customWidth="1"/>
    <col min="9" max="9" width="25.85546875" bestFit="1" customWidth="1"/>
    <col min="10" max="10" width="16.42578125" bestFit="1" customWidth="1"/>
    <col min="11" max="11" width="17.85546875" bestFit="1" customWidth="1"/>
    <col min="12" max="12" width="18.42578125" bestFit="1" customWidth="1"/>
    <col min="13" max="13" width="13" bestFit="1" customWidth="1"/>
    <col min="14" max="14" width="19.7109375" bestFit="1" customWidth="1"/>
    <col min="15" max="16" width="38.5703125" bestFit="1" customWidth="1"/>
    <col min="17" max="17" width="24.42578125" bestFit="1" customWidth="1"/>
    <col min="18" max="18" width="15.85546875" style="126" bestFit="1" customWidth="1"/>
    <col min="19" max="19" width="19" style="126" bestFit="1" customWidth="1"/>
    <col min="20" max="20" width="13.28515625" style="31" bestFit="1" customWidth="1"/>
    <col min="21" max="21" width="17" style="31" bestFit="1" customWidth="1"/>
    <col min="22" max="22" width="20.5703125" style="29" bestFit="1" customWidth="1"/>
  </cols>
  <sheetData>
    <row r="1" spans="1:22">
      <c r="A1" s="32">
        <f>'Resumo Carteira | Onshore'!S28</f>
        <v>0.1052</v>
      </c>
    </row>
    <row r="2" spans="1:22">
      <c r="B2" s="167" t="s">
        <v>161</v>
      </c>
      <c r="C2" s="167" t="s">
        <v>162</v>
      </c>
      <c r="D2" s="167" t="s">
        <v>99</v>
      </c>
      <c r="E2" s="167" t="s">
        <v>0</v>
      </c>
      <c r="F2" s="167" t="s">
        <v>43</v>
      </c>
      <c r="G2" s="167" t="s">
        <v>63</v>
      </c>
      <c r="H2" s="224" t="s">
        <v>1</v>
      </c>
      <c r="I2" s="224" t="s">
        <v>2</v>
      </c>
      <c r="J2" s="224" t="s">
        <v>4</v>
      </c>
      <c r="K2" s="224" t="s">
        <v>5</v>
      </c>
      <c r="L2" s="224" t="s">
        <v>3</v>
      </c>
      <c r="M2" s="167" t="s">
        <v>9</v>
      </c>
      <c r="N2" s="224" t="s">
        <v>179</v>
      </c>
      <c r="O2" s="167" t="s">
        <v>180</v>
      </c>
      <c r="P2" s="167" t="s">
        <v>159</v>
      </c>
      <c r="Q2" s="167" t="s">
        <v>160</v>
      </c>
      <c r="R2" s="167" t="s">
        <v>101</v>
      </c>
      <c r="S2" s="167" t="s">
        <v>73</v>
      </c>
      <c r="T2" s="187" t="s">
        <v>172</v>
      </c>
      <c r="U2" s="187" t="s">
        <v>75</v>
      </c>
      <c r="V2" s="188" t="s">
        <v>30</v>
      </c>
    </row>
    <row r="3" spans="1:22">
      <c r="B3" s="186" cm="1">
        <f t="array" ref="B3:B7">Dados[Data]</f>
        <v>45444</v>
      </c>
      <c r="C3" t="s">
        <v>209</v>
      </c>
      <c r="D3" t="str" cm="1">
        <f t="array" ref="D3:D7">Dados[Titular]</f>
        <v>AD</v>
      </c>
      <c r="E3" t="str" cm="1">
        <f t="array" ref="E3:E7">Dados[Custódia]</f>
        <v>BTG</v>
      </c>
      <c r="F3" t="str" cm="1">
        <f t="array" ref="F3:F7">Dados[Classe]</f>
        <v>Corrente, Poupança e Empréstimo</v>
      </c>
      <c r="G3" t="str" cm="1">
        <f t="array" ref="G3:G7">Dados[Subclasse]</f>
        <v>Conta Corrente</v>
      </c>
      <c r="H3" t="str">
        <f>IFERROR(IF(_xlfn.XLOOKUP(O3,Dados[Ativo],Dados[Tipo do Ativo])="","",_xlfn.XLOOKUP(O3,Dados[Ativo],Dados[Tipo do Ativo])),"")</f>
        <v>Conta Corrente -</v>
      </c>
      <c r="I3" t="str">
        <f>IFERROR(IF(_xlfn.XLOOKUP(O3,Dados[Ativo],Dados[Emissor])="","",_xlfn.XLOOKUP(O3,Dados[Ativo],Dados[Emissor])),"")</f>
        <v>BTG</v>
      </c>
      <c r="J3" s="168" t="str">
        <f>IFERROR(IF(_xlfn.XLOOKUP(O3,Dados[Ativo],Dados[Vencimento])="","",_xlfn.XLOOKUP(O3,Dados[Ativo],Dados[Vencimento])),"")</f>
        <v/>
      </c>
      <c r="K3" t="str">
        <f>IFERROR(IF(_xlfn.XLOOKUP(O3,Dados[Ativo],Dados[Remuneração])="","",_xlfn.XLOOKUP(O3,Dados[Ativo],Dados[Remuneração])),"")</f>
        <v/>
      </c>
      <c r="L3" t="str">
        <f>IFERROR(IF(_xlfn.XLOOKUP(O3,Dados[Ativo],Dados[Complemento])="","",_xlfn.XLOOKUP(O3,Dados[Ativo],Dados[Complemento])),"")</f>
        <v/>
      </c>
      <c r="M3" t="str" cm="1">
        <f t="array" ref="M3:M7">Dados[Liquidez]</f>
        <v>D+0</v>
      </c>
      <c r="N3" t="str">
        <f>IFERROR(IF(_xlfn.XLOOKUP(O3,Dados[Ativo],Dados[Ticker do Ativo])="","",_xlfn.XLOOKUP(O3,Dados[Ativo],Dados[Ticker do Ativo])),"")</f>
        <v/>
      </c>
      <c r="O3" t="str" cm="1">
        <f t="array" ref="O3:O7">Dados[Ativo]</f>
        <v>Conta Corrente - BTG</v>
      </c>
      <c r="P3" t="str" cm="1">
        <f t="array" ref="P3:P7">Dados[Nomenclatura Ativo]</f>
        <v>Conta Corrente - BTG</v>
      </c>
      <c r="Q3" t="str" cm="1">
        <f t="array" ref="Q3:Q7">Dados[Nomenclatura Classe]</f>
        <v>Conta Corrente</v>
      </c>
      <c r="R3" s="126" cm="1">
        <f t="array" ref="R3:R7">Dados[Saldo Bruto | Mês Atual]</f>
        <v>4</v>
      </c>
      <c r="S3" s="126" cm="1">
        <f t="array" ref="S3:S7">Dados[Movimentaçao | Mês Atual]</f>
        <v>0</v>
      </c>
      <c r="T3" s="31" cm="1">
        <f t="array" ref="T3:T7">Dados[Peso | Mês Atual]</f>
        <v>100</v>
      </c>
      <c r="U3" s="31" t="str" cm="1">
        <f t="array" ref="U3:U7">Dados[Performance | Mês Atual]</f>
        <v>0,00%</v>
      </c>
      <c r="V3" s="29" cm="1">
        <f t="array" ref="V3:V7">Dados[Saldo Corrigido]</f>
        <v>4</v>
      </c>
    </row>
    <row r="4" spans="1:22">
      <c r="B4" s="186">
        <v>45444</v>
      </c>
      <c r="C4" t="s">
        <v>209</v>
      </c>
      <c r="D4" t="str">
        <v>AD</v>
      </c>
      <c r="E4" t="str">
        <v>BTG</v>
      </c>
      <c r="F4" t="str">
        <v>Opções</v>
      </c>
      <c r="G4" t="str">
        <v>Derivativos</v>
      </c>
      <c r="H4" t="str">
        <f>IFERROR(IF(_xlfn.XLOOKUP(P4,Dados[Nomenclatura Ativo],Dados[Tipo do Ativo])="","",_xlfn.XLOOKUP(P4,Dados[Nomenclatura Ativo],Dados[Tipo do Ativo])),"")</f>
        <v/>
      </c>
      <c r="I4" t="str">
        <f>IFERROR(IF(_xlfn.XLOOKUP(P4,Dados[Nomenclatura Ativo],Dados[Emissor])="","",_xlfn.XLOOKUP(P4,Dados[Nomenclatura Ativo],Dados[Emissor])),"")</f>
        <v>Call Vendida WEGE3</v>
      </c>
      <c r="J4" s="168">
        <f>IFERROR(IF(_xlfn.XLOOKUP(P4,Dados[Nomenclatura Ativo],Dados[Vencimento])="","",_xlfn.XLOOKUP(P4,Dados[Nomenclatura Ativo],Dados[Vencimento])),"")</f>
        <v>45495</v>
      </c>
      <c r="K4" t="str">
        <f>IFERROR(IF(_xlfn.XLOOKUP(P4,Dados[Nomenclatura Ativo],Dados[Remuneração])="","",_xlfn.XLOOKUP(P4,Dados[Nomenclatura Ativo],Dados[Remuneração])),"")</f>
        <v/>
      </c>
      <c r="L4" t="str">
        <f>IFERROR(IF(_xlfn.XLOOKUP(P4,Dados[Nomenclatura Ativo],Dados[Complemento])="","",_xlfn.XLOOKUP(P4,Dados[Nomenclatura Ativo],Dados[Complemento])),"")</f>
        <v/>
      </c>
      <c r="M4">
        <v>2024</v>
      </c>
      <c r="N4" t="str">
        <f>IFERROR(IF(_xlfn.XLOOKUP(P4,Dados[Nomenclatura Ativo],Dados[Ticker do Ativo])="","",_xlfn.XLOOKUP(P4,Dados[Nomenclatura Ativo],Dados[Ticker do Ativo])),"")</f>
        <v/>
      </c>
      <c r="O4" t="str">
        <v>Call Vendida WEGE3 07/24</v>
      </c>
      <c r="P4" t="str">
        <v>Call Vendida WEGE3 07/24</v>
      </c>
      <c r="Q4" t="str">
        <v>Opções - Derivativos</v>
      </c>
      <c r="R4" s="126">
        <v>50</v>
      </c>
      <c r="S4" s="126">
        <v>0</v>
      </c>
      <c r="T4" s="31">
        <v>1</v>
      </c>
      <c r="U4" s="31">
        <v>51.083333333333336</v>
      </c>
      <c r="V4" s="29">
        <v>50</v>
      </c>
    </row>
    <row r="5" spans="1:22">
      <c r="B5" s="186">
        <v>45444</v>
      </c>
      <c r="C5" t="s">
        <v>209</v>
      </c>
      <c r="D5" t="str">
        <v>AD</v>
      </c>
      <c r="E5" t="str">
        <v>BTG</v>
      </c>
      <c r="F5" t="str">
        <v>Opções</v>
      </c>
      <c r="G5" t="str">
        <v>Estruturado</v>
      </c>
      <c r="H5" t="str">
        <f>IFERROR(IF(_xlfn.XLOOKUP(P5,Dados[Nomenclatura Ativo],Dados[Tipo do Ativo])="","",_xlfn.XLOOKUP(P5,Dados[Nomenclatura Ativo],Dados[Tipo do Ativo])),"")</f>
        <v/>
      </c>
      <c r="I5" t="str">
        <f>IFERROR(IF(_xlfn.XLOOKUP(P5,Dados[Nomenclatura Ativo],Dados[Emissor])="","",_xlfn.XLOOKUP(P5,Dados[Nomenclatura Ativo],Dados[Emissor])),"")</f>
        <v>WEGE3 Smart Hedge</v>
      </c>
      <c r="J5" s="168">
        <f>IFERROR(IF(_xlfn.XLOOKUP(P5,Dados[Nomenclatura Ativo],Dados[Vencimento])="","",_xlfn.XLOOKUP(P5,Dados[Nomenclatura Ativo],Dados[Vencimento])),"")</f>
        <v>45495</v>
      </c>
      <c r="K5" t="str">
        <f>IFERROR(IF(_xlfn.XLOOKUP(P5,Dados[Nomenclatura Ativo],Dados[Remuneração])="","",_xlfn.XLOOKUP(P5,Dados[Nomenclatura Ativo],Dados[Remuneração])),"")</f>
        <v/>
      </c>
      <c r="L5" t="str">
        <f>IFERROR(IF(_xlfn.XLOOKUP(P5,Dados[Nomenclatura Ativo],Dados[Complemento])="","",_xlfn.XLOOKUP(P5,Dados[Nomenclatura Ativo],Dados[Complemento])),"")</f>
        <v/>
      </c>
      <c r="M5">
        <v>2024</v>
      </c>
      <c r="N5" t="str">
        <f>IFERROR(IF(_xlfn.XLOOKUP(P5,Dados[Nomenclatura Ativo],Dados[Ticker do Ativo])="","",_xlfn.XLOOKUP(P5,Dados[Nomenclatura Ativo],Dados[Ticker do Ativo])),"")</f>
        <v/>
      </c>
      <c r="O5" t="str">
        <v>WEGE3 Smart Hedge 07/24</v>
      </c>
      <c r="P5" t="str">
        <v>WEGE3 Smart Hedge 07/24</v>
      </c>
      <c r="Q5" t="str">
        <v>Opções - Estruturado</v>
      </c>
      <c r="R5" s="126">
        <v>60</v>
      </c>
      <c r="S5" s="126">
        <v>-0.01</v>
      </c>
      <c r="T5" s="31">
        <v>2</v>
      </c>
      <c r="U5" s="31">
        <v>-0.99854714925553811</v>
      </c>
      <c r="V5" s="29">
        <v>60.01</v>
      </c>
    </row>
    <row r="6" spans="1:22">
      <c r="B6" s="186">
        <v>45444</v>
      </c>
      <c r="C6" t="s">
        <v>209</v>
      </c>
      <c r="D6" t="str">
        <v>AD</v>
      </c>
      <c r="E6" t="str">
        <v>BTG</v>
      </c>
      <c r="F6" t="str">
        <v>Fundos de Investimento</v>
      </c>
      <c r="G6" t="str">
        <v>Renda Fixa</v>
      </c>
      <c r="H6" t="str">
        <f>IFERROR(IF(_xlfn.XLOOKUP(P6,Dados[Nomenclatura Ativo],Dados[Tipo do Ativo])="","",_xlfn.XLOOKUP(P6,Dados[Nomenclatura Ativo],Dados[Tipo do Ativo])),"")</f>
        <v/>
      </c>
      <c r="I6" t="str">
        <f>IFERROR(IF(_xlfn.XLOOKUP(P6,Dados[Nomenclatura Ativo],Dados[Emissor])="","",_xlfn.XLOOKUP(P6,Dados[Nomenclatura Ativo],Dados[Emissor])),"")</f>
        <v>BTG CDB Plus FI RF CP</v>
      </c>
      <c r="J6" s="168" t="str">
        <f>IFERROR(IF(_xlfn.XLOOKUP(P6,Dados[Nomenclatura Ativo],Dados[Vencimento])="","",_xlfn.XLOOKUP(P6,Dados[Nomenclatura Ativo],Dados[Vencimento])),"")</f>
        <v/>
      </c>
      <c r="K6" t="str">
        <f>IFERROR(IF(_xlfn.XLOOKUP(P6,Dados[Nomenclatura Ativo],Dados[Remuneração])="","",_xlfn.XLOOKUP(P6,Dados[Nomenclatura Ativo],Dados[Remuneração])),"")</f>
        <v/>
      </c>
      <c r="L6" t="str">
        <f>IFERROR(IF(_xlfn.XLOOKUP(P6,Dados[Nomenclatura Ativo],Dados[Complemento])="","",_xlfn.XLOOKUP(P6,Dados[Nomenclatura Ativo],Dados[Complemento])),"")</f>
        <v/>
      </c>
      <c r="M6" t="str">
        <v>D+0</v>
      </c>
      <c r="N6" t="str">
        <f>IFERROR(IF(_xlfn.XLOOKUP(P6,Dados[Nomenclatura Ativo],Dados[Ticker do Ativo])="","",_xlfn.XLOOKUP(P6,Dados[Nomenclatura Ativo],Dados[Ticker do Ativo])),"")</f>
        <v>27.717.359/0001-30</v>
      </c>
      <c r="O6" t="str">
        <v>BTG CDB Plus FI RF CP</v>
      </c>
      <c r="P6" t="str">
        <v>BTG CDB Plus FI RF CP</v>
      </c>
      <c r="Q6" t="str">
        <v>Fundos - Renda Fixa</v>
      </c>
      <c r="R6" s="126">
        <v>100</v>
      </c>
      <c r="S6" s="126">
        <v>-0.01</v>
      </c>
      <c r="T6" s="31">
        <v>3</v>
      </c>
      <c r="U6" s="31">
        <v>-0.49044683344372553</v>
      </c>
      <c r="V6" s="29">
        <v>100.01</v>
      </c>
    </row>
    <row r="7" spans="1:22">
      <c r="B7" s="186">
        <v>45444</v>
      </c>
      <c r="C7" t="s">
        <v>209</v>
      </c>
      <c r="D7" t="str">
        <v>AD</v>
      </c>
      <c r="E7" t="str">
        <v>BTG</v>
      </c>
      <c r="F7" t="str">
        <v>Opções</v>
      </c>
      <c r="G7" t="str">
        <v>Derivativos</v>
      </c>
      <c r="H7" t="str">
        <f>IFERROR(IF(_xlfn.XLOOKUP(P7,Dados[Nomenclatura Ativo],Dados[Tipo do Ativo])="","",_xlfn.XLOOKUP(P7,Dados[Nomenclatura Ativo],Dados[Tipo do Ativo])),"")</f>
        <v/>
      </c>
      <c r="I7" t="str">
        <f>IFERROR(IF(_xlfn.XLOOKUP(P7,Dados[Nomenclatura Ativo],Dados[Emissor])="","",_xlfn.XLOOKUP(P7,Dados[Nomenclatura Ativo],Dados[Emissor])),"")</f>
        <v>Put Comprada WEGE3</v>
      </c>
      <c r="J7" s="168">
        <f>IFERROR(IF(_xlfn.XLOOKUP(P7,Dados[Nomenclatura Ativo],Dados[Vencimento])="","",_xlfn.XLOOKUP(P7,Dados[Nomenclatura Ativo],Dados[Vencimento])),"")</f>
        <v>45495</v>
      </c>
      <c r="K7" t="str">
        <f>IFERROR(IF(_xlfn.XLOOKUP(P7,Dados[Nomenclatura Ativo],Dados[Remuneração])="","",_xlfn.XLOOKUP(P7,Dados[Nomenclatura Ativo],Dados[Remuneração])),"")</f>
        <v/>
      </c>
      <c r="L7" t="str">
        <f>IFERROR(IF(_xlfn.XLOOKUP(P7,Dados[Nomenclatura Ativo],Dados[Complemento])="","",_xlfn.XLOOKUP(P7,Dados[Nomenclatura Ativo],Dados[Complemento])),"")</f>
        <v/>
      </c>
      <c r="M7">
        <v>2024</v>
      </c>
      <c r="N7" t="str">
        <f>IFERROR(IF(_xlfn.XLOOKUP(P7,Dados[Nomenclatura Ativo],Dados[Ticker do Ativo])="","",_xlfn.XLOOKUP(P7,Dados[Nomenclatura Ativo],Dados[Ticker do Ativo])),"")</f>
        <v/>
      </c>
      <c r="O7" t="str">
        <v>Put Comprada WEGE3 07/24</v>
      </c>
      <c r="P7" t="str">
        <v>Put Comprada WEGE3 07/24</v>
      </c>
      <c r="Q7" t="str">
        <v>Opções - Derivativos</v>
      </c>
      <c r="R7" s="126">
        <v>200</v>
      </c>
      <c r="S7" s="126">
        <v>0</v>
      </c>
      <c r="T7" s="31">
        <v>4</v>
      </c>
      <c r="U7" s="31">
        <v>-0.71254455559388297</v>
      </c>
      <c r="V7" s="29">
        <v>200</v>
      </c>
    </row>
    <row r="8" spans="1:22">
      <c r="C8" t="s">
        <v>209</v>
      </c>
      <c r="H8" t="str">
        <f>IFERROR(IF(_xlfn.XLOOKUP(P8,Dados[Nomenclatura Ativo],Dados[Tipo do Ativo])="","",_xlfn.XLOOKUP(P8,Dados[Nomenclatura Ativo],Dados[Tipo do Ativo])),"")</f>
        <v/>
      </c>
      <c r="I8" t="str">
        <f>IFERROR(IF(_xlfn.XLOOKUP(P8,Dados[Nomenclatura Ativo],Dados[Emissor])="","",_xlfn.XLOOKUP(P8,Dados[Nomenclatura Ativo],Dados[Emissor])),"")</f>
        <v/>
      </c>
      <c r="J8" s="168" t="str">
        <f>IFERROR(IF(_xlfn.XLOOKUP(P8,Dados[Nomenclatura Ativo],Dados[Vencimento])="","",_xlfn.XLOOKUP(P8,Dados[Nomenclatura Ativo],Dados[Vencimento])),"")</f>
        <v/>
      </c>
      <c r="K8" t="str">
        <f>IFERROR(IF(_xlfn.XLOOKUP(P8,Dados[Nomenclatura Ativo],Dados[Remuneração])="","",_xlfn.XLOOKUP(P8,Dados[Nomenclatura Ativo],Dados[Remuneração])),"")</f>
        <v/>
      </c>
      <c r="L8" t="str">
        <f>IFERROR(IF(_xlfn.XLOOKUP(P8,Dados[Nomenclatura Ativo],Dados[Complemento])="","",_xlfn.XLOOKUP(P8,Dados[Nomenclatura Ativo],Dados[Complemento])),"")</f>
        <v/>
      </c>
      <c r="N8" t="str">
        <f>IFERROR(IF(_xlfn.XLOOKUP(P8,Dados[Nomenclatura Ativo],Dados[Ticker do Ativo])="","",_xlfn.XLOOKUP(P8,Dados[Nomenclatura Ativo],Dados[Ticker do Ativo])),"")</f>
        <v/>
      </c>
    </row>
    <row r="9" spans="1:22">
      <c r="C9" t="s">
        <v>209</v>
      </c>
      <c r="H9" t="str">
        <f>IFERROR(IF(_xlfn.XLOOKUP(P9,Dados[Nomenclatura Ativo],Dados[Tipo do Ativo])="","",_xlfn.XLOOKUP(P9,Dados[Nomenclatura Ativo],Dados[Tipo do Ativo])),"")</f>
        <v/>
      </c>
      <c r="I9" t="str">
        <f>IFERROR(IF(_xlfn.XLOOKUP(P9,Dados[Nomenclatura Ativo],Dados[Emissor])="","",_xlfn.XLOOKUP(P9,Dados[Nomenclatura Ativo],Dados[Emissor])),"")</f>
        <v/>
      </c>
      <c r="J9" s="168" t="str">
        <f>IFERROR(IF(_xlfn.XLOOKUP(P9,Dados[Nomenclatura Ativo],Dados[Vencimento])="","",_xlfn.XLOOKUP(P9,Dados[Nomenclatura Ativo],Dados[Vencimento])),"")</f>
        <v/>
      </c>
      <c r="K9" t="str">
        <f>IFERROR(IF(_xlfn.XLOOKUP(P9,Dados[Nomenclatura Ativo],Dados[Remuneração])="","",_xlfn.XLOOKUP(P9,Dados[Nomenclatura Ativo],Dados[Remuneração])),"")</f>
        <v/>
      </c>
      <c r="L9" t="str">
        <f>IFERROR(IF(_xlfn.XLOOKUP(P9,Dados[Nomenclatura Ativo],Dados[Complemento])="","",_xlfn.XLOOKUP(P9,Dados[Nomenclatura Ativo],Dados[Complemento])),"")</f>
        <v/>
      </c>
      <c r="N9" t="str">
        <f>IFERROR(IF(_xlfn.XLOOKUP(P9,Dados[Nomenclatura Ativo],Dados[Ticker do Ativo])="","",_xlfn.XLOOKUP(P9,Dados[Nomenclatura Ativo],Dados[Ticker do Ativo])),"")</f>
        <v/>
      </c>
    </row>
    <row r="10" spans="1:22">
      <c r="C10" t="s">
        <v>209</v>
      </c>
      <c r="H10" t="str">
        <f>IFERROR(IF(_xlfn.XLOOKUP(P10,Dados[Nomenclatura Ativo],Dados[Tipo do Ativo])="","",_xlfn.XLOOKUP(P10,Dados[Nomenclatura Ativo],Dados[Tipo do Ativo])),"")</f>
        <v/>
      </c>
      <c r="I10" t="str">
        <f>IFERROR(IF(_xlfn.XLOOKUP(P10,Dados[Nomenclatura Ativo],Dados[Emissor])="","",_xlfn.XLOOKUP(P10,Dados[Nomenclatura Ativo],Dados[Emissor])),"")</f>
        <v/>
      </c>
      <c r="J10" s="168" t="str">
        <f>IFERROR(IF(_xlfn.XLOOKUP(P10,Dados[Nomenclatura Ativo],Dados[Vencimento])="","",_xlfn.XLOOKUP(P10,Dados[Nomenclatura Ativo],Dados[Vencimento])),"")</f>
        <v/>
      </c>
      <c r="K10" t="str">
        <f>IFERROR(IF(_xlfn.XLOOKUP(P10,Dados[Nomenclatura Ativo],Dados[Remuneração])="","",_xlfn.XLOOKUP(P10,Dados[Nomenclatura Ativo],Dados[Remuneração])),"")</f>
        <v/>
      </c>
      <c r="L10" t="str">
        <f>IFERROR(IF(_xlfn.XLOOKUP(P10,Dados[Nomenclatura Ativo],Dados[Complemento])="","",_xlfn.XLOOKUP(P10,Dados[Nomenclatura Ativo],Dados[Complemento])),"")</f>
        <v/>
      </c>
      <c r="N10" t="str">
        <f>IFERROR(IF(_xlfn.XLOOKUP(P10,Dados[Nomenclatura Ativo],Dados[Ticker do Ativo])="","",_xlfn.XLOOKUP(P10,Dados[Nomenclatura Ativo],Dados[Ticker do Ativo])),"")</f>
        <v/>
      </c>
    </row>
    <row r="11" spans="1:22">
      <c r="C11" t="s">
        <v>209</v>
      </c>
      <c r="H11" t="str">
        <f>IFERROR(IF(_xlfn.XLOOKUP(P11,Dados[Nomenclatura Ativo],Dados[Tipo do Ativo])="","",_xlfn.XLOOKUP(P11,Dados[Nomenclatura Ativo],Dados[Tipo do Ativo])),"")</f>
        <v/>
      </c>
      <c r="I11" t="str">
        <f>IFERROR(IF(_xlfn.XLOOKUP(P11,Dados[Nomenclatura Ativo],Dados[Emissor])="","",_xlfn.XLOOKUP(P11,Dados[Nomenclatura Ativo],Dados[Emissor])),"")</f>
        <v/>
      </c>
      <c r="J11" s="168" t="str">
        <f>IFERROR(IF(_xlfn.XLOOKUP(P11,Dados[Nomenclatura Ativo],Dados[Vencimento])="","",_xlfn.XLOOKUP(P11,Dados[Nomenclatura Ativo],Dados[Vencimento])),"")</f>
        <v/>
      </c>
      <c r="K11" t="str">
        <f>IFERROR(IF(_xlfn.XLOOKUP(P11,Dados[Nomenclatura Ativo],Dados[Remuneração])="","",_xlfn.XLOOKUP(P11,Dados[Nomenclatura Ativo],Dados[Remuneração])),"")</f>
        <v/>
      </c>
      <c r="L11" t="str">
        <f>IFERROR(IF(_xlfn.XLOOKUP(P11,Dados[Nomenclatura Ativo],Dados[Complemento])="","",_xlfn.XLOOKUP(P11,Dados[Nomenclatura Ativo],Dados[Complemento])),"")</f>
        <v/>
      </c>
      <c r="N11" t="str">
        <f>IFERROR(IF(_xlfn.XLOOKUP(P11,Dados[Nomenclatura Ativo],Dados[Ticker do Ativo])="","",_xlfn.XLOOKUP(P11,Dados[Nomenclatura Ativo],Dados[Ticker do Ativo])),"")</f>
        <v/>
      </c>
    </row>
    <row r="12" spans="1:22">
      <c r="C12" t="s">
        <v>209</v>
      </c>
      <c r="H12" t="str">
        <f>IFERROR(IF(_xlfn.XLOOKUP(P12,Dados[Nomenclatura Ativo],Dados[Tipo do Ativo])="","",_xlfn.XLOOKUP(P12,Dados[Nomenclatura Ativo],Dados[Tipo do Ativo])),"")</f>
        <v/>
      </c>
      <c r="I12" t="str">
        <f>IFERROR(IF(_xlfn.XLOOKUP(P12,Dados[Nomenclatura Ativo],Dados[Emissor])="","",_xlfn.XLOOKUP(P12,Dados[Nomenclatura Ativo],Dados[Emissor])),"")</f>
        <v/>
      </c>
      <c r="J12" s="168" t="str">
        <f>IFERROR(IF(_xlfn.XLOOKUP(P12,Dados[Nomenclatura Ativo],Dados[Vencimento])="","",_xlfn.XLOOKUP(P12,Dados[Nomenclatura Ativo],Dados[Vencimento])),"")</f>
        <v/>
      </c>
      <c r="K12" t="str">
        <f>IFERROR(IF(_xlfn.XLOOKUP(P12,Dados[Nomenclatura Ativo],Dados[Remuneração])="","",_xlfn.XLOOKUP(P12,Dados[Nomenclatura Ativo],Dados[Remuneração])),"")</f>
        <v/>
      </c>
      <c r="L12" t="str">
        <f>IFERROR(IF(_xlfn.XLOOKUP(P12,Dados[Nomenclatura Ativo],Dados[Complemento])="","",_xlfn.XLOOKUP(P12,Dados[Nomenclatura Ativo],Dados[Complemento])),"")</f>
        <v/>
      </c>
      <c r="N12" t="str">
        <f>IFERROR(IF(_xlfn.XLOOKUP(P12,Dados[Nomenclatura Ativo],Dados[Ticker do Ativo])="","",_xlfn.XLOOKUP(P12,Dados[Nomenclatura Ativo],Dados[Ticker do Ativo])),"")</f>
        <v/>
      </c>
    </row>
    <row r="13" spans="1:22">
      <c r="C13" t="s">
        <v>209</v>
      </c>
      <c r="H13" t="str">
        <f>IFERROR(IF(_xlfn.XLOOKUP(P13,Dados[Nomenclatura Ativo],Dados[Tipo do Ativo])="","",_xlfn.XLOOKUP(P13,Dados[Nomenclatura Ativo],Dados[Tipo do Ativo])),"")</f>
        <v/>
      </c>
      <c r="I13" t="str">
        <f>IFERROR(IF(_xlfn.XLOOKUP(P13,Dados[Nomenclatura Ativo],Dados[Emissor])="","",_xlfn.XLOOKUP(P13,Dados[Nomenclatura Ativo],Dados[Emissor])),"")</f>
        <v/>
      </c>
      <c r="J13" s="168" t="str">
        <f>IFERROR(IF(_xlfn.XLOOKUP(P13,Dados[Nomenclatura Ativo],Dados[Vencimento])="","",_xlfn.XLOOKUP(P13,Dados[Nomenclatura Ativo],Dados[Vencimento])),"")</f>
        <v/>
      </c>
      <c r="K13" t="str">
        <f>IFERROR(IF(_xlfn.XLOOKUP(P13,Dados[Nomenclatura Ativo],Dados[Remuneração])="","",_xlfn.XLOOKUP(P13,Dados[Nomenclatura Ativo],Dados[Remuneração])),"")</f>
        <v/>
      </c>
      <c r="L13" t="str">
        <f>IFERROR(IF(_xlfn.XLOOKUP(P13,Dados[Nomenclatura Ativo],Dados[Complemento])="","",_xlfn.XLOOKUP(P13,Dados[Nomenclatura Ativo],Dados[Complemento])),"")</f>
        <v/>
      </c>
      <c r="N13" t="str">
        <f>IFERROR(IF(_xlfn.XLOOKUP(P13,Dados[Nomenclatura Ativo],Dados[Ticker do Ativo])="","",_xlfn.XLOOKUP(P13,Dados[Nomenclatura Ativo],Dados[Ticker do Ativo])),"")</f>
        <v/>
      </c>
    </row>
    <row r="14" spans="1:22">
      <c r="C14" t="s">
        <v>209</v>
      </c>
      <c r="H14" t="str">
        <f>IFERROR(IF(_xlfn.XLOOKUP(P14,Dados[Nomenclatura Ativo],Dados[Tipo do Ativo])="","",_xlfn.XLOOKUP(P14,Dados[Nomenclatura Ativo],Dados[Tipo do Ativo])),"")</f>
        <v/>
      </c>
      <c r="I14" t="str">
        <f>IFERROR(IF(_xlfn.XLOOKUP(P14,Dados[Nomenclatura Ativo],Dados[Emissor])="","",_xlfn.XLOOKUP(P14,Dados[Nomenclatura Ativo],Dados[Emissor])),"")</f>
        <v/>
      </c>
      <c r="J14" s="168" t="str">
        <f>IFERROR(IF(_xlfn.XLOOKUP(P14,Dados[Nomenclatura Ativo],Dados[Vencimento])="","",_xlfn.XLOOKUP(P14,Dados[Nomenclatura Ativo],Dados[Vencimento])),"")</f>
        <v/>
      </c>
      <c r="K14" t="str">
        <f>IFERROR(IF(_xlfn.XLOOKUP(P14,Dados[Nomenclatura Ativo],Dados[Remuneração])="","",_xlfn.XLOOKUP(P14,Dados[Nomenclatura Ativo],Dados[Remuneração])),"")</f>
        <v/>
      </c>
      <c r="L14" t="str">
        <f>IFERROR(IF(_xlfn.XLOOKUP(P14,Dados[Nomenclatura Ativo],Dados[Complemento])="","",_xlfn.XLOOKUP(P14,Dados[Nomenclatura Ativo],Dados[Complemento])),"")</f>
        <v/>
      </c>
      <c r="N14" t="str">
        <f>IFERROR(IF(_xlfn.XLOOKUP(P14,Dados[Nomenclatura Ativo],Dados[Ticker do Ativo])="","",_xlfn.XLOOKUP(P14,Dados[Nomenclatura Ativo],Dados[Ticker do Ativo])),"")</f>
        <v/>
      </c>
    </row>
    <row r="15" spans="1:22">
      <c r="C15" t="s">
        <v>209</v>
      </c>
      <c r="H15" t="str">
        <f>IFERROR(IF(_xlfn.XLOOKUP(P15,Dados[Nomenclatura Ativo],Dados[Tipo do Ativo])="","",_xlfn.XLOOKUP(P15,Dados[Nomenclatura Ativo],Dados[Tipo do Ativo])),"")</f>
        <v/>
      </c>
      <c r="I15" t="str">
        <f>IFERROR(IF(_xlfn.XLOOKUP(P15,Dados[Nomenclatura Ativo],Dados[Emissor])="","",_xlfn.XLOOKUP(P15,Dados[Nomenclatura Ativo],Dados[Emissor])),"")</f>
        <v/>
      </c>
      <c r="J15" s="168" t="str">
        <f>IFERROR(IF(_xlfn.XLOOKUP(P15,Dados[Nomenclatura Ativo],Dados[Vencimento])="","",_xlfn.XLOOKUP(P15,Dados[Nomenclatura Ativo],Dados[Vencimento])),"")</f>
        <v/>
      </c>
      <c r="K15" t="str">
        <f>IFERROR(IF(_xlfn.XLOOKUP(P15,Dados[Nomenclatura Ativo],Dados[Remuneração])="","",_xlfn.XLOOKUP(P15,Dados[Nomenclatura Ativo],Dados[Remuneração])),"")</f>
        <v/>
      </c>
      <c r="L15" t="str">
        <f>IFERROR(IF(_xlfn.XLOOKUP(P15,Dados[Nomenclatura Ativo],Dados[Complemento])="","",_xlfn.XLOOKUP(P15,Dados[Nomenclatura Ativo],Dados[Complemento])),"")</f>
        <v/>
      </c>
      <c r="N15" t="str">
        <f>IFERROR(IF(_xlfn.XLOOKUP(P15,Dados[Nomenclatura Ativo],Dados[Ticker do Ativo])="","",_xlfn.XLOOKUP(P15,Dados[Nomenclatura Ativo],Dados[Ticker do Ativo])),"")</f>
        <v/>
      </c>
    </row>
    <row r="16" spans="1:22">
      <c r="C16" t="s">
        <v>209</v>
      </c>
      <c r="H16" t="str">
        <f>IFERROR(IF(_xlfn.XLOOKUP(P16,Dados[Nomenclatura Ativo],Dados[Tipo do Ativo])="","",_xlfn.XLOOKUP(P16,Dados[Nomenclatura Ativo],Dados[Tipo do Ativo])),"")</f>
        <v/>
      </c>
      <c r="I16" t="str">
        <f>IFERROR(IF(_xlfn.XLOOKUP(P16,Dados[Nomenclatura Ativo],Dados[Emissor])="","",_xlfn.XLOOKUP(P16,Dados[Nomenclatura Ativo],Dados[Emissor])),"")</f>
        <v/>
      </c>
      <c r="J16" s="168" t="str">
        <f>IFERROR(IF(_xlfn.XLOOKUP(P16,Dados[Nomenclatura Ativo],Dados[Vencimento])="","",_xlfn.XLOOKUP(P16,Dados[Nomenclatura Ativo],Dados[Vencimento])),"")</f>
        <v/>
      </c>
      <c r="K16" t="str">
        <f>IFERROR(IF(_xlfn.XLOOKUP(P16,Dados[Nomenclatura Ativo],Dados[Remuneração])="","",_xlfn.XLOOKUP(P16,Dados[Nomenclatura Ativo],Dados[Remuneração])),"")</f>
        <v/>
      </c>
      <c r="L16" t="str">
        <f>IFERROR(IF(_xlfn.XLOOKUP(P16,Dados[Nomenclatura Ativo],Dados[Complemento])="","",_xlfn.XLOOKUP(P16,Dados[Nomenclatura Ativo],Dados[Complemento])),"")</f>
        <v/>
      </c>
      <c r="N16" t="str">
        <f>IFERROR(IF(_xlfn.XLOOKUP(P16,Dados[Nomenclatura Ativo],Dados[Ticker do Ativo])="","",_xlfn.XLOOKUP(P16,Dados[Nomenclatura Ativo],Dados[Ticker do Ativo])),"")</f>
        <v/>
      </c>
    </row>
    <row r="17" spans="3:14">
      <c r="C17" t="s">
        <v>209</v>
      </c>
      <c r="H17" t="str">
        <f>IFERROR(IF(_xlfn.XLOOKUP(P17,Dados[Nomenclatura Ativo],Dados[Tipo do Ativo])="","",_xlfn.XLOOKUP(P17,Dados[Nomenclatura Ativo],Dados[Tipo do Ativo])),"")</f>
        <v/>
      </c>
      <c r="I17" t="str">
        <f>IFERROR(IF(_xlfn.XLOOKUP(P17,Dados[Nomenclatura Ativo],Dados[Emissor])="","",_xlfn.XLOOKUP(P17,Dados[Nomenclatura Ativo],Dados[Emissor])),"")</f>
        <v/>
      </c>
      <c r="J17" s="168" t="str">
        <f>IFERROR(IF(_xlfn.XLOOKUP(P17,Dados[Nomenclatura Ativo],Dados[Vencimento])="","",_xlfn.XLOOKUP(P17,Dados[Nomenclatura Ativo],Dados[Vencimento])),"")</f>
        <v/>
      </c>
      <c r="K17" t="str">
        <f>IFERROR(IF(_xlfn.XLOOKUP(P17,Dados[Nomenclatura Ativo],Dados[Remuneração])="","",_xlfn.XLOOKUP(P17,Dados[Nomenclatura Ativo],Dados[Remuneração])),"")</f>
        <v/>
      </c>
      <c r="L17" t="str">
        <f>IFERROR(IF(_xlfn.XLOOKUP(P17,Dados[Nomenclatura Ativo],Dados[Complemento])="","",_xlfn.XLOOKUP(P17,Dados[Nomenclatura Ativo],Dados[Complemento])),"")</f>
        <v/>
      </c>
      <c r="N17" t="str">
        <f>IFERROR(IF(_xlfn.XLOOKUP(P17,Dados[Nomenclatura Ativo],Dados[Ticker do Ativo])="","",_xlfn.XLOOKUP(P17,Dados[Nomenclatura Ativo],Dados[Ticker do Ativo])),"")</f>
        <v/>
      </c>
    </row>
    <row r="18" spans="3:14">
      <c r="C18" t="s">
        <v>209</v>
      </c>
      <c r="H18" t="str">
        <f>IFERROR(IF(_xlfn.XLOOKUP(P18,Dados[Nomenclatura Ativo],Dados[Tipo do Ativo])="","",_xlfn.XLOOKUP(P18,Dados[Nomenclatura Ativo],Dados[Tipo do Ativo])),"")</f>
        <v/>
      </c>
      <c r="I18" t="str">
        <f>IFERROR(IF(_xlfn.XLOOKUP(P18,Dados[Nomenclatura Ativo],Dados[Emissor])="","",_xlfn.XLOOKUP(P18,Dados[Nomenclatura Ativo],Dados[Emissor])),"")</f>
        <v/>
      </c>
      <c r="J18" s="168" t="str">
        <f>IFERROR(IF(_xlfn.XLOOKUP(P18,Dados[Nomenclatura Ativo],Dados[Vencimento])="","",_xlfn.XLOOKUP(P18,Dados[Nomenclatura Ativo],Dados[Vencimento])),"")</f>
        <v/>
      </c>
      <c r="K18" t="str">
        <f>IFERROR(IF(_xlfn.XLOOKUP(P18,Dados[Nomenclatura Ativo],Dados[Remuneração])="","",_xlfn.XLOOKUP(P18,Dados[Nomenclatura Ativo],Dados[Remuneração])),"")</f>
        <v/>
      </c>
      <c r="L18" t="str">
        <f>IFERROR(IF(_xlfn.XLOOKUP(P18,Dados[Nomenclatura Ativo],Dados[Complemento])="","",_xlfn.XLOOKUP(P18,Dados[Nomenclatura Ativo],Dados[Complemento])),"")</f>
        <v/>
      </c>
      <c r="N18" t="str">
        <f>IFERROR(IF(_xlfn.XLOOKUP(P18,Dados[Nomenclatura Ativo],Dados[Ticker do Ativo])="","",_xlfn.XLOOKUP(P18,Dados[Nomenclatura Ativo],Dados[Ticker do Ativo])),"")</f>
        <v/>
      </c>
    </row>
    <row r="19" spans="3:14">
      <c r="C19" t="s">
        <v>209</v>
      </c>
      <c r="H19" t="str">
        <f>IFERROR(IF(_xlfn.XLOOKUP(P19,Dados[Nomenclatura Ativo],Dados[Tipo do Ativo])="","",_xlfn.XLOOKUP(P19,Dados[Nomenclatura Ativo],Dados[Tipo do Ativo])),"")</f>
        <v/>
      </c>
      <c r="I19" t="str">
        <f>IFERROR(IF(_xlfn.XLOOKUP(P19,Dados[Nomenclatura Ativo],Dados[Emissor])="","",_xlfn.XLOOKUP(P19,Dados[Nomenclatura Ativo],Dados[Emissor])),"")</f>
        <v/>
      </c>
      <c r="J19" s="168" t="str">
        <f>IFERROR(IF(_xlfn.XLOOKUP(P19,Dados[Nomenclatura Ativo],Dados[Vencimento])="","",_xlfn.XLOOKUP(P19,Dados[Nomenclatura Ativo],Dados[Vencimento])),"")</f>
        <v/>
      </c>
      <c r="K19" t="str">
        <f>IFERROR(IF(_xlfn.XLOOKUP(P19,Dados[Nomenclatura Ativo],Dados[Remuneração])="","",_xlfn.XLOOKUP(P19,Dados[Nomenclatura Ativo],Dados[Remuneração])),"")</f>
        <v/>
      </c>
      <c r="L19" t="str">
        <f>IFERROR(IF(_xlfn.XLOOKUP(P19,Dados[Nomenclatura Ativo],Dados[Complemento])="","",_xlfn.XLOOKUP(P19,Dados[Nomenclatura Ativo],Dados[Complemento])),"")</f>
        <v/>
      </c>
      <c r="N19" t="str">
        <f>IFERROR(IF(_xlfn.XLOOKUP(P19,Dados[Nomenclatura Ativo],Dados[Ticker do Ativo])="","",_xlfn.XLOOKUP(P19,Dados[Nomenclatura Ativo],Dados[Ticker do Ativo])),"")</f>
        <v/>
      </c>
    </row>
    <row r="20" spans="3:14">
      <c r="C20" t="s">
        <v>209</v>
      </c>
      <c r="H20" t="str">
        <f>IFERROR(IF(_xlfn.XLOOKUP(P20,Dados[Nomenclatura Ativo],Dados[Tipo do Ativo])="","",_xlfn.XLOOKUP(P20,Dados[Nomenclatura Ativo],Dados[Tipo do Ativo])),"")</f>
        <v/>
      </c>
      <c r="I20" t="str">
        <f>IFERROR(IF(_xlfn.XLOOKUP(P20,Dados[Nomenclatura Ativo],Dados[Emissor])="","",_xlfn.XLOOKUP(P20,Dados[Nomenclatura Ativo],Dados[Emissor])),"")</f>
        <v/>
      </c>
      <c r="J20" s="168" t="str">
        <f>IFERROR(IF(_xlfn.XLOOKUP(P20,Dados[Nomenclatura Ativo],Dados[Vencimento])="","",_xlfn.XLOOKUP(P20,Dados[Nomenclatura Ativo],Dados[Vencimento])),"")</f>
        <v/>
      </c>
      <c r="K20" t="str">
        <f>IFERROR(IF(_xlfn.XLOOKUP(P20,Dados[Nomenclatura Ativo],Dados[Remuneração])="","",_xlfn.XLOOKUP(P20,Dados[Nomenclatura Ativo],Dados[Remuneração])),"")</f>
        <v/>
      </c>
      <c r="L20" t="str">
        <f>IFERROR(IF(_xlfn.XLOOKUP(P20,Dados[Nomenclatura Ativo],Dados[Complemento])="","",_xlfn.XLOOKUP(P20,Dados[Nomenclatura Ativo],Dados[Complemento])),"")</f>
        <v/>
      </c>
      <c r="N20" t="str">
        <f>IFERROR(IF(_xlfn.XLOOKUP(P20,Dados[Nomenclatura Ativo],Dados[Ticker do Ativo])="","",_xlfn.XLOOKUP(P20,Dados[Nomenclatura Ativo],Dados[Ticker do Ativo])),"")</f>
        <v/>
      </c>
    </row>
    <row r="21" spans="3:14">
      <c r="C21" t="s">
        <v>209</v>
      </c>
      <c r="H21" t="str">
        <f>IFERROR(IF(_xlfn.XLOOKUP(P21,Dados[Nomenclatura Ativo],Dados[Tipo do Ativo])="","",_xlfn.XLOOKUP(P21,Dados[Nomenclatura Ativo],Dados[Tipo do Ativo])),"")</f>
        <v/>
      </c>
      <c r="I21" t="str">
        <f>IFERROR(IF(_xlfn.XLOOKUP(P21,Dados[Nomenclatura Ativo],Dados[Emissor])="","",_xlfn.XLOOKUP(P21,Dados[Nomenclatura Ativo],Dados[Emissor])),"")</f>
        <v/>
      </c>
      <c r="J21" s="168" t="str">
        <f>IFERROR(IF(_xlfn.XLOOKUP(P21,Dados[Nomenclatura Ativo],Dados[Vencimento])="","",_xlfn.XLOOKUP(P21,Dados[Nomenclatura Ativo],Dados[Vencimento])),"")</f>
        <v/>
      </c>
      <c r="K21" t="str">
        <f>IFERROR(IF(_xlfn.XLOOKUP(P21,Dados[Nomenclatura Ativo],Dados[Remuneração])="","",_xlfn.XLOOKUP(P21,Dados[Nomenclatura Ativo],Dados[Remuneração])),"")</f>
        <v/>
      </c>
      <c r="L21" t="str">
        <f>IFERROR(IF(_xlfn.XLOOKUP(P21,Dados[Nomenclatura Ativo],Dados[Complemento])="","",_xlfn.XLOOKUP(P21,Dados[Nomenclatura Ativo],Dados[Complemento])),"")</f>
        <v/>
      </c>
      <c r="N21" t="str">
        <f>IFERROR(IF(_xlfn.XLOOKUP(P21,Dados[Nomenclatura Ativo],Dados[Ticker do Ativo])="","",_xlfn.XLOOKUP(P21,Dados[Nomenclatura Ativo],Dados[Ticker do Ativo])),"")</f>
        <v/>
      </c>
    </row>
    <row r="22" spans="3:14">
      <c r="C22" t="s">
        <v>209</v>
      </c>
      <c r="H22" t="str">
        <f>IFERROR(IF(_xlfn.XLOOKUP(P22,Dados[Nomenclatura Ativo],Dados[Tipo do Ativo])="","",_xlfn.XLOOKUP(P22,Dados[Nomenclatura Ativo],Dados[Tipo do Ativo])),"")</f>
        <v/>
      </c>
      <c r="I22" t="str">
        <f>IFERROR(IF(_xlfn.XLOOKUP(P22,Dados[Nomenclatura Ativo],Dados[Emissor])="","",_xlfn.XLOOKUP(P22,Dados[Nomenclatura Ativo],Dados[Emissor])),"")</f>
        <v/>
      </c>
      <c r="J22" s="168" t="str">
        <f>IFERROR(IF(_xlfn.XLOOKUP(P22,Dados[Nomenclatura Ativo],Dados[Vencimento])="","",_xlfn.XLOOKUP(P22,Dados[Nomenclatura Ativo],Dados[Vencimento])),"")</f>
        <v/>
      </c>
      <c r="K22" t="str">
        <f>IFERROR(IF(_xlfn.XLOOKUP(P22,Dados[Nomenclatura Ativo],Dados[Remuneração])="","",_xlfn.XLOOKUP(P22,Dados[Nomenclatura Ativo],Dados[Remuneração])),"")</f>
        <v/>
      </c>
      <c r="L22" t="str">
        <f>IFERROR(IF(_xlfn.XLOOKUP(P22,Dados[Nomenclatura Ativo],Dados[Complemento])="","",_xlfn.XLOOKUP(P22,Dados[Nomenclatura Ativo],Dados[Complemento])),"")</f>
        <v/>
      </c>
      <c r="N22" t="str">
        <f>IFERROR(IF(_xlfn.XLOOKUP(P22,Dados[Nomenclatura Ativo],Dados[Ticker do Ativo])="","",_xlfn.XLOOKUP(P22,Dados[Nomenclatura Ativo],Dados[Ticker do Ativo])),"")</f>
        <v/>
      </c>
    </row>
    <row r="23" spans="3:14">
      <c r="C23" t="s">
        <v>209</v>
      </c>
      <c r="H23" t="str">
        <f>IFERROR(IF(_xlfn.XLOOKUP(P23,Dados[Nomenclatura Ativo],Dados[Tipo do Ativo])="","",_xlfn.XLOOKUP(P23,Dados[Nomenclatura Ativo],Dados[Tipo do Ativo])),"")</f>
        <v/>
      </c>
      <c r="I23" t="str">
        <f>IFERROR(IF(_xlfn.XLOOKUP(P23,Dados[Nomenclatura Ativo],Dados[Emissor])="","",_xlfn.XLOOKUP(P23,Dados[Nomenclatura Ativo],Dados[Emissor])),"")</f>
        <v/>
      </c>
      <c r="J23" s="168" t="str">
        <f>IFERROR(IF(_xlfn.XLOOKUP(P23,Dados[Nomenclatura Ativo],Dados[Vencimento])="","",_xlfn.XLOOKUP(P23,Dados[Nomenclatura Ativo],Dados[Vencimento])),"")</f>
        <v/>
      </c>
      <c r="K23" t="str">
        <f>IFERROR(IF(_xlfn.XLOOKUP(P23,Dados[Nomenclatura Ativo],Dados[Remuneração])="","",_xlfn.XLOOKUP(P23,Dados[Nomenclatura Ativo],Dados[Remuneração])),"")</f>
        <v/>
      </c>
      <c r="L23" t="str">
        <f>IFERROR(IF(_xlfn.XLOOKUP(P23,Dados[Nomenclatura Ativo],Dados[Complemento])="","",_xlfn.XLOOKUP(P23,Dados[Nomenclatura Ativo],Dados[Complemento])),"")</f>
        <v/>
      </c>
      <c r="N23" t="str">
        <f>IFERROR(IF(_xlfn.XLOOKUP(P23,Dados[Nomenclatura Ativo],Dados[Ticker do Ativo])="","",_xlfn.XLOOKUP(P23,Dados[Nomenclatura Ativo],Dados[Ticker do Ativo])),"")</f>
        <v/>
      </c>
    </row>
    <row r="24" spans="3:14">
      <c r="C24" t="s">
        <v>209</v>
      </c>
      <c r="H24" t="str">
        <f>IFERROR(IF(_xlfn.XLOOKUP(P24,Dados[Nomenclatura Ativo],Dados[Tipo do Ativo])="","",_xlfn.XLOOKUP(P24,Dados[Nomenclatura Ativo],Dados[Tipo do Ativo])),"")</f>
        <v/>
      </c>
      <c r="I24" t="str">
        <f>IFERROR(IF(_xlfn.XLOOKUP(P24,Dados[Nomenclatura Ativo],Dados[Emissor])="","",_xlfn.XLOOKUP(P24,Dados[Nomenclatura Ativo],Dados[Emissor])),"")</f>
        <v/>
      </c>
      <c r="J24" s="168" t="str">
        <f>IFERROR(IF(_xlfn.XLOOKUP(P24,Dados[Nomenclatura Ativo],Dados[Vencimento])="","",_xlfn.XLOOKUP(P24,Dados[Nomenclatura Ativo],Dados[Vencimento])),"")</f>
        <v/>
      </c>
      <c r="K24" t="str">
        <f>IFERROR(IF(_xlfn.XLOOKUP(P24,Dados[Nomenclatura Ativo],Dados[Remuneração])="","",_xlfn.XLOOKUP(P24,Dados[Nomenclatura Ativo],Dados[Remuneração])),"")</f>
        <v/>
      </c>
      <c r="L24" t="str">
        <f>IFERROR(IF(_xlfn.XLOOKUP(P24,Dados[Nomenclatura Ativo],Dados[Complemento])="","",_xlfn.XLOOKUP(P24,Dados[Nomenclatura Ativo],Dados[Complemento])),"")</f>
        <v/>
      </c>
      <c r="N24" t="str">
        <f>IFERROR(IF(_xlfn.XLOOKUP(P24,Dados[Nomenclatura Ativo],Dados[Ticker do Ativo])="","",_xlfn.XLOOKUP(P24,Dados[Nomenclatura Ativo],Dados[Ticker do Ativo])),"")</f>
        <v/>
      </c>
    </row>
    <row r="25" spans="3:14">
      <c r="C25" t="s">
        <v>209</v>
      </c>
      <c r="H25" t="str">
        <f>IFERROR(IF(_xlfn.XLOOKUP(P25,Dados[Nomenclatura Ativo],Dados[Tipo do Ativo])="","",_xlfn.XLOOKUP(P25,Dados[Nomenclatura Ativo],Dados[Tipo do Ativo])),"")</f>
        <v/>
      </c>
      <c r="I25" t="str">
        <f>IFERROR(IF(_xlfn.XLOOKUP(P25,Dados[Nomenclatura Ativo],Dados[Emissor])="","",_xlfn.XLOOKUP(P25,Dados[Nomenclatura Ativo],Dados[Emissor])),"")</f>
        <v/>
      </c>
      <c r="J25" s="168" t="str">
        <f>IFERROR(IF(_xlfn.XLOOKUP(P25,Dados[Nomenclatura Ativo],Dados[Vencimento])="","",_xlfn.XLOOKUP(P25,Dados[Nomenclatura Ativo],Dados[Vencimento])),"")</f>
        <v/>
      </c>
      <c r="K25" t="str">
        <f>IFERROR(IF(_xlfn.XLOOKUP(P25,Dados[Nomenclatura Ativo],Dados[Remuneração])="","",_xlfn.XLOOKUP(P25,Dados[Nomenclatura Ativo],Dados[Remuneração])),"")</f>
        <v/>
      </c>
      <c r="L25" t="str">
        <f>IFERROR(IF(_xlfn.XLOOKUP(P25,Dados[Nomenclatura Ativo],Dados[Complemento])="","",_xlfn.XLOOKUP(P25,Dados[Nomenclatura Ativo],Dados[Complemento])),"")</f>
        <v/>
      </c>
      <c r="N25" t="str">
        <f>IFERROR(IF(_xlfn.XLOOKUP(P25,Dados[Nomenclatura Ativo],Dados[Ticker do Ativo])="","",_xlfn.XLOOKUP(P25,Dados[Nomenclatura Ativo],Dados[Ticker do Ativo])),"")</f>
        <v/>
      </c>
    </row>
    <row r="26" spans="3:14">
      <c r="C26" t="s">
        <v>209</v>
      </c>
      <c r="H26" t="str">
        <f>IFERROR(IF(_xlfn.XLOOKUP(P26,Dados[Nomenclatura Ativo],Dados[Tipo do Ativo])="","",_xlfn.XLOOKUP(P26,Dados[Nomenclatura Ativo],Dados[Tipo do Ativo])),"")</f>
        <v/>
      </c>
      <c r="I26" t="str">
        <f>IFERROR(IF(_xlfn.XLOOKUP(P26,Dados[Nomenclatura Ativo],Dados[Emissor])="","",_xlfn.XLOOKUP(P26,Dados[Nomenclatura Ativo],Dados[Emissor])),"")</f>
        <v/>
      </c>
      <c r="J26" s="168" t="str">
        <f>IFERROR(IF(_xlfn.XLOOKUP(P26,Dados[Nomenclatura Ativo],Dados[Vencimento])="","",_xlfn.XLOOKUP(P26,Dados[Nomenclatura Ativo],Dados[Vencimento])),"")</f>
        <v/>
      </c>
      <c r="K26" t="str">
        <f>IFERROR(IF(_xlfn.XLOOKUP(P26,Dados[Nomenclatura Ativo],Dados[Remuneração])="","",_xlfn.XLOOKUP(P26,Dados[Nomenclatura Ativo],Dados[Remuneração])),"")</f>
        <v/>
      </c>
      <c r="L26" t="str">
        <f>IFERROR(IF(_xlfn.XLOOKUP(P26,Dados[Nomenclatura Ativo],Dados[Complemento])="","",_xlfn.XLOOKUP(P26,Dados[Nomenclatura Ativo],Dados[Complemento])),"")</f>
        <v/>
      </c>
      <c r="N26" t="str">
        <f>IFERROR(IF(_xlfn.XLOOKUP(P26,Dados[Nomenclatura Ativo],Dados[Ticker do Ativo])="","",_xlfn.XLOOKUP(P26,Dados[Nomenclatura Ativo],Dados[Ticker do Ativo])),"")</f>
        <v/>
      </c>
    </row>
    <row r="27" spans="3:14">
      <c r="C27" t="s">
        <v>209</v>
      </c>
      <c r="H27" t="str">
        <f>IFERROR(IF(_xlfn.XLOOKUP(P27,Dados[Nomenclatura Ativo],Dados[Tipo do Ativo])="","",_xlfn.XLOOKUP(P27,Dados[Nomenclatura Ativo],Dados[Tipo do Ativo])),"")</f>
        <v/>
      </c>
      <c r="I27" t="str">
        <f>IFERROR(IF(_xlfn.XLOOKUP(P27,Dados[Nomenclatura Ativo],Dados[Emissor])="","",_xlfn.XLOOKUP(P27,Dados[Nomenclatura Ativo],Dados[Emissor])),"")</f>
        <v/>
      </c>
      <c r="J27" s="168" t="str">
        <f>IFERROR(IF(_xlfn.XLOOKUP(P27,Dados[Nomenclatura Ativo],Dados[Vencimento])="","",_xlfn.XLOOKUP(P27,Dados[Nomenclatura Ativo],Dados[Vencimento])),"")</f>
        <v/>
      </c>
      <c r="K27" t="str">
        <f>IFERROR(IF(_xlfn.XLOOKUP(P27,Dados[Nomenclatura Ativo],Dados[Remuneração])="","",_xlfn.XLOOKUP(P27,Dados[Nomenclatura Ativo],Dados[Remuneração])),"")</f>
        <v/>
      </c>
      <c r="L27" t="str">
        <f>IFERROR(IF(_xlfn.XLOOKUP(P27,Dados[Nomenclatura Ativo],Dados[Complemento])="","",_xlfn.XLOOKUP(P27,Dados[Nomenclatura Ativo],Dados[Complemento])),"")</f>
        <v/>
      </c>
      <c r="N27" t="str">
        <f>IFERROR(IF(_xlfn.XLOOKUP(P27,Dados[Nomenclatura Ativo],Dados[Ticker do Ativo])="","",_xlfn.XLOOKUP(P27,Dados[Nomenclatura Ativo],Dados[Ticker do Ativo])),"")</f>
        <v/>
      </c>
    </row>
    <row r="28" spans="3:14">
      <c r="C28" t="s">
        <v>209</v>
      </c>
      <c r="H28" t="str">
        <f>IFERROR(IF(_xlfn.XLOOKUP(P28,Dados[Nomenclatura Ativo],Dados[Tipo do Ativo])="","",_xlfn.XLOOKUP(P28,Dados[Nomenclatura Ativo],Dados[Tipo do Ativo])),"")</f>
        <v/>
      </c>
      <c r="I28" t="str">
        <f>IFERROR(IF(_xlfn.XLOOKUP(P28,Dados[Nomenclatura Ativo],Dados[Emissor])="","",_xlfn.XLOOKUP(P28,Dados[Nomenclatura Ativo],Dados[Emissor])),"")</f>
        <v/>
      </c>
      <c r="J28" s="168" t="str">
        <f>IFERROR(IF(_xlfn.XLOOKUP(P28,Dados[Nomenclatura Ativo],Dados[Vencimento])="","",_xlfn.XLOOKUP(P28,Dados[Nomenclatura Ativo],Dados[Vencimento])),"")</f>
        <v/>
      </c>
      <c r="K28" t="str">
        <f>IFERROR(IF(_xlfn.XLOOKUP(P28,Dados[Nomenclatura Ativo],Dados[Remuneração])="","",_xlfn.XLOOKUP(P28,Dados[Nomenclatura Ativo],Dados[Remuneração])),"")</f>
        <v/>
      </c>
      <c r="L28" t="str">
        <f>IFERROR(IF(_xlfn.XLOOKUP(P28,Dados[Nomenclatura Ativo],Dados[Complemento])="","",_xlfn.XLOOKUP(P28,Dados[Nomenclatura Ativo],Dados[Complemento])),"")</f>
        <v/>
      </c>
      <c r="N28" t="str">
        <f>IFERROR(IF(_xlfn.XLOOKUP(P28,Dados[Nomenclatura Ativo],Dados[Ticker do Ativo])="","",_xlfn.XLOOKUP(P28,Dados[Nomenclatura Ativo],Dados[Ticker do Ativo])),"")</f>
        <v/>
      </c>
    </row>
    <row r="29" spans="3:14">
      <c r="C29" t="s">
        <v>209</v>
      </c>
      <c r="H29" t="str">
        <f>IFERROR(IF(_xlfn.XLOOKUP(P29,Dados[Nomenclatura Ativo],Dados[Tipo do Ativo])="","",_xlfn.XLOOKUP(P29,Dados[Nomenclatura Ativo],Dados[Tipo do Ativo])),"")</f>
        <v/>
      </c>
      <c r="I29" t="str">
        <f>IFERROR(IF(_xlfn.XLOOKUP(P29,Dados[Nomenclatura Ativo],Dados[Emissor])="","",_xlfn.XLOOKUP(P29,Dados[Nomenclatura Ativo],Dados[Emissor])),"")</f>
        <v/>
      </c>
      <c r="J29" s="168" t="str">
        <f>IFERROR(IF(_xlfn.XLOOKUP(P29,Dados[Nomenclatura Ativo],Dados[Vencimento])="","",_xlfn.XLOOKUP(P29,Dados[Nomenclatura Ativo],Dados[Vencimento])),"")</f>
        <v/>
      </c>
      <c r="K29" t="str">
        <f>IFERROR(IF(_xlfn.XLOOKUP(P29,Dados[Nomenclatura Ativo],Dados[Remuneração])="","",_xlfn.XLOOKUP(P29,Dados[Nomenclatura Ativo],Dados[Remuneração])),"")</f>
        <v/>
      </c>
      <c r="L29" t="str">
        <f>IFERROR(IF(_xlfn.XLOOKUP(P29,Dados[Nomenclatura Ativo],Dados[Complemento])="","",_xlfn.XLOOKUP(P29,Dados[Nomenclatura Ativo],Dados[Complemento])),"")</f>
        <v/>
      </c>
      <c r="N29" t="str">
        <f>IFERROR(IF(_xlfn.XLOOKUP(P29,Dados[Nomenclatura Ativo],Dados[Ticker do Ativo])="","",_xlfn.XLOOKUP(P29,Dados[Nomenclatura Ativo],Dados[Ticker do Ativo])),"")</f>
        <v/>
      </c>
    </row>
    <row r="30" spans="3:14">
      <c r="C30" t="s">
        <v>209</v>
      </c>
      <c r="H30" t="str">
        <f>IFERROR(IF(_xlfn.XLOOKUP(P30,Dados[Nomenclatura Ativo],Dados[Tipo do Ativo])="","",_xlfn.XLOOKUP(P30,Dados[Nomenclatura Ativo],Dados[Tipo do Ativo])),"")</f>
        <v/>
      </c>
      <c r="I30" t="str">
        <f>IFERROR(IF(_xlfn.XLOOKUP(P30,Dados[Nomenclatura Ativo],Dados[Emissor])="","",_xlfn.XLOOKUP(P30,Dados[Nomenclatura Ativo],Dados[Emissor])),"")</f>
        <v/>
      </c>
      <c r="J30" s="168" t="str">
        <f>IFERROR(IF(_xlfn.XLOOKUP(P30,Dados[Nomenclatura Ativo],Dados[Vencimento])="","",_xlfn.XLOOKUP(P30,Dados[Nomenclatura Ativo],Dados[Vencimento])),"")</f>
        <v/>
      </c>
      <c r="K30" t="str">
        <f>IFERROR(IF(_xlfn.XLOOKUP(P30,Dados[Nomenclatura Ativo],Dados[Remuneração])="","",_xlfn.XLOOKUP(P30,Dados[Nomenclatura Ativo],Dados[Remuneração])),"")</f>
        <v/>
      </c>
      <c r="L30" t="str">
        <f>IFERROR(IF(_xlfn.XLOOKUP(P30,Dados[Nomenclatura Ativo],Dados[Complemento])="","",_xlfn.XLOOKUP(P30,Dados[Nomenclatura Ativo],Dados[Complemento])),"")</f>
        <v/>
      </c>
      <c r="N30" t="str">
        <f>IFERROR(IF(_xlfn.XLOOKUP(P30,Dados[Nomenclatura Ativo],Dados[Ticker do Ativo])="","",_xlfn.XLOOKUP(P30,Dados[Nomenclatura Ativo],Dados[Ticker do Ativo])),"")</f>
        <v/>
      </c>
    </row>
    <row r="31" spans="3:14">
      <c r="C31" t="s">
        <v>209</v>
      </c>
      <c r="H31" t="str">
        <f>IFERROR(IF(_xlfn.XLOOKUP(P31,Dados[Nomenclatura Ativo],Dados[Tipo do Ativo])="","",_xlfn.XLOOKUP(P31,Dados[Nomenclatura Ativo],Dados[Tipo do Ativo])),"")</f>
        <v/>
      </c>
      <c r="I31" t="str">
        <f>IFERROR(IF(_xlfn.XLOOKUP(P31,Dados[Nomenclatura Ativo],Dados[Emissor])="","",_xlfn.XLOOKUP(P31,Dados[Nomenclatura Ativo],Dados[Emissor])),"")</f>
        <v/>
      </c>
      <c r="J31" s="168" t="str">
        <f>IFERROR(IF(_xlfn.XLOOKUP(P31,Dados[Nomenclatura Ativo],Dados[Vencimento])="","",_xlfn.XLOOKUP(P31,Dados[Nomenclatura Ativo],Dados[Vencimento])),"")</f>
        <v/>
      </c>
      <c r="K31" t="str">
        <f>IFERROR(IF(_xlfn.XLOOKUP(P31,Dados[Nomenclatura Ativo],Dados[Remuneração])="","",_xlfn.XLOOKUP(P31,Dados[Nomenclatura Ativo],Dados[Remuneração])),"")</f>
        <v/>
      </c>
      <c r="L31" t="str">
        <f>IFERROR(IF(_xlfn.XLOOKUP(P31,Dados[Nomenclatura Ativo],Dados[Complemento])="","",_xlfn.XLOOKUP(P31,Dados[Nomenclatura Ativo],Dados[Complemento])),"")</f>
        <v/>
      </c>
      <c r="N31" t="str">
        <f>IFERROR(IF(_xlfn.XLOOKUP(P31,Dados[Nomenclatura Ativo],Dados[Ticker do Ativo])="","",_xlfn.XLOOKUP(P31,Dados[Nomenclatura Ativo],Dados[Ticker do Ativo])),"")</f>
        <v/>
      </c>
    </row>
    <row r="32" spans="3:14">
      <c r="C32" t="s">
        <v>209</v>
      </c>
      <c r="H32" t="str">
        <f>IFERROR(IF(_xlfn.XLOOKUP(P32,Dados[Nomenclatura Ativo],Dados[Tipo do Ativo])="","",_xlfn.XLOOKUP(P32,Dados[Nomenclatura Ativo],Dados[Tipo do Ativo])),"")</f>
        <v/>
      </c>
      <c r="I32" t="str">
        <f>IFERROR(IF(_xlfn.XLOOKUP(P32,Dados[Nomenclatura Ativo],Dados[Emissor])="","",_xlfn.XLOOKUP(P32,Dados[Nomenclatura Ativo],Dados[Emissor])),"")</f>
        <v/>
      </c>
      <c r="J32" s="168" t="str">
        <f>IFERROR(IF(_xlfn.XLOOKUP(P32,Dados[Nomenclatura Ativo],Dados[Vencimento])="","",_xlfn.XLOOKUP(P32,Dados[Nomenclatura Ativo],Dados[Vencimento])),"")</f>
        <v/>
      </c>
      <c r="K32" t="str">
        <f>IFERROR(IF(_xlfn.XLOOKUP(P32,Dados[Nomenclatura Ativo],Dados[Remuneração])="","",_xlfn.XLOOKUP(P32,Dados[Nomenclatura Ativo],Dados[Remuneração])),"")</f>
        <v/>
      </c>
      <c r="L32" t="str">
        <f>IFERROR(IF(_xlfn.XLOOKUP(P32,Dados[Nomenclatura Ativo],Dados[Complemento])="","",_xlfn.XLOOKUP(P32,Dados[Nomenclatura Ativo],Dados[Complemento])),"")</f>
        <v/>
      </c>
      <c r="N32" t="str">
        <f>IFERROR(IF(_xlfn.XLOOKUP(P32,Dados[Nomenclatura Ativo],Dados[Ticker do Ativo])="","",_xlfn.XLOOKUP(P32,Dados[Nomenclatura Ativo],Dados[Ticker do Ativo])),"")</f>
        <v/>
      </c>
    </row>
    <row r="33" spans="3:14">
      <c r="C33" t="s">
        <v>209</v>
      </c>
      <c r="H33" t="str">
        <f>IFERROR(IF(_xlfn.XLOOKUP(P33,Dados[Nomenclatura Ativo],Dados[Tipo do Ativo])="","",_xlfn.XLOOKUP(P33,Dados[Nomenclatura Ativo],Dados[Tipo do Ativo])),"")</f>
        <v/>
      </c>
      <c r="I33" t="str">
        <f>IFERROR(IF(_xlfn.XLOOKUP(P33,Dados[Nomenclatura Ativo],Dados[Emissor])="","",_xlfn.XLOOKUP(P33,Dados[Nomenclatura Ativo],Dados[Emissor])),"")</f>
        <v/>
      </c>
      <c r="J33" s="168" t="str">
        <f>IFERROR(IF(_xlfn.XLOOKUP(P33,Dados[Nomenclatura Ativo],Dados[Vencimento])="","",_xlfn.XLOOKUP(P33,Dados[Nomenclatura Ativo],Dados[Vencimento])),"")</f>
        <v/>
      </c>
      <c r="K33" t="str">
        <f>IFERROR(IF(_xlfn.XLOOKUP(P33,Dados[Nomenclatura Ativo],Dados[Remuneração])="","",_xlfn.XLOOKUP(P33,Dados[Nomenclatura Ativo],Dados[Remuneração])),"")</f>
        <v/>
      </c>
      <c r="L33" t="str">
        <f>IFERROR(IF(_xlfn.XLOOKUP(P33,Dados[Nomenclatura Ativo],Dados[Complemento])="","",_xlfn.XLOOKUP(P33,Dados[Nomenclatura Ativo],Dados[Complemento])),"")</f>
        <v/>
      </c>
      <c r="N33" t="str">
        <f>IFERROR(IF(_xlfn.XLOOKUP(P33,Dados[Nomenclatura Ativo],Dados[Ticker do Ativo])="","",_xlfn.XLOOKUP(P33,Dados[Nomenclatura Ativo],Dados[Ticker do Ativo])),"")</f>
        <v/>
      </c>
    </row>
    <row r="34" spans="3:14">
      <c r="C34" t="s">
        <v>209</v>
      </c>
      <c r="H34" t="str">
        <f>IFERROR(IF(_xlfn.XLOOKUP(P34,Dados[Nomenclatura Ativo],Dados[Tipo do Ativo])="","",_xlfn.XLOOKUP(P34,Dados[Nomenclatura Ativo],Dados[Tipo do Ativo])),"")</f>
        <v/>
      </c>
      <c r="I34" t="str">
        <f>IFERROR(IF(_xlfn.XLOOKUP(P34,Dados[Nomenclatura Ativo],Dados[Emissor])="","",_xlfn.XLOOKUP(P34,Dados[Nomenclatura Ativo],Dados[Emissor])),"")</f>
        <v/>
      </c>
      <c r="J34" s="168" t="str">
        <f>IFERROR(IF(_xlfn.XLOOKUP(P34,Dados[Nomenclatura Ativo],Dados[Vencimento])="","",_xlfn.XLOOKUP(P34,Dados[Nomenclatura Ativo],Dados[Vencimento])),"")</f>
        <v/>
      </c>
      <c r="K34" t="str">
        <f>IFERROR(IF(_xlfn.XLOOKUP(P34,Dados[Nomenclatura Ativo],Dados[Remuneração])="","",_xlfn.XLOOKUP(P34,Dados[Nomenclatura Ativo],Dados[Remuneração])),"")</f>
        <v/>
      </c>
      <c r="L34" t="str">
        <f>IFERROR(IF(_xlfn.XLOOKUP(P34,Dados[Nomenclatura Ativo],Dados[Complemento])="","",_xlfn.XLOOKUP(P34,Dados[Nomenclatura Ativo],Dados[Complemento])),"")</f>
        <v/>
      </c>
      <c r="N34" t="str">
        <f>IFERROR(IF(_xlfn.XLOOKUP(P34,Dados[Nomenclatura Ativo],Dados[Ticker do Ativo])="","",_xlfn.XLOOKUP(P34,Dados[Nomenclatura Ativo],Dados[Ticker do Ativo])),"")</f>
        <v/>
      </c>
    </row>
    <row r="35" spans="3:14">
      <c r="C35" t="s">
        <v>209</v>
      </c>
      <c r="H35" t="str">
        <f>IFERROR(IF(_xlfn.XLOOKUP(P35,Dados[Nomenclatura Ativo],Dados[Tipo do Ativo])="","",_xlfn.XLOOKUP(P35,Dados[Nomenclatura Ativo],Dados[Tipo do Ativo])),"")</f>
        <v/>
      </c>
      <c r="I35" t="str">
        <f>IFERROR(IF(_xlfn.XLOOKUP(P35,Dados[Nomenclatura Ativo],Dados[Emissor])="","",_xlfn.XLOOKUP(P35,Dados[Nomenclatura Ativo],Dados[Emissor])),"")</f>
        <v/>
      </c>
      <c r="J35" s="168" t="str">
        <f>IFERROR(IF(_xlfn.XLOOKUP(P35,Dados[Nomenclatura Ativo],Dados[Vencimento])="","",_xlfn.XLOOKUP(P35,Dados[Nomenclatura Ativo],Dados[Vencimento])),"")</f>
        <v/>
      </c>
      <c r="K35" t="str">
        <f>IFERROR(IF(_xlfn.XLOOKUP(P35,Dados[Nomenclatura Ativo],Dados[Remuneração])="","",_xlfn.XLOOKUP(P35,Dados[Nomenclatura Ativo],Dados[Remuneração])),"")</f>
        <v/>
      </c>
      <c r="L35" t="str">
        <f>IFERROR(IF(_xlfn.XLOOKUP(P35,Dados[Nomenclatura Ativo],Dados[Complemento])="","",_xlfn.XLOOKUP(P35,Dados[Nomenclatura Ativo],Dados[Complemento])),"")</f>
        <v/>
      </c>
      <c r="N35" t="str">
        <f>IFERROR(IF(_xlfn.XLOOKUP(P35,Dados[Nomenclatura Ativo],Dados[Ticker do Ativo])="","",_xlfn.XLOOKUP(P35,Dados[Nomenclatura Ativo],Dados[Ticker do Ativo])),"")</f>
        <v/>
      </c>
    </row>
    <row r="36" spans="3:14">
      <c r="C36" t="s">
        <v>209</v>
      </c>
      <c r="H36" t="str">
        <f>IFERROR(IF(_xlfn.XLOOKUP(P36,Dados[Nomenclatura Ativo],Dados[Tipo do Ativo])="","",_xlfn.XLOOKUP(P36,Dados[Nomenclatura Ativo],Dados[Tipo do Ativo])),"")</f>
        <v/>
      </c>
      <c r="I36" t="str">
        <f>IFERROR(IF(_xlfn.XLOOKUP(P36,Dados[Nomenclatura Ativo],Dados[Emissor])="","",_xlfn.XLOOKUP(P36,Dados[Nomenclatura Ativo],Dados[Emissor])),"")</f>
        <v/>
      </c>
      <c r="J36" s="168" t="str">
        <f>IFERROR(IF(_xlfn.XLOOKUP(P36,Dados[Nomenclatura Ativo],Dados[Vencimento])="","",_xlfn.XLOOKUP(P36,Dados[Nomenclatura Ativo],Dados[Vencimento])),"")</f>
        <v/>
      </c>
      <c r="K36" t="str">
        <f>IFERROR(IF(_xlfn.XLOOKUP(P36,Dados[Nomenclatura Ativo],Dados[Remuneração])="","",_xlfn.XLOOKUP(P36,Dados[Nomenclatura Ativo],Dados[Remuneração])),"")</f>
        <v/>
      </c>
      <c r="L36" t="str">
        <f>IFERROR(IF(_xlfn.XLOOKUP(P36,Dados[Nomenclatura Ativo],Dados[Complemento])="","",_xlfn.XLOOKUP(P36,Dados[Nomenclatura Ativo],Dados[Complemento])),"")</f>
        <v/>
      </c>
      <c r="N36" t="str">
        <f>IFERROR(IF(_xlfn.XLOOKUP(P36,Dados[Nomenclatura Ativo],Dados[Ticker do Ativo])="","",_xlfn.XLOOKUP(P36,Dados[Nomenclatura Ativo],Dados[Ticker do Ativo])),"")</f>
        <v/>
      </c>
    </row>
    <row r="37" spans="3:14">
      <c r="C37" t="s">
        <v>209</v>
      </c>
      <c r="H37" t="str">
        <f>IFERROR(IF(_xlfn.XLOOKUP(P37,Dados[Nomenclatura Ativo],Dados[Tipo do Ativo])="","",_xlfn.XLOOKUP(P37,Dados[Nomenclatura Ativo],Dados[Tipo do Ativo])),"")</f>
        <v/>
      </c>
      <c r="I37" t="str">
        <f>IFERROR(IF(_xlfn.XLOOKUP(P37,Dados[Nomenclatura Ativo],Dados[Emissor])="","",_xlfn.XLOOKUP(P37,Dados[Nomenclatura Ativo],Dados[Emissor])),"")</f>
        <v/>
      </c>
      <c r="J37" s="168" t="str">
        <f>IFERROR(IF(_xlfn.XLOOKUP(P37,Dados[Nomenclatura Ativo],Dados[Vencimento])="","",_xlfn.XLOOKUP(P37,Dados[Nomenclatura Ativo],Dados[Vencimento])),"")</f>
        <v/>
      </c>
      <c r="K37" t="str">
        <f>IFERROR(IF(_xlfn.XLOOKUP(P37,Dados[Nomenclatura Ativo],Dados[Remuneração])="","",_xlfn.XLOOKUP(P37,Dados[Nomenclatura Ativo],Dados[Remuneração])),"")</f>
        <v/>
      </c>
      <c r="L37" t="str">
        <f>IFERROR(IF(_xlfn.XLOOKUP(P37,Dados[Nomenclatura Ativo],Dados[Complemento])="","",_xlfn.XLOOKUP(P37,Dados[Nomenclatura Ativo],Dados[Complemento])),"")</f>
        <v/>
      </c>
      <c r="N37" t="str">
        <f>IFERROR(IF(_xlfn.XLOOKUP(P37,Dados[Nomenclatura Ativo],Dados[Ticker do Ativo])="","",_xlfn.XLOOKUP(P37,Dados[Nomenclatura Ativo],Dados[Ticker do Ativo])),"")</f>
        <v/>
      </c>
    </row>
    <row r="38" spans="3:14">
      <c r="C38" t="s">
        <v>209</v>
      </c>
      <c r="H38" t="str">
        <f>IFERROR(IF(_xlfn.XLOOKUP(P38,Dados[Nomenclatura Ativo],Dados[Tipo do Ativo])="","",_xlfn.XLOOKUP(P38,Dados[Nomenclatura Ativo],Dados[Tipo do Ativo])),"")</f>
        <v/>
      </c>
      <c r="I38" t="str">
        <f>IFERROR(IF(_xlfn.XLOOKUP(P38,Dados[Nomenclatura Ativo],Dados[Emissor])="","",_xlfn.XLOOKUP(P38,Dados[Nomenclatura Ativo],Dados[Emissor])),"")</f>
        <v/>
      </c>
      <c r="J38" s="168" t="str">
        <f>IFERROR(IF(_xlfn.XLOOKUP(P38,Dados[Nomenclatura Ativo],Dados[Vencimento])="","",_xlfn.XLOOKUP(P38,Dados[Nomenclatura Ativo],Dados[Vencimento])),"")</f>
        <v/>
      </c>
      <c r="K38" t="str">
        <f>IFERROR(IF(_xlfn.XLOOKUP(P38,Dados[Nomenclatura Ativo],Dados[Remuneração])="","",_xlfn.XLOOKUP(P38,Dados[Nomenclatura Ativo],Dados[Remuneração])),"")</f>
        <v/>
      </c>
      <c r="L38" t="str">
        <f>IFERROR(IF(_xlfn.XLOOKUP(P38,Dados[Nomenclatura Ativo],Dados[Complemento])="","",_xlfn.XLOOKUP(P38,Dados[Nomenclatura Ativo],Dados[Complemento])),"")</f>
        <v/>
      </c>
      <c r="N38" t="str">
        <f>IFERROR(IF(_xlfn.XLOOKUP(P38,Dados[Nomenclatura Ativo],Dados[Ticker do Ativo])="","",_xlfn.XLOOKUP(P38,Dados[Nomenclatura Ativo],Dados[Ticker do Ativo])),"")</f>
        <v/>
      </c>
    </row>
    <row r="39" spans="3:14">
      <c r="C39" t="s">
        <v>209</v>
      </c>
      <c r="H39" t="str">
        <f>IFERROR(IF(_xlfn.XLOOKUP(P39,Dados[Nomenclatura Ativo],Dados[Tipo do Ativo])="","",_xlfn.XLOOKUP(P39,Dados[Nomenclatura Ativo],Dados[Tipo do Ativo])),"")</f>
        <v/>
      </c>
      <c r="I39" t="str">
        <f>IFERROR(IF(_xlfn.XLOOKUP(P39,Dados[Nomenclatura Ativo],Dados[Emissor])="","",_xlfn.XLOOKUP(P39,Dados[Nomenclatura Ativo],Dados[Emissor])),"")</f>
        <v/>
      </c>
      <c r="J39" s="168" t="str">
        <f>IFERROR(IF(_xlfn.XLOOKUP(P39,Dados[Nomenclatura Ativo],Dados[Vencimento])="","",_xlfn.XLOOKUP(P39,Dados[Nomenclatura Ativo],Dados[Vencimento])),"")</f>
        <v/>
      </c>
      <c r="K39" t="str">
        <f>IFERROR(IF(_xlfn.XLOOKUP(P39,Dados[Nomenclatura Ativo],Dados[Remuneração])="","",_xlfn.XLOOKUP(P39,Dados[Nomenclatura Ativo],Dados[Remuneração])),"")</f>
        <v/>
      </c>
      <c r="L39" t="str">
        <f>IFERROR(IF(_xlfn.XLOOKUP(P39,Dados[Nomenclatura Ativo],Dados[Complemento])="","",_xlfn.XLOOKUP(P39,Dados[Nomenclatura Ativo],Dados[Complemento])),"")</f>
        <v/>
      </c>
      <c r="N39" t="str">
        <f>IFERROR(IF(_xlfn.XLOOKUP(P39,Dados[Nomenclatura Ativo],Dados[Ticker do Ativo])="","",_xlfn.XLOOKUP(P39,Dados[Nomenclatura Ativo],Dados[Ticker do Ativo])),"")</f>
        <v/>
      </c>
    </row>
    <row r="40" spans="3:14">
      <c r="C40" t="s">
        <v>209</v>
      </c>
      <c r="H40" t="str">
        <f>IFERROR(IF(_xlfn.XLOOKUP(P40,Dados[Nomenclatura Ativo],Dados[Tipo do Ativo])="","",_xlfn.XLOOKUP(P40,Dados[Nomenclatura Ativo],Dados[Tipo do Ativo])),"")</f>
        <v/>
      </c>
      <c r="I40" t="str">
        <f>IFERROR(IF(_xlfn.XLOOKUP(P40,Dados[Nomenclatura Ativo],Dados[Emissor])="","",_xlfn.XLOOKUP(P40,Dados[Nomenclatura Ativo],Dados[Emissor])),"")</f>
        <v/>
      </c>
      <c r="J40" s="168" t="str">
        <f>IFERROR(IF(_xlfn.XLOOKUP(P40,Dados[Nomenclatura Ativo],Dados[Vencimento])="","",_xlfn.XLOOKUP(P40,Dados[Nomenclatura Ativo],Dados[Vencimento])),"")</f>
        <v/>
      </c>
      <c r="K40" t="str">
        <f>IFERROR(IF(_xlfn.XLOOKUP(P40,Dados[Nomenclatura Ativo],Dados[Remuneração])="","",_xlfn.XLOOKUP(P40,Dados[Nomenclatura Ativo],Dados[Remuneração])),"")</f>
        <v/>
      </c>
      <c r="L40" t="str">
        <f>IFERROR(IF(_xlfn.XLOOKUP(P40,Dados[Nomenclatura Ativo],Dados[Complemento])="","",_xlfn.XLOOKUP(P40,Dados[Nomenclatura Ativo],Dados[Complemento])),"")</f>
        <v/>
      </c>
      <c r="N40" t="str">
        <f>IFERROR(IF(_xlfn.XLOOKUP(P40,Dados[Nomenclatura Ativo],Dados[Ticker do Ativo])="","",_xlfn.XLOOKUP(P40,Dados[Nomenclatura Ativo],Dados[Ticker do Ativo])),"")</f>
        <v/>
      </c>
    </row>
    <row r="41" spans="3:14">
      <c r="C41" t="s">
        <v>209</v>
      </c>
      <c r="H41" t="str">
        <f>IFERROR(IF(_xlfn.XLOOKUP(P41,Dados[Nomenclatura Ativo],Dados[Tipo do Ativo])="","",_xlfn.XLOOKUP(P41,Dados[Nomenclatura Ativo],Dados[Tipo do Ativo])),"")</f>
        <v/>
      </c>
      <c r="I41" t="str">
        <f>IFERROR(IF(_xlfn.XLOOKUP(P41,Dados[Nomenclatura Ativo],Dados[Emissor])="","",_xlfn.XLOOKUP(P41,Dados[Nomenclatura Ativo],Dados[Emissor])),"")</f>
        <v/>
      </c>
      <c r="J41" s="168" t="str">
        <f>IFERROR(IF(_xlfn.XLOOKUP(P41,Dados[Nomenclatura Ativo],Dados[Vencimento])="","",_xlfn.XLOOKUP(P41,Dados[Nomenclatura Ativo],Dados[Vencimento])),"")</f>
        <v/>
      </c>
      <c r="K41" t="str">
        <f>IFERROR(IF(_xlfn.XLOOKUP(P41,Dados[Nomenclatura Ativo],Dados[Remuneração])="","",_xlfn.XLOOKUP(P41,Dados[Nomenclatura Ativo],Dados[Remuneração])),"")</f>
        <v/>
      </c>
      <c r="L41" t="str">
        <f>IFERROR(IF(_xlfn.XLOOKUP(P41,Dados[Nomenclatura Ativo],Dados[Complemento])="","",_xlfn.XLOOKUP(P41,Dados[Nomenclatura Ativo],Dados[Complemento])),"")</f>
        <v/>
      </c>
      <c r="N41" t="str">
        <f>IFERROR(IF(_xlfn.XLOOKUP(P41,Dados[Nomenclatura Ativo],Dados[Ticker do Ativo])="","",_xlfn.XLOOKUP(P41,Dados[Nomenclatura Ativo],Dados[Ticker do Ativo])),"")</f>
        <v/>
      </c>
    </row>
    <row r="42" spans="3:14">
      <c r="C42" t="s">
        <v>209</v>
      </c>
      <c r="H42" t="str">
        <f>IFERROR(IF(_xlfn.XLOOKUP(P42,Dados[Nomenclatura Ativo],Dados[Tipo do Ativo])="","",_xlfn.XLOOKUP(P42,Dados[Nomenclatura Ativo],Dados[Tipo do Ativo])),"")</f>
        <v/>
      </c>
      <c r="I42" t="str">
        <f>IFERROR(IF(_xlfn.XLOOKUP(P42,Dados[Nomenclatura Ativo],Dados[Emissor])="","",_xlfn.XLOOKUP(P42,Dados[Nomenclatura Ativo],Dados[Emissor])),"")</f>
        <v/>
      </c>
      <c r="J42" s="168" t="str">
        <f>IFERROR(IF(_xlfn.XLOOKUP(P42,Dados[Nomenclatura Ativo],Dados[Vencimento])="","",_xlfn.XLOOKUP(P42,Dados[Nomenclatura Ativo],Dados[Vencimento])),"")</f>
        <v/>
      </c>
      <c r="K42" t="str">
        <f>IFERROR(IF(_xlfn.XLOOKUP(P42,Dados[Nomenclatura Ativo],Dados[Remuneração])="","",_xlfn.XLOOKUP(P42,Dados[Nomenclatura Ativo],Dados[Remuneração])),"")</f>
        <v/>
      </c>
      <c r="L42" t="str">
        <f>IFERROR(IF(_xlfn.XLOOKUP(P42,Dados[Nomenclatura Ativo],Dados[Complemento])="","",_xlfn.XLOOKUP(P42,Dados[Nomenclatura Ativo],Dados[Complemento])),"")</f>
        <v/>
      </c>
      <c r="N42" t="str">
        <f>IFERROR(IF(_xlfn.XLOOKUP(P42,Dados[Nomenclatura Ativo],Dados[Ticker do Ativo])="","",_xlfn.XLOOKUP(P42,Dados[Nomenclatura Ativo],Dados[Ticker do Ativo])),"")</f>
        <v/>
      </c>
    </row>
    <row r="43" spans="3:14">
      <c r="C43" t="s">
        <v>209</v>
      </c>
      <c r="H43" t="str">
        <f>IFERROR(IF(_xlfn.XLOOKUP(P43,Dados[Nomenclatura Ativo],Dados[Tipo do Ativo])="","",_xlfn.XLOOKUP(P43,Dados[Nomenclatura Ativo],Dados[Tipo do Ativo])),"")</f>
        <v/>
      </c>
      <c r="I43" t="str">
        <f>IFERROR(IF(_xlfn.XLOOKUP(P43,Dados[Nomenclatura Ativo],Dados[Emissor])="","",_xlfn.XLOOKUP(P43,Dados[Nomenclatura Ativo],Dados[Emissor])),"")</f>
        <v/>
      </c>
      <c r="J43" s="168" t="str">
        <f>IFERROR(IF(_xlfn.XLOOKUP(P43,Dados[Nomenclatura Ativo],Dados[Vencimento])="","",_xlfn.XLOOKUP(P43,Dados[Nomenclatura Ativo],Dados[Vencimento])),"")</f>
        <v/>
      </c>
      <c r="K43" t="str">
        <f>IFERROR(IF(_xlfn.XLOOKUP(P43,Dados[Nomenclatura Ativo],Dados[Remuneração])="","",_xlfn.XLOOKUP(P43,Dados[Nomenclatura Ativo],Dados[Remuneração])),"")</f>
        <v/>
      </c>
      <c r="L43" t="str">
        <f>IFERROR(IF(_xlfn.XLOOKUP(P43,Dados[Nomenclatura Ativo],Dados[Complemento])="","",_xlfn.XLOOKUP(P43,Dados[Nomenclatura Ativo],Dados[Complemento])),"")</f>
        <v/>
      </c>
      <c r="N43" t="str">
        <f>IFERROR(IF(_xlfn.XLOOKUP(P43,Dados[Nomenclatura Ativo],Dados[Ticker do Ativo])="","",_xlfn.XLOOKUP(P43,Dados[Nomenclatura Ativo],Dados[Ticker do Ativo])),"")</f>
        <v/>
      </c>
    </row>
    <row r="44" spans="3:14">
      <c r="C44" t="s">
        <v>209</v>
      </c>
      <c r="H44" t="str">
        <f>IFERROR(IF(_xlfn.XLOOKUP(P44,Dados[Nomenclatura Ativo],Dados[Tipo do Ativo])="","",_xlfn.XLOOKUP(P44,Dados[Nomenclatura Ativo],Dados[Tipo do Ativo])),"")</f>
        <v/>
      </c>
      <c r="I44" t="str">
        <f>IFERROR(IF(_xlfn.XLOOKUP(P44,Dados[Nomenclatura Ativo],Dados[Emissor])="","",_xlfn.XLOOKUP(P44,Dados[Nomenclatura Ativo],Dados[Emissor])),"")</f>
        <v/>
      </c>
      <c r="J44" s="168" t="str">
        <f>IFERROR(IF(_xlfn.XLOOKUP(P44,Dados[Nomenclatura Ativo],Dados[Vencimento])="","",_xlfn.XLOOKUP(P44,Dados[Nomenclatura Ativo],Dados[Vencimento])),"")</f>
        <v/>
      </c>
      <c r="K44" t="str">
        <f>IFERROR(IF(_xlfn.XLOOKUP(P44,Dados[Nomenclatura Ativo],Dados[Remuneração])="","",_xlfn.XLOOKUP(P44,Dados[Nomenclatura Ativo],Dados[Remuneração])),"")</f>
        <v/>
      </c>
      <c r="L44" t="str">
        <f>IFERROR(IF(_xlfn.XLOOKUP(P44,Dados[Nomenclatura Ativo],Dados[Complemento])="","",_xlfn.XLOOKUP(P44,Dados[Nomenclatura Ativo],Dados[Complemento])),"")</f>
        <v/>
      </c>
      <c r="N44" t="str">
        <f>IFERROR(IF(_xlfn.XLOOKUP(P44,Dados[Nomenclatura Ativo],Dados[Ticker do Ativo])="","",_xlfn.XLOOKUP(P44,Dados[Nomenclatura Ativo],Dados[Ticker do Ativo])),"")</f>
        <v/>
      </c>
    </row>
    <row r="45" spans="3:14">
      <c r="C45" t="s">
        <v>209</v>
      </c>
      <c r="H45" t="str">
        <f>IFERROR(IF(_xlfn.XLOOKUP(P45,Dados[Nomenclatura Ativo],Dados[Tipo do Ativo])="","",_xlfn.XLOOKUP(P45,Dados[Nomenclatura Ativo],Dados[Tipo do Ativo])),"")</f>
        <v/>
      </c>
      <c r="I45" t="str">
        <f>IFERROR(IF(_xlfn.XLOOKUP(P45,Dados[Nomenclatura Ativo],Dados[Emissor])="","",_xlfn.XLOOKUP(P45,Dados[Nomenclatura Ativo],Dados[Emissor])),"")</f>
        <v/>
      </c>
      <c r="J45" s="168" t="str">
        <f>IFERROR(IF(_xlfn.XLOOKUP(P45,Dados[Nomenclatura Ativo],Dados[Vencimento])="","",_xlfn.XLOOKUP(P45,Dados[Nomenclatura Ativo],Dados[Vencimento])),"")</f>
        <v/>
      </c>
      <c r="K45" t="str">
        <f>IFERROR(IF(_xlfn.XLOOKUP(P45,Dados[Nomenclatura Ativo],Dados[Remuneração])="","",_xlfn.XLOOKUP(P45,Dados[Nomenclatura Ativo],Dados[Remuneração])),"")</f>
        <v/>
      </c>
      <c r="L45" t="str">
        <f>IFERROR(IF(_xlfn.XLOOKUP(P45,Dados[Nomenclatura Ativo],Dados[Complemento])="","",_xlfn.XLOOKUP(P45,Dados[Nomenclatura Ativo],Dados[Complemento])),"")</f>
        <v/>
      </c>
      <c r="N45" t="str">
        <f>IFERROR(IF(_xlfn.XLOOKUP(P45,Dados[Nomenclatura Ativo],Dados[Ticker do Ativo])="","",_xlfn.XLOOKUP(P45,Dados[Nomenclatura Ativo],Dados[Ticker do Ativo])),"")</f>
        <v/>
      </c>
    </row>
    <row r="46" spans="3:14">
      <c r="C46" t="s">
        <v>209</v>
      </c>
      <c r="H46" t="str">
        <f>IFERROR(IF(_xlfn.XLOOKUP(P46,Dados[Nomenclatura Ativo],Dados[Tipo do Ativo])="","",_xlfn.XLOOKUP(P46,Dados[Nomenclatura Ativo],Dados[Tipo do Ativo])),"")</f>
        <v/>
      </c>
      <c r="I46" t="str">
        <f>IFERROR(IF(_xlfn.XLOOKUP(P46,Dados[Nomenclatura Ativo],Dados[Emissor])="","",_xlfn.XLOOKUP(P46,Dados[Nomenclatura Ativo],Dados[Emissor])),"")</f>
        <v/>
      </c>
      <c r="J46" s="168" t="str">
        <f>IFERROR(IF(_xlfn.XLOOKUP(P46,Dados[Nomenclatura Ativo],Dados[Vencimento])="","",_xlfn.XLOOKUP(P46,Dados[Nomenclatura Ativo],Dados[Vencimento])),"")</f>
        <v/>
      </c>
      <c r="K46" t="str">
        <f>IFERROR(IF(_xlfn.XLOOKUP(P46,Dados[Nomenclatura Ativo],Dados[Remuneração])="","",_xlfn.XLOOKUP(P46,Dados[Nomenclatura Ativo],Dados[Remuneração])),"")</f>
        <v/>
      </c>
      <c r="L46" t="str">
        <f>IFERROR(IF(_xlfn.XLOOKUP(P46,Dados[Nomenclatura Ativo],Dados[Complemento])="","",_xlfn.XLOOKUP(P46,Dados[Nomenclatura Ativo],Dados[Complemento])),"")</f>
        <v/>
      </c>
      <c r="N46" t="str">
        <f>IFERROR(IF(_xlfn.XLOOKUP(P46,Dados[Nomenclatura Ativo],Dados[Ticker do Ativo])="","",_xlfn.XLOOKUP(P46,Dados[Nomenclatura Ativo],Dados[Ticker do Ativo])),"")</f>
        <v/>
      </c>
    </row>
    <row r="47" spans="3:14">
      <c r="C47" t="s">
        <v>209</v>
      </c>
      <c r="H47" t="str">
        <f>IFERROR(IF(_xlfn.XLOOKUP(P47,Dados[Nomenclatura Ativo],Dados[Tipo do Ativo])="","",_xlfn.XLOOKUP(P47,Dados[Nomenclatura Ativo],Dados[Tipo do Ativo])),"")</f>
        <v/>
      </c>
      <c r="I47" t="str">
        <f>IFERROR(IF(_xlfn.XLOOKUP(P47,Dados[Nomenclatura Ativo],Dados[Emissor])="","",_xlfn.XLOOKUP(P47,Dados[Nomenclatura Ativo],Dados[Emissor])),"")</f>
        <v/>
      </c>
      <c r="J47" s="168" t="str">
        <f>IFERROR(IF(_xlfn.XLOOKUP(P47,Dados[Nomenclatura Ativo],Dados[Vencimento])="","",_xlfn.XLOOKUP(P47,Dados[Nomenclatura Ativo],Dados[Vencimento])),"")</f>
        <v/>
      </c>
      <c r="K47" t="str">
        <f>IFERROR(IF(_xlfn.XLOOKUP(P47,Dados[Nomenclatura Ativo],Dados[Remuneração])="","",_xlfn.XLOOKUP(P47,Dados[Nomenclatura Ativo],Dados[Remuneração])),"")</f>
        <v/>
      </c>
      <c r="L47" t="str">
        <f>IFERROR(IF(_xlfn.XLOOKUP(P47,Dados[Nomenclatura Ativo],Dados[Complemento])="","",_xlfn.XLOOKUP(P47,Dados[Nomenclatura Ativo],Dados[Complemento])),"")</f>
        <v/>
      </c>
      <c r="N47" t="str">
        <f>IFERROR(IF(_xlfn.XLOOKUP(P47,Dados[Nomenclatura Ativo],Dados[Ticker do Ativo])="","",_xlfn.XLOOKUP(P47,Dados[Nomenclatura Ativo],Dados[Ticker do Ativo])),"")</f>
        <v/>
      </c>
    </row>
    <row r="48" spans="3:14">
      <c r="C48" t="s">
        <v>209</v>
      </c>
      <c r="H48" t="str">
        <f>IFERROR(IF(_xlfn.XLOOKUP(P48,Dados[Nomenclatura Ativo],Dados[Tipo do Ativo])="","",_xlfn.XLOOKUP(P48,Dados[Nomenclatura Ativo],Dados[Tipo do Ativo])),"")</f>
        <v/>
      </c>
      <c r="I48" t="str">
        <f>IFERROR(IF(_xlfn.XLOOKUP(P48,Dados[Nomenclatura Ativo],Dados[Emissor])="","",_xlfn.XLOOKUP(P48,Dados[Nomenclatura Ativo],Dados[Emissor])),"")</f>
        <v/>
      </c>
      <c r="J48" s="168" t="str">
        <f>IFERROR(IF(_xlfn.XLOOKUP(P48,Dados[Nomenclatura Ativo],Dados[Vencimento])="","",_xlfn.XLOOKUP(P48,Dados[Nomenclatura Ativo],Dados[Vencimento])),"")</f>
        <v/>
      </c>
      <c r="K48" t="str">
        <f>IFERROR(IF(_xlfn.XLOOKUP(P48,Dados[Nomenclatura Ativo],Dados[Remuneração])="","",_xlfn.XLOOKUP(P48,Dados[Nomenclatura Ativo],Dados[Remuneração])),"")</f>
        <v/>
      </c>
      <c r="L48" t="str">
        <f>IFERROR(IF(_xlfn.XLOOKUP(P48,Dados[Nomenclatura Ativo],Dados[Complemento])="","",_xlfn.XLOOKUP(P48,Dados[Nomenclatura Ativo],Dados[Complemento])),"")</f>
        <v/>
      </c>
      <c r="N48" t="str">
        <f>IFERROR(IF(_xlfn.XLOOKUP(P48,Dados[Nomenclatura Ativo],Dados[Ticker do Ativo])="","",_xlfn.XLOOKUP(P48,Dados[Nomenclatura Ativo],Dados[Ticker do Ativo])),"")</f>
        <v/>
      </c>
    </row>
    <row r="49" spans="3:14">
      <c r="C49" t="s">
        <v>209</v>
      </c>
      <c r="H49" t="str">
        <f>IFERROR(IF(_xlfn.XLOOKUP(P49,Dados[Nomenclatura Ativo],Dados[Tipo do Ativo])="","",_xlfn.XLOOKUP(P49,Dados[Nomenclatura Ativo],Dados[Tipo do Ativo])),"")</f>
        <v/>
      </c>
      <c r="I49" t="str">
        <f>IFERROR(IF(_xlfn.XLOOKUP(P49,Dados[Nomenclatura Ativo],Dados[Emissor])="","",_xlfn.XLOOKUP(P49,Dados[Nomenclatura Ativo],Dados[Emissor])),"")</f>
        <v/>
      </c>
      <c r="J49" s="168" t="str">
        <f>IFERROR(IF(_xlfn.XLOOKUP(P49,Dados[Nomenclatura Ativo],Dados[Vencimento])="","",_xlfn.XLOOKUP(P49,Dados[Nomenclatura Ativo],Dados[Vencimento])),"")</f>
        <v/>
      </c>
      <c r="K49" t="str">
        <f>IFERROR(IF(_xlfn.XLOOKUP(P49,Dados[Nomenclatura Ativo],Dados[Remuneração])="","",_xlfn.XLOOKUP(P49,Dados[Nomenclatura Ativo],Dados[Remuneração])),"")</f>
        <v/>
      </c>
      <c r="L49" t="str">
        <f>IFERROR(IF(_xlfn.XLOOKUP(P49,Dados[Nomenclatura Ativo],Dados[Complemento])="","",_xlfn.XLOOKUP(P49,Dados[Nomenclatura Ativo],Dados[Complemento])),"")</f>
        <v/>
      </c>
      <c r="N49" t="str">
        <f>IFERROR(IF(_xlfn.XLOOKUP(P49,Dados[Nomenclatura Ativo],Dados[Ticker do Ativo])="","",_xlfn.XLOOKUP(P49,Dados[Nomenclatura Ativo],Dados[Ticker do Ativo])),"")</f>
        <v/>
      </c>
    </row>
    <row r="50" spans="3:14">
      <c r="C50" t="s">
        <v>209</v>
      </c>
      <c r="H50" t="str">
        <f>IFERROR(IF(_xlfn.XLOOKUP(P50,Dados[Nomenclatura Ativo],Dados[Tipo do Ativo])="","",_xlfn.XLOOKUP(P50,Dados[Nomenclatura Ativo],Dados[Tipo do Ativo])),"")</f>
        <v/>
      </c>
      <c r="I50" t="str">
        <f>IFERROR(IF(_xlfn.XLOOKUP(P50,Dados[Nomenclatura Ativo],Dados[Emissor])="","",_xlfn.XLOOKUP(P50,Dados[Nomenclatura Ativo],Dados[Emissor])),"")</f>
        <v/>
      </c>
      <c r="J50" s="168" t="str">
        <f>IFERROR(IF(_xlfn.XLOOKUP(P50,Dados[Nomenclatura Ativo],Dados[Vencimento])="","",_xlfn.XLOOKUP(P50,Dados[Nomenclatura Ativo],Dados[Vencimento])),"")</f>
        <v/>
      </c>
      <c r="K50" t="str">
        <f>IFERROR(IF(_xlfn.XLOOKUP(P50,Dados[Nomenclatura Ativo],Dados[Remuneração])="","",_xlfn.XLOOKUP(P50,Dados[Nomenclatura Ativo],Dados[Remuneração])),"")</f>
        <v/>
      </c>
      <c r="L50" t="str">
        <f>IFERROR(IF(_xlfn.XLOOKUP(P50,Dados[Nomenclatura Ativo],Dados[Complemento])="","",_xlfn.XLOOKUP(P50,Dados[Nomenclatura Ativo],Dados[Complemento])),"")</f>
        <v/>
      </c>
      <c r="N50" t="str">
        <f>IFERROR(IF(_xlfn.XLOOKUP(P50,Dados[Nomenclatura Ativo],Dados[Ticker do Ativo])="","",_xlfn.XLOOKUP(P50,Dados[Nomenclatura Ativo],Dados[Ticker do Ativo])),"")</f>
        <v/>
      </c>
    </row>
    <row r="51" spans="3:14">
      <c r="C51" t="s">
        <v>209</v>
      </c>
      <c r="H51" t="str">
        <f>IFERROR(IF(_xlfn.XLOOKUP(P51,Dados[Nomenclatura Ativo],Dados[Tipo do Ativo])="","",_xlfn.XLOOKUP(P51,Dados[Nomenclatura Ativo],Dados[Tipo do Ativo])),"")</f>
        <v/>
      </c>
      <c r="I51" t="str">
        <f>IFERROR(IF(_xlfn.XLOOKUP(P51,Dados[Nomenclatura Ativo],Dados[Emissor])="","",_xlfn.XLOOKUP(P51,Dados[Nomenclatura Ativo],Dados[Emissor])),"")</f>
        <v/>
      </c>
      <c r="J51" s="168" t="str">
        <f>IFERROR(IF(_xlfn.XLOOKUP(P51,Dados[Nomenclatura Ativo],Dados[Vencimento])="","",_xlfn.XLOOKUP(P51,Dados[Nomenclatura Ativo],Dados[Vencimento])),"")</f>
        <v/>
      </c>
      <c r="K51" t="str">
        <f>IFERROR(IF(_xlfn.XLOOKUP(P51,Dados[Nomenclatura Ativo],Dados[Remuneração])="","",_xlfn.XLOOKUP(P51,Dados[Nomenclatura Ativo],Dados[Remuneração])),"")</f>
        <v/>
      </c>
      <c r="L51" t="str">
        <f>IFERROR(IF(_xlfn.XLOOKUP(P51,Dados[Nomenclatura Ativo],Dados[Complemento])="","",_xlfn.XLOOKUP(P51,Dados[Nomenclatura Ativo],Dados[Complemento])),"")</f>
        <v/>
      </c>
      <c r="N51" t="str">
        <f>IFERROR(IF(_xlfn.XLOOKUP(P51,Dados[Nomenclatura Ativo],Dados[Ticker do Ativo])="","",_xlfn.XLOOKUP(P51,Dados[Nomenclatura Ativo],Dados[Ticker do Ativo])),"")</f>
        <v/>
      </c>
    </row>
    <row r="52" spans="3:14">
      <c r="C52" t="s">
        <v>209</v>
      </c>
      <c r="H52" t="str">
        <f>IFERROR(IF(_xlfn.XLOOKUP(P52,Dados[Nomenclatura Ativo],Dados[Tipo do Ativo])="","",_xlfn.XLOOKUP(P52,Dados[Nomenclatura Ativo],Dados[Tipo do Ativo])),"")</f>
        <v/>
      </c>
      <c r="I52" t="str">
        <f>IFERROR(IF(_xlfn.XLOOKUP(P52,Dados[Nomenclatura Ativo],Dados[Emissor])="","",_xlfn.XLOOKUP(P52,Dados[Nomenclatura Ativo],Dados[Emissor])),"")</f>
        <v/>
      </c>
      <c r="J52" s="168" t="str">
        <f>IFERROR(IF(_xlfn.XLOOKUP(P52,Dados[Nomenclatura Ativo],Dados[Vencimento])="","",_xlfn.XLOOKUP(P52,Dados[Nomenclatura Ativo],Dados[Vencimento])),"")</f>
        <v/>
      </c>
      <c r="K52" t="str">
        <f>IFERROR(IF(_xlfn.XLOOKUP(P52,Dados[Nomenclatura Ativo],Dados[Remuneração])="","",_xlfn.XLOOKUP(P52,Dados[Nomenclatura Ativo],Dados[Remuneração])),"")</f>
        <v/>
      </c>
      <c r="L52" t="str">
        <f>IFERROR(IF(_xlfn.XLOOKUP(P52,Dados[Nomenclatura Ativo],Dados[Complemento])="","",_xlfn.XLOOKUP(P52,Dados[Nomenclatura Ativo],Dados[Complemento])),"")</f>
        <v/>
      </c>
      <c r="N52" t="str">
        <f>IFERROR(IF(_xlfn.XLOOKUP(P52,Dados[Nomenclatura Ativo],Dados[Ticker do Ativo])="","",_xlfn.XLOOKUP(P52,Dados[Nomenclatura Ativo],Dados[Ticker do Ativo])),"")</f>
        <v/>
      </c>
    </row>
    <row r="53" spans="3:14">
      <c r="C53" t="s">
        <v>209</v>
      </c>
      <c r="H53" t="str">
        <f>IFERROR(IF(_xlfn.XLOOKUP(P53,Dados[Nomenclatura Ativo],Dados[Tipo do Ativo])="","",_xlfn.XLOOKUP(P53,Dados[Nomenclatura Ativo],Dados[Tipo do Ativo])),"")</f>
        <v/>
      </c>
      <c r="I53" t="str">
        <f>IFERROR(IF(_xlfn.XLOOKUP(P53,Dados[Nomenclatura Ativo],Dados[Emissor])="","",_xlfn.XLOOKUP(P53,Dados[Nomenclatura Ativo],Dados[Emissor])),"")</f>
        <v/>
      </c>
      <c r="J53" s="168" t="str">
        <f>IFERROR(IF(_xlfn.XLOOKUP(P53,Dados[Nomenclatura Ativo],Dados[Vencimento])="","",_xlfn.XLOOKUP(P53,Dados[Nomenclatura Ativo],Dados[Vencimento])),"")</f>
        <v/>
      </c>
      <c r="K53" t="str">
        <f>IFERROR(IF(_xlfn.XLOOKUP(P53,Dados[Nomenclatura Ativo],Dados[Remuneração])="","",_xlfn.XLOOKUP(P53,Dados[Nomenclatura Ativo],Dados[Remuneração])),"")</f>
        <v/>
      </c>
      <c r="L53" t="str">
        <f>IFERROR(IF(_xlfn.XLOOKUP(P53,Dados[Nomenclatura Ativo],Dados[Complemento])="","",_xlfn.XLOOKUP(P53,Dados[Nomenclatura Ativo],Dados[Complemento])),"")</f>
        <v/>
      </c>
      <c r="N53" t="str">
        <f>IFERROR(IF(_xlfn.XLOOKUP(P53,Dados[Nomenclatura Ativo],Dados[Ticker do Ativo])="","",_xlfn.XLOOKUP(P53,Dados[Nomenclatura Ativo],Dados[Ticker do Ativo])),"")</f>
        <v/>
      </c>
    </row>
    <row r="54" spans="3:14">
      <c r="C54" t="s">
        <v>209</v>
      </c>
      <c r="H54" t="str">
        <f>IFERROR(IF(_xlfn.XLOOKUP(P54,Dados[Nomenclatura Ativo],Dados[Tipo do Ativo])="","",_xlfn.XLOOKUP(P54,Dados[Nomenclatura Ativo],Dados[Tipo do Ativo])),"")</f>
        <v/>
      </c>
      <c r="I54" t="str">
        <f>IFERROR(IF(_xlfn.XLOOKUP(P54,Dados[Nomenclatura Ativo],Dados[Emissor])="","",_xlfn.XLOOKUP(P54,Dados[Nomenclatura Ativo],Dados[Emissor])),"")</f>
        <v/>
      </c>
      <c r="J54" s="168" t="str">
        <f>IFERROR(IF(_xlfn.XLOOKUP(P54,Dados[Nomenclatura Ativo],Dados[Vencimento])="","",_xlfn.XLOOKUP(P54,Dados[Nomenclatura Ativo],Dados[Vencimento])),"")</f>
        <v/>
      </c>
      <c r="K54" t="str">
        <f>IFERROR(IF(_xlfn.XLOOKUP(P54,Dados[Nomenclatura Ativo],Dados[Remuneração])="","",_xlfn.XLOOKUP(P54,Dados[Nomenclatura Ativo],Dados[Remuneração])),"")</f>
        <v/>
      </c>
      <c r="L54" t="str">
        <f>IFERROR(IF(_xlfn.XLOOKUP(P54,Dados[Nomenclatura Ativo],Dados[Complemento])="","",_xlfn.XLOOKUP(P54,Dados[Nomenclatura Ativo],Dados[Complemento])),"")</f>
        <v/>
      </c>
      <c r="N54" t="str">
        <f>IFERROR(IF(_xlfn.XLOOKUP(P54,Dados[Nomenclatura Ativo],Dados[Ticker do Ativo])="","",_xlfn.XLOOKUP(P54,Dados[Nomenclatura Ativo],Dados[Ticker do Ativo])),"")</f>
        <v/>
      </c>
    </row>
    <row r="55" spans="3:14">
      <c r="C55" t="s">
        <v>209</v>
      </c>
      <c r="H55" t="str">
        <f>IFERROR(IF(_xlfn.XLOOKUP(P55,Dados[Nomenclatura Ativo],Dados[Tipo do Ativo])="","",_xlfn.XLOOKUP(P55,Dados[Nomenclatura Ativo],Dados[Tipo do Ativo])),"")</f>
        <v/>
      </c>
      <c r="I55" t="str">
        <f>IFERROR(IF(_xlfn.XLOOKUP(P55,Dados[Nomenclatura Ativo],Dados[Emissor])="","",_xlfn.XLOOKUP(P55,Dados[Nomenclatura Ativo],Dados[Emissor])),"")</f>
        <v/>
      </c>
      <c r="J55" s="168" t="str">
        <f>IFERROR(IF(_xlfn.XLOOKUP(P55,Dados[Nomenclatura Ativo],Dados[Vencimento])="","",_xlfn.XLOOKUP(P55,Dados[Nomenclatura Ativo],Dados[Vencimento])),"")</f>
        <v/>
      </c>
      <c r="K55" t="str">
        <f>IFERROR(IF(_xlfn.XLOOKUP(P55,Dados[Nomenclatura Ativo],Dados[Remuneração])="","",_xlfn.XLOOKUP(P55,Dados[Nomenclatura Ativo],Dados[Remuneração])),"")</f>
        <v/>
      </c>
      <c r="L55" t="str">
        <f>IFERROR(IF(_xlfn.XLOOKUP(P55,Dados[Nomenclatura Ativo],Dados[Complemento])="","",_xlfn.XLOOKUP(P55,Dados[Nomenclatura Ativo],Dados[Complemento])),"")</f>
        <v/>
      </c>
      <c r="N55" t="str">
        <f>IFERROR(IF(_xlfn.XLOOKUP(P55,Dados[Nomenclatura Ativo],Dados[Ticker do Ativo])="","",_xlfn.XLOOKUP(P55,Dados[Nomenclatura Ativo],Dados[Ticker do Ativo])),"")</f>
        <v/>
      </c>
    </row>
    <row r="56" spans="3:14">
      <c r="C56" t="s">
        <v>209</v>
      </c>
      <c r="H56" t="str">
        <f>IFERROR(IF(_xlfn.XLOOKUP(P56,Dados[Nomenclatura Ativo],Dados[Tipo do Ativo])="","",_xlfn.XLOOKUP(P56,Dados[Nomenclatura Ativo],Dados[Tipo do Ativo])),"")</f>
        <v/>
      </c>
      <c r="I56" t="str">
        <f>IFERROR(IF(_xlfn.XLOOKUP(P56,Dados[Nomenclatura Ativo],Dados[Emissor])="","",_xlfn.XLOOKUP(P56,Dados[Nomenclatura Ativo],Dados[Emissor])),"")</f>
        <v/>
      </c>
      <c r="J56" s="168" t="str">
        <f>IFERROR(IF(_xlfn.XLOOKUP(P56,Dados[Nomenclatura Ativo],Dados[Vencimento])="","",_xlfn.XLOOKUP(P56,Dados[Nomenclatura Ativo],Dados[Vencimento])),"")</f>
        <v/>
      </c>
      <c r="K56" t="str">
        <f>IFERROR(IF(_xlfn.XLOOKUP(P56,Dados[Nomenclatura Ativo],Dados[Remuneração])="","",_xlfn.XLOOKUP(P56,Dados[Nomenclatura Ativo],Dados[Remuneração])),"")</f>
        <v/>
      </c>
      <c r="L56" t="str">
        <f>IFERROR(IF(_xlfn.XLOOKUP(P56,Dados[Nomenclatura Ativo],Dados[Complemento])="","",_xlfn.XLOOKUP(P56,Dados[Nomenclatura Ativo],Dados[Complemento])),"")</f>
        <v/>
      </c>
      <c r="N56" t="str">
        <f>IFERROR(IF(_xlfn.XLOOKUP(P56,Dados[Nomenclatura Ativo],Dados[Ticker do Ativo])="","",_xlfn.XLOOKUP(P56,Dados[Nomenclatura Ativo],Dados[Ticker do Ativo])),"")</f>
        <v/>
      </c>
    </row>
    <row r="57" spans="3:14">
      <c r="C57" t="s">
        <v>209</v>
      </c>
      <c r="H57" t="str">
        <f>IFERROR(IF(_xlfn.XLOOKUP(P57,Dados[Nomenclatura Ativo],Dados[Tipo do Ativo])="","",_xlfn.XLOOKUP(P57,Dados[Nomenclatura Ativo],Dados[Tipo do Ativo])),"")</f>
        <v/>
      </c>
      <c r="I57" t="str">
        <f>IFERROR(IF(_xlfn.XLOOKUP(P57,Dados[Nomenclatura Ativo],Dados[Emissor])="","",_xlfn.XLOOKUP(P57,Dados[Nomenclatura Ativo],Dados[Emissor])),"")</f>
        <v/>
      </c>
      <c r="J57" s="168" t="str">
        <f>IFERROR(IF(_xlfn.XLOOKUP(P57,Dados[Nomenclatura Ativo],Dados[Vencimento])="","",_xlfn.XLOOKUP(P57,Dados[Nomenclatura Ativo],Dados[Vencimento])),"")</f>
        <v/>
      </c>
      <c r="K57" t="str">
        <f>IFERROR(IF(_xlfn.XLOOKUP(P57,Dados[Nomenclatura Ativo],Dados[Remuneração])="","",_xlfn.XLOOKUP(P57,Dados[Nomenclatura Ativo],Dados[Remuneração])),"")</f>
        <v/>
      </c>
      <c r="L57" t="str">
        <f>IFERROR(IF(_xlfn.XLOOKUP(P57,Dados[Nomenclatura Ativo],Dados[Complemento])="","",_xlfn.XLOOKUP(P57,Dados[Nomenclatura Ativo],Dados[Complemento])),"")</f>
        <v/>
      </c>
      <c r="N57" t="str">
        <f>IFERROR(IF(_xlfn.XLOOKUP(P57,Dados[Nomenclatura Ativo],Dados[Ticker do Ativo])="","",_xlfn.XLOOKUP(P57,Dados[Nomenclatura Ativo],Dados[Ticker do Ativo])),"")</f>
        <v/>
      </c>
    </row>
    <row r="58" spans="3:14">
      <c r="C58" t="s">
        <v>209</v>
      </c>
      <c r="H58" t="str">
        <f>IFERROR(IF(_xlfn.XLOOKUP(P58,Dados[Nomenclatura Ativo],Dados[Tipo do Ativo])="","",_xlfn.XLOOKUP(P58,Dados[Nomenclatura Ativo],Dados[Tipo do Ativo])),"")</f>
        <v/>
      </c>
      <c r="I58" t="str">
        <f>IFERROR(IF(_xlfn.XLOOKUP(P58,Dados[Nomenclatura Ativo],Dados[Emissor])="","",_xlfn.XLOOKUP(P58,Dados[Nomenclatura Ativo],Dados[Emissor])),"")</f>
        <v/>
      </c>
      <c r="J58" s="168" t="str">
        <f>IFERROR(IF(_xlfn.XLOOKUP(P58,Dados[Nomenclatura Ativo],Dados[Vencimento])="","",_xlfn.XLOOKUP(P58,Dados[Nomenclatura Ativo],Dados[Vencimento])),"")</f>
        <v/>
      </c>
      <c r="K58" t="str">
        <f>IFERROR(IF(_xlfn.XLOOKUP(P58,Dados[Nomenclatura Ativo],Dados[Remuneração])="","",_xlfn.XLOOKUP(P58,Dados[Nomenclatura Ativo],Dados[Remuneração])),"")</f>
        <v/>
      </c>
      <c r="L58" t="str">
        <f>IFERROR(IF(_xlfn.XLOOKUP(P58,Dados[Nomenclatura Ativo],Dados[Complemento])="","",_xlfn.XLOOKUP(P58,Dados[Nomenclatura Ativo],Dados[Complemento])),"")</f>
        <v/>
      </c>
      <c r="N58" t="str">
        <f>IFERROR(IF(_xlfn.XLOOKUP(P58,Dados[Nomenclatura Ativo],Dados[Ticker do Ativo])="","",_xlfn.XLOOKUP(P58,Dados[Nomenclatura Ativo],Dados[Ticker do Ativo])),"")</f>
        <v/>
      </c>
    </row>
    <row r="59" spans="3:14">
      <c r="C59" t="s">
        <v>209</v>
      </c>
      <c r="H59" t="str">
        <f>IFERROR(IF(_xlfn.XLOOKUP(P59,Dados[Nomenclatura Ativo],Dados[Tipo do Ativo])="","",_xlfn.XLOOKUP(P59,Dados[Nomenclatura Ativo],Dados[Tipo do Ativo])),"")</f>
        <v/>
      </c>
      <c r="I59" t="str">
        <f>IFERROR(IF(_xlfn.XLOOKUP(P59,Dados[Nomenclatura Ativo],Dados[Emissor])="","",_xlfn.XLOOKUP(P59,Dados[Nomenclatura Ativo],Dados[Emissor])),"")</f>
        <v/>
      </c>
      <c r="J59" s="168" t="str">
        <f>IFERROR(IF(_xlfn.XLOOKUP(P59,Dados[Nomenclatura Ativo],Dados[Vencimento])="","",_xlfn.XLOOKUP(P59,Dados[Nomenclatura Ativo],Dados[Vencimento])),"")</f>
        <v/>
      </c>
      <c r="K59" t="str">
        <f>IFERROR(IF(_xlfn.XLOOKUP(P59,Dados[Nomenclatura Ativo],Dados[Remuneração])="","",_xlfn.XLOOKUP(P59,Dados[Nomenclatura Ativo],Dados[Remuneração])),"")</f>
        <v/>
      </c>
      <c r="L59" t="str">
        <f>IFERROR(IF(_xlfn.XLOOKUP(P59,Dados[Nomenclatura Ativo],Dados[Complemento])="","",_xlfn.XLOOKUP(P59,Dados[Nomenclatura Ativo],Dados[Complemento])),"")</f>
        <v/>
      </c>
      <c r="N59" t="str">
        <f>IFERROR(IF(_xlfn.XLOOKUP(P59,Dados[Nomenclatura Ativo],Dados[Ticker do Ativo])="","",_xlfn.XLOOKUP(P59,Dados[Nomenclatura Ativo],Dados[Ticker do Ativo])),"")</f>
        <v/>
      </c>
    </row>
    <row r="60" spans="3:14">
      <c r="C60" t="s">
        <v>209</v>
      </c>
      <c r="H60" t="str">
        <f>IFERROR(IF(_xlfn.XLOOKUP(P60,Dados[Nomenclatura Ativo],Dados[Tipo do Ativo])="","",_xlfn.XLOOKUP(P60,Dados[Nomenclatura Ativo],Dados[Tipo do Ativo])),"")</f>
        <v/>
      </c>
      <c r="I60" t="str">
        <f>IFERROR(IF(_xlfn.XLOOKUP(P60,Dados[Nomenclatura Ativo],Dados[Emissor])="","",_xlfn.XLOOKUP(P60,Dados[Nomenclatura Ativo],Dados[Emissor])),"")</f>
        <v/>
      </c>
      <c r="J60" s="168" t="str">
        <f>IFERROR(IF(_xlfn.XLOOKUP(P60,Dados[Nomenclatura Ativo],Dados[Vencimento])="","",_xlfn.XLOOKUP(P60,Dados[Nomenclatura Ativo],Dados[Vencimento])),"")</f>
        <v/>
      </c>
      <c r="K60" t="str">
        <f>IFERROR(IF(_xlfn.XLOOKUP(P60,Dados[Nomenclatura Ativo],Dados[Remuneração])="","",_xlfn.XLOOKUP(P60,Dados[Nomenclatura Ativo],Dados[Remuneração])),"")</f>
        <v/>
      </c>
      <c r="L60" t="str">
        <f>IFERROR(IF(_xlfn.XLOOKUP(P60,Dados[Nomenclatura Ativo],Dados[Complemento])="","",_xlfn.XLOOKUP(P60,Dados[Nomenclatura Ativo],Dados[Complemento])),"")</f>
        <v/>
      </c>
      <c r="N60" t="str">
        <f>IFERROR(IF(_xlfn.XLOOKUP(P60,Dados[Nomenclatura Ativo],Dados[Ticker do Ativo])="","",_xlfn.XLOOKUP(P60,Dados[Nomenclatura Ativo],Dados[Ticker do Ativo])),"")</f>
        <v/>
      </c>
    </row>
    <row r="61" spans="3:14">
      <c r="C61" t="s">
        <v>209</v>
      </c>
      <c r="H61" t="str">
        <f>IFERROR(IF(_xlfn.XLOOKUP(P61,Dados[Nomenclatura Ativo],Dados[Tipo do Ativo])="","",_xlfn.XLOOKUP(P61,Dados[Nomenclatura Ativo],Dados[Tipo do Ativo])),"")</f>
        <v/>
      </c>
      <c r="I61" t="str">
        <f>IFERROR(IF(_xlfn.XLOOKUP(P61,Dados[Nomenclatura Ativo],Dados[Emissor])="","",_xlfn.XLOOKUP(P61,Dados[Nomenclatura Ativo],Dados[Emissor])),"")</f>
        <v/>
      </c>
      <c r="J61" s="168" t="str">
        <f>IFERROR(IF(_xlfn.XLOOKUP(P61,Dados[Nomenclatura Ativo],Dados[Vencimento])="","",_xlfn.XLOOKUP(P61,Dados[Nomenclatura Ativo],Dados[Vencimento])),"")</f>
        <v/>
      </c>
      <c r="K61" t="str">
        <f>IFERROR(IF(_xlfn.XLOOKUP(P61,Dados[Nomenclatura Ativo],Dados[Remuneração])="","",_xlfn.XLOOKUP(P61,Dados[Nomenclatura Ativo],Dados[Remuneração])),"")</f>
        <v/>
      </c>
      <c r="L61" t="str">
        <f>IFERROR(IF(_xlfn.XLOOKUP(P61,Dados[Nomenclatura Ativo],Dados[Complemento])="","",_xlfn.XLOOKUP(P61,Dados[Nomenclatura Ativo],Dados[Complemento])),"")</f>
        <v/>
      </c>
      <c r="N61" t="str">
        <f>IFERROR(IF(_xlfn.XLOOKUP(P61,Dados[Nomenclatura Ativo],Dados[Ticker do Ativo])="","",_xlfn.XLOOKUP(P61,Dados[Nomenclatura Ativo],Dados[Ticker do Ativo])),"")</f>
        <v/>
      </c>
    </row>
    <row r="62" spans="3:14">
      <c r="C62" t="s">
        <v>209</v>
      </c>
      <c r="H62" t="str">
        <f>IFERROR(IF(_xlfn.XLOOKUP(P62,Dados[Nomenclatura Ativo],Dados[Tipo do Ativo])="","",_xlfn.XLOOKUP(P62,Dados[Nomenclatura Ativo],Dados[Tipo do Ativo])),"")</f>
        <v/>
      </c>
      <c r="I62" t="str">
        <f>IFERROR(IF(_xlfn.XLOOKUP(P62,Dados[Nomenclatura Ativo],Dados[Emissor])="","",_xlfn.XLOOKUP(P62,Dados[Nomenclatura Ativo],Dados[Emissor])),"")</f>
        <v/>
      </c>
      <c r="J62" s="168" t="str">
        <f>IFERROR(IF(_xlfn.XLOOKUP(P62,Dados[Nomenclatura Ativo],Dados[Vencimento])="","",_xlfn.XLOOKUP(P62,Dados[Nomenclatura Ativo],Dados[Vencimento])),"")</f>
        <v/>
      </c>
      <c r="K62" t="str">
        <f>IFERROR(IF(_xlfn.XLOOKUP(P62,Dados[Nomenclatura Ativo],Dados[Remuneração])="","",_xlfn.XLOOKUP(P62,Dados[Nomenclatura Ativo],Dados[Remuneração])),"")</f>
        <v/>
      </c>
      <c r="L62" t="str">
        <f>IFERROR(IF(_xlfn.XLOOKUP(P62,Dados[Nomenclatura Ativo],Dados[Complemento])="","",_xlfn.XLOOKUP(P62,Dados[Nomenclatura Ativo],Dados[Complemento])),"")</f>
        <v/>
      </c>
      <c r="N62" t="str">
        <f>IFERROR(IF(_xlfn.XLOOKUP(P62,Dados[Nomenclatura Ativo],Dados[Ticker do Ativo])="","",_xlfn.XLOOKUP(P62,Dados[Nomenclatura Ativo],Dados[Ticker do Ativo])),"")</f>
        <v/>
      </c>
    </row>
    <row r="63" spans="3:14">
      <c r="C63" t="s">
        <v>209</v>
      </c>
      <c r="H63" t="str">
        <f>IFERROR(IF(_xlfn.XLOOKUP(P63,Dados[Nomenclatura Ativo],Dados[Tipo do Ativo])="","",_xlfn.XLOOKUP(P63,Dados[Nomenclatura Ativo],Dados[Tipo do Ativo])),"")</f>
        <v/>
      </c>
      <c r="I63" t="str">
        <f>IFERROR(IF(_xlfn.XLOOKUP(P63,Dados[Nomenclatura Ativo],Dados[Emissor])="","",_xlfn.XLOOKUP(P63,Dados[Nomenclatura Ativo],Dados[Emissor])),"")</f>
        <v/>
      </c>
      <c r="J63" s="168" t="str">
        <f>IFERROR(IF(_xlfn.XLOOKUP(P63,Dados[Nomenclatura Ativo],Dados[Vencimento])="","",_xlfn.XLOOKUP(P63,Dados[Nomenclatura Ativo],Dados[Vencimento])),"")</f>
        <v/>
      </c>
      <c r="K63" t="str">
        <f>IFERROR(IF(_xlfn.XLOOKUP(P63,Dados[Nomenclatura Ativo],Dados[Remuneração])="","",_xlfn.XLOOKUP(P63,Dados[Nomenclatura Ativo],Dados[Remuneração])),"")</f>
        <v/>
      </c>
      <c r="L63" t="str">
        <f>IFERROR(IF(_xlfn.XLOOKUP(P63,Dados[Nomenclatura Ativo],Dados[Complemento])="","",_xlfn.XLOOKUP(P63,Dados[Nomenclatura Ativo],Dados[Complemento])),"")</f>
        <v/>
      </c>
      <c r="N63" t="str">
        <f>IFERROR(IF(_xlfn.XLOOKUP(P63,Dados[Nomenclatura Ativo],Dados[Ticker do Ativo])="","",_xlfn.XLOOKUP(P63,Dados[Nomenclatura Ativo],Dados[Ticker do Ativo])),"")</f>
        <v/>
      </c>
    </row>
    <row r="64" spans="3:14">
      <c r="C64" t="s">
        <v>209</v>
      </c>
      <c r="H64" t="str">
        <f>IFERROR(IF(_xlfn.XLOOKUP(P64,Dados[Nomenclatura Ativo],Dados[Tipo do Ativo])="","",_xlfn.XLOOKUP(P64,Dados[Nomenclatura Ativo],Dados[Tipo do Ativo])),"")</f>
        <v/>
      </c>
      <c r="I64" t="str">
        <f>IFERROR(IF(_xlfn.XLOOKUP(P64,Dados[Nomenclatura Ativo],Dados[Emissor])="","",_xlfn.XLOOKUP(P64,Dados[Nomenclatura Ativo],Dados[Emissor])),"")</f>
        <v/>
      </c>
      <c r="J64" s="168" t="str">
        <f>IFERROR(IF(_xlfn.XLOOKUP(P64,Dados[Nomenclatura Ativo],Dados[Vencimento])="","",_xlfn.XLOOKUP(P64,Dados[Nomenclatura Ativo],Dados[Vencimento])),"")</f>
        <v/>
      </c>
      <c r="K64" t="str">
        <f>IFERROR(IF(_xlfn.XLOOKUP(P64,Dados[Nomenclatura Ativo],Dados[Remuneração])="","",_xlfn.XLOOKUP(P64,Dados[Nomenclatura Ativo],Dados[Remuneração])),"")</f>
        <v/>
      </c>
      <c r="L64" t="str">
        <f>IFERROR(IF(_xlfn.XLOOKUP(P64,Dados[Nomenclatura Ativo],Dados[Complemento])="","",_xlfn.XLOOKUP(P64,Dados[Nomenclatura Ativo],Dados[Complemento])),"")</f>
        <v/>
      </c>
      <c r="N64" t="str">
        <f>IFERROR(IF(_xlfn.XLOOKUP(P64,Dados[Nomenclatura Ativo],Dados[Ticker do Ativo])="","",_xlfn.XLOOKUP(P64,Dados[Nomenclatura Ativo],Dados[Ticker do Ativo])),"")</f>
        <v/>
      </c>
    </row>
    <row r="65" spans="3:14">
      <c r="C65" t="s">
        <v>209</v>
      </c>
      <c r="H65" t="str">
        <f>IFERROR(IF(_xlfn.XLOOKUP(P65,Dados[Nomenclatura Ativo],Dados[Tipo do Ativo])="","",_xlfn.XLOOKUP(P65,Dados[Nomenclatura Ativo],Dados[Tipo do Ativo])),"")</f>
        <v/>
      </c>
      <c r="I65" t="str">
        <f>IFERROR(IF(_xlfn.XLOOKUP(P65,Dados[Nomenclatura Ativo],Dados[Emissor])="","",_xlfn.XLOOKUP(P65,Dados[Nomenclatura Ativo],Dados[Emissor])),"")</f>
        <v/>
      </c>
      <c r="J65" s="168" t="str">
        <f>IFERROR(IF(_xlfn.XLOOKUP(P65,Dados[Nomenclatura Ativo],Dados[Vencimento])="","",_xlfn.XLOOKUP(P65,Dados[Nomenclatura Ativo],Dados[Vencimento])),"")</f>
        <v/>
      </c>
      <c r="K65" t="str">
        <f>IFERROR(IF(_xlfn.XLOOKUP(P65,Dados[Nomenclatura Ativo],Dados[Remuneração])="","",_xlfn.XLOOKUP(P65,Dados[Nomenclatura Ativo],Dados[Remuneração])),"")</f>
        <v/>
      </c>
      <c r="L65" t="str">
        <f>IFERROR(IF(_xlfn.XLOOKUP(P65,Dados[Nomenclatura Ativo],Dados[Complemento])="","",_xlfn.XLOOKUP(P65,Dados[Nomenclatura Ativo],Dados[Complemento])),"")</f>
        <v/>
      </c>
      <c r="N65" t="str">
        <f>IFERROR(IF(_xlfn.XLOOKUP(P65,Dados[Nomenclatura Ativo],Dados[Ticker do Ativo])="","",_xlfn.XLOOKUP(P65,Dados[Nomenclatura Ativo],Dados[Ticker do Ativo])),"")</f>
        <v/>
      </c>
    </row>
    <row r="66" spans="3:14">
      <c r="C66" t="s">
        <v>209</v>
      </c>
      <c r="H66" t="str">
        <f>IFERROR(IF(_xlfn.XLOOKUP(P66,Dados[Nomenclatura Ativo],Dados[Tipo do Ativo])="","",_xlfn.XLOOKUP(P66,Dados[Nomenclatura Ativo],Dados[Tipo do Ativo])),"")</f>
        <v/>
      </c>
      <c r="I66" t="str">
        <f>IFERROR(IF(_xlfn.XLOOKUP(P66,Dados[Nomenclatura Ativo],Dados[Emissor])="","",_xlfn.XLOOKUP(P66,Dados[Nomenclatura Ativo],Dados[Emissor])),"")</f>
        <v/>
      </c>
      <c r="J66" s="168" t="str">
        <f>IFERROR(IF(_xlfn.XLOOKUP(P66,Dados[Nomenclatura Ativo],Dados[Vencimento])="","",_xlfn.XLOOKUP(P66,Dados[Nomenclatura Ativo],Dados[Vencimento])),"")</f>
        <v/>
      </c>
      <c r="K66" t="str">
        <f>IFERROR(IF(_xlfn.XLOOKUP(P66,Dados[Nomenclatura Ativo],Dados[Remuneração])="","",_xlfn.XLOOKUP(P66,Dados[Nomenclatura Ativo],Dados[Remuneração])),"")</f>
        <v/>
      </c>
      <c r="L66" t="str">
        <f>IFERROR(IF(_xlfn.XLOOKUP(P66,Dados[Nomenclatura Ativo],Dados[Complemento])="","",_xlfn.XLOOKUP(P66,Dados[Nomenclatura Ativo],Dados[Complemento])),"")</f>
        <v/>
      </c>
      <c r="N66" t="str">
        <f>IFERROR(IF(_xlfn.XLOOKUP(P66,Dados[Nomenclatura Ativo],Dados[Ticker do Ativo])="","",_xlfn.XLOOKUP(P66,Dados[Nomenclatura Ativo],Dados[Ticker do Ativo])),"")</f>
        <v/>
      </c>
    </row>
    <row r="67" spans="3:14">
      <c r="C67" t="s">
        <v>209</v>
      </c>
      <c r="H67" t="str">
        <f>IFERROR(IF(_xlfn.XLOOKUP(P67,Dados[Nomenclatura Ativo],Dados[Tipo do Ativo])="","",_xlfn.XLOOKUP(P67,Dados[Nomenclatura Ativo],Dados[Tipo do Ativo])),"")</f>
        <v/>
      </c>
      <c r="I67" t="str">
        <f>IFERROR(IF(_xlfn.XLOOKUP(P67,Dados[Nomenclatura Ativo],Dados[Emissor])="","",_xlfn.XLOOKUP(P67,Dados[Nomenclatura Ativo],Dados[Emissor])),"")</f>
        <v/>
      </c>
      <c r="J67" s="168" t="str">
        <f>IFERROR(IF(_xlfn.XLOOKUP(P67,Dados[Nomenclatura Ativo],Dados[Vencimento])="","",_xlfn.XLOOKUP(P67,Dados[Nomenclatura Ativo],Dados[Vencimento])),"")</f>
        <v/>
      </c>
      <c r="K67" t="str">
        <f>IFERROR(IF(_xlfn.XLOOKUP(P67,Dados[Nomenclatura Ativo],Dados[Remuneração])="","",_xlfn.XLOOKUP(P67,Dados[Nomenclatura Ativo],Dados[Remuneração])),"")</f>
        <v/>
      </c>
      <c r="L67" t="str">
        <f>IFERROR(IF(_xlfn.XLOOKUP(P67,Dados[Nomenclatura Ativo],Dados[Complemento])="","",_xlfn.XLOOKUP(P67,Dados[Nomenclatura Ativo],Dados[Complemento])),"")</f>
        <v/>
      </c>
      <c r="N67" t="str">
        <f>IFERROR(IF(_xlfn.XLOOKUP(P67,Dados[Nomenclatura Ativo],Dados[Ticker do Ativo])="","",_xlfn.XLOOKUP(P67,Dados[Nomenclatura Ativo],Dados[Ticker do Ativo])),"")</f>
        <v/>
      </c>
    </row>
    <row r="68" spans="3:14">
      <c r="C68" t="s">
        <v>209</v>
      </c>
      <c r="H68" t="str">
        <f>IFERROR(IF(_xlfn.XLOOKUP(P68,Dados[Nomenclatura Ativo],Dados[Tipo do Ativo])="","",_xlfn.XLOOKUP(P68,Dados[Nomenclatura Ativo],Dados[Tipo do Ativo])),"")</f>
        <v/>
      </c>
      <c r="I68" t="str">
        <f>IFERROR(IF(_xlfn.XLOOKUP(P68,Dados[Nomenclatura Ativo],Dados[Emissor])="","",_xlfn.XLOOKUP(P68,Dados[Nomenclatura Ativo],Dados[Emissor])),"")</f>
        <v/>
      </c>
      <c r="J68" s="168" t="str">
        <f>IFERROR(IF(_xlfn.XLOOKUP(P68,Dados[Nomenclatura Ativo],Dados[Vencimento])="","",_xlfn.XLOOKUP(P68,Dados[Nomenclatura Ativo],Dados[Vencimento])),"")</f>
        <v/>
      </c>
      <c r="K68" t="str">
        <f>IFERROR(IF(_xlfn.XLOOKUP(P68,Dados[Nomenclatura Ativo],Dados[Remuneração])="","",_xlfn.XLOOKUP(P68,Dados[Nomenclatura Ativo],Dados[Remuneração])),"")</f>
        <v/>
      </c>
      <c r="L68" t="str">
        <f>IFERROR(IF(_xlfn.XLOOKUP(P68,Dados[Nomenclatura Ativo],Dados[Complemento])="","",_xlfn.XLOOKUP(P68,Dados[Nomenclatura Ativo],Dados[Complemento])),"")</f>
        <v/>
      </c>
      <c r="N68" t="str">
        <f>IFERROR(IF(_xlfn.XLOOKUP(P68,Dados[Nomenclatura Ativo],Dados[Ticker do Ativo])="","",_xlfn.XLOOKUP(P68,Dados[Nomenclatura Ativo],Dados[Ticker do Ativo])),"")</f>
        <v/>
      </c>
    </row>
    <row r="69" spans="3:14">
      <c r="C69" t="s">
        <v>209</v>
      </c>
      <c r="H69" t="str">
        <f>IFERROR(IF(_xlfn.XLOOKUP(P69,Dados[Nomenclatura Ativo],Dados[Tipo do Ativo])="","",_xlfn.XLOOKUP(P69,Dados[Nomenclatura Ativo],Dados[Tipo do Ativo])),"")</f>
        <v/>
      </c>
      <c r="I69" t="str">
        <f>IFERROR(IF(_xlfn.XLOOKUP(P69,Dados[Nomenclatura Ativo],Dados[Emissor])="","",_xlfn.XLOOKUP(P69,Dados[Nomenclatura Ativo],Dados[Emissor])),"")</f>
        <v/>
      </c>
      <c r="J69" s="168" t="str">
        <f>IFERROR(IF(_xlfn.XLOOKUP(P69,Dados[Nomenclatura Ativo],Dados[Vencimento])="","",_xlfn.XLOOKUP(P69,Dados[Nomenclatura Ativo],Dados[Vencimento])),"")</f>
        <v/>
      </c>
      <c r="K69" t="str">
        <f>IFERROR(IF(_xlfn.XLOOKUP(P69,Dados[Nomenclatura Ativo],Dados[Remuneração])="","",_xlfn.XLOOKUP(P69,Dados[Nomenclatura Ativo],Dados[Remuneração])),"")</f>
        <v/>
      </c>
      <c r="L69" t="str">
        <f>IFERROR(IF(_xlfn.XLOOKUP(P69,Dados[Nomenclatura Ativo],Dados[Complemento])="","",_xlfn.XLOOKUP(P69,Dados[Nomenclatura Ativo],Dados[Complemento])),"")</f>
        <v/>
      </c>
      <c r="N69" t="str">
        <f>IFERROR(IF(_xlfn.XLOOKUP(P69,Dados[Nomenclatura Ativo],Dados[Ticker do Ativo])="","",_xlfn.XLOOKUP(P69,Dados[Nomenclatura Ativo],Dados[Ticker do Ativo])),"")</f>
        <v/>
      </c>
    </row>
    <row r="70" spans="3:14">
      <c r="C70" t="s">
        <v>209</v>
      </c>
      <c r="H70" t="str">
        <f>IFERROR(IF(_xlfn.XLOOKUP(P70,Dados[Nomenclatura Ativo],Dados[Tipo do Ativo])="","",_xlfn.XLOOKUP(P70,Dados[Nomenclatura Ativo],Dados[Tipo do Ativo])),"")</f>
        <v/>
      </c>
      <c r="I70" t="str">
        <f>IFERROR(IF(_xlfn.XLOOKUP(P70,Dados[Nomenclatura Ativo],Dados[Emissor])="","",_xlfn.XLOOKUP(P70,Dados[Nomenclatura Ativo],Dados[Emissor])),"")</f>
        <v/>
      </c>
      <c r="J70" s="168" t="str">
        <f>IFERROR(IF(_xlfn.XLOOKUP(P70,Dados[Nomenclatura Ativo],Dados[Vencimento])="","",_xlfn.XLOOKUP(P70,Dados[Nomenclatura Ativo],Dados[Vencimento])),"")</f>
        <v/>
      </c>
      <c r="K70" t="str">
        <f>IFERROR(IF(_xlfn.XLOOKUP(P70,Dados[Nomenclatura Ativo],Dados[Remuneração])="","",_xlfn.XLOOKUP(P70,Dados[Nomenclatura Ativo],Dados[Remuneração])),"")</f>
        <v/>
      </c>
      <c r="L70" t="str">
        <f>IFERROR(IF(_xlfn.XLOOKUP(P70,Dados[Nomenclatura Ativo],Dados[Complemento])="","",_xlfn.XLOOKUP(P70,Dados[Nomenclatura Ativo],Dados[Complemento])),"")</f>
        <v/>
      </c>
      <c r="N70" t="str">
        <f>IFERROR(IF(_xlfn.XLOOKUP(P70,Dados[Nomenclatura Ativo],Dados[Ticker do Ativo])="","",_xlfn.XLOOKUP(P70,Dados[Nomenclatura Ativo],Dados[Ticker do Ativo])),"")</f>
        <v/>
      </c>
    </row>
    <row r="71" spans="3:14">
      <c r="C71" t="s">
        <v>209</v>
      </c>
      <c r="H71" t="str">
        <f>IFERROR(IF(_xlfn.XLOOKUP(P71,Dados[Nomenclatura Ativo],Dados[Tipo do Ativo])="","",_xlfn.XLOOKUP(P71,Dados[Nomenclatura Ativo],Dados[Tipo do Ativo])),"")</f>
        <v/>
      </c>
      <c r="I71" t="str">
        <f>IFERROR(IF(_xlfn.XLOOKUP(P71,Dados[Nomenclatura Ativo],Dados[Emissor])="","",_xlfn.XLOOKUP(P71,Dados[Nomenclatura Ativo],Dados[Emissor])),"")</f>
        <v/>
      </c>
      <c r="J71" s="168" t="str">
        <f>IFERROR(IF(_xlfn.XLOOKUP(P71,Dados[Nomenclatura Ativo],Dados[Vencimento])="","",_xlfn.XLOOKUP(P71,Dados[Nomenclatura Ativo],Dados[Vencimento])),"")</f>
        <v/>
      </c>
      <c r="K71" t="str">
        <f>IFERROR(IF(_xlfn.XLOOKUP(P71,Dados[Nomenclatura Ativo],Dados[Remuneração])="","",_xlfn.XLOOKUP(P71,Dados[Nomenclatura Ativo],Dados[Remuneração])),"")</f>
        <v/>
      </c>
      <c r="L71" t="str">
        <f>IFERROR(IF(_xlfn.XLOOKUP(P71,Dados[Nomenclatura Ativo],Dados[Complemento])="","",_xlfn.XLOOKUP(P71,Dados[Nomenclatura Ativo],Dados[Complemento])),"")</f>
        <v/>
      </c>
      <c r="N71" t="str">
        <f>IFERROR(IF(_xlfn.XLOOKUP(P71,Dados[Nomenclatura Ativo],Dados[Ticker do Ativo])="","",_xlfn.XLOOKUP(P71,Dados[Nomenclatura Ativo],Dados[Ticker do Ativo])),"")</f>
        <v/>
      </c>
    </row>
    <row r="72" spans="3:14">
      <c r="C72" t="s">
        <v>209</v>
      </c>
      <c r="H72" t="str">
        <f>IFERROR(IF(_xlfn.XLOOKUP(P72,Dados[Nomenclatura Ativo],Dados[Tipo do Ativo])="","",_xlfn.XLOOKUP(P72,Dados[Nomenclatura Ativo],Dados[Tipo do Ativo])),"")</f>
        <v/>
      </c>
      <c r="I72" t="str">
        <f>IFERROR(IF(_xlfn.XLOOKUP(P72,Dados[Nomenclatura Ativo],Dados[Emissor])="","",_xlfn.XLOOKUP(P72,Dados[Nomenclatura Ativo],Dados[Emissor])),"")</f>
        <v/>
      </c>
      <c r="J72" s="168" t="str">
        <f>IFERROR(IF(_xlfn.XLOOKUP(P72,Dados[Nomenclatura Ativo],Dados[Vencimento])="","",_xlfn.XLOOKUP(P72,Dados[Nomenclatura Ativo],Dados[Vencimento])),"")</f>
        <v/>
      </c>
      <c r="K72" t="str">
        <f>IFERROR(IF(_xlfn.XLOOKUP(P72,Dados[Nomenclatura Ativo],Dados[Remuneração])="","",_xlfn.XLOOKUP(P72,Dados[Nomenclatura Ativo],Dados[Remuneração])),"")</f>
        <v/>
      </c>
      <c r="L72" t="str">
        <f>IFERROR(IF(_xlfn.XLOOKUP(P72,Dados[Nomenclatura Ativo],Dados[Complemento])="","",_xlfn.XLOOKUP(P72,Dados[Nomenclatura Ativo],Dados[Complemento])),"")</f>
        <v/>
      </c>
      <c r="N72" t="str">
        <f>IFERROR(IF(_xlfn.XLOOKUP(P72,Dados[Nomenclatura Ativo],Dados[Ticker do Ativo])="","",_xlfn.XLOOKUP(P72,Dados[Nomenclatura Ativo],Dados[Ticker do Ativo])),"")</f>
        <v/>
      </c>
    </row>
    <row r="73" spans="3:14">
      <c r="C73" t="s">
        <v>209</v>
      </c>
      <c r="H73" t="str">
        <f>IFERROR(IF(_xlfn.XLOOKUP(P73,Dados[Nomenclatura Ativo],Dados[Tipo do Ativo])="","",_xlfn.XLOOKUP(P73,Dados[Nomenclatura Ativo],Dados[Tipo do Ativo])),"")</f>
        <v/>
      </c>
      <c r="I73" t="str">
        <f>IFERROR(IF(_xlfn.XLOOKUP(P73,Dados[Nomenclatura Ativo],Dados[Emissor])="","",_xlfn.XLOOKUP(P73,Dados[Nomenclatura Ativo],Dados[Emissor])),"")</f>
        <v/>
      </c>
      <c r="J73" s="168" t="str">
        <f>IFERROR(IF(_xlfn.XLOOKUP(P73,Dados[Nomenclatura Ativo],Dados[Vencimento])="","",_xlfn.XLOOKUP(P73,Dados[Nomenclatura Ativo],Dados[Vencimento])),"")</f>
        <v/>
      </c>
      <c r="K73" t="str">
        <f>IFERROR(IF(_xlfn.XLOOKUP(P73,Dados[Nomenclatura Ativo],Dados[Remuneração])="","",_xlfn.XLOOKUP(P73,Dados[Nomenclatura Ativo],Dados[Remuneração])),"")</f>
        <v/>
      </c>
      <c r="L73" t="str">
        <f>IFERROR(IF(_xlfn.XLOOKUP(P73,Dados[Nomenclatura Ativo],Dados[Complemento])="","",_xlfn.XLOOKUP(P73,Dados[Nomenclatura Ativo],Dados[Complemento])),"")</f>
        <v/>
      </c>
      <c r="N73" t="str">
        <f>IFERROR(IF(_xlfn.XLOOKUP(P73,Dados[Nomenclatura Ativo],Dados[Ticker do Ativo])="","",_xlfn.XLOOKUP(P73,Dados[Nomenclatura Ativo],Dados[Ticker do Ativo])),"")</f>
        <v/>
      </c>
    </row>
    <row r="74" spans="3:14">
      <c r="C74" t="s">
        <v>209</v>
      </c>
      <c r="H74" t="str">
        <f>IFERROR(IF(_xlfn.XLOOKUP(P74,Dados[Nomenclatura Ativo],Dados[Tipo do Ativo])="","",_xlfn.XLOOKUP(P74,Dados[Nomenclatura Ativo],Dados[Tipo do Ativo])),"")</f>
        <v/>
      </c>
      <c r="I74" t="str">
        <f>IFERROR(IF(_xlfn.XLOOKUP(P74,Dados[Nomenclatura Ativo],Dados[Emissor])="","",_xlfn.XLOOKUP(P74,Dados[Nomenclatura Ativo],Dados[Emissor])),"")</f>
        <v/>
      </c>
      <c r="J74" s="168" t="str">
        <f>IFERROR(IF(_xlfn.XLOOKUP(P74,Dados[Nomenclatura Ativo],Dados[Vencimento])="","",_xlfn.XLOOKUP(P74,Dados[Nomenclatura Ativo],Dados[Vencimento])),"")</f>
        <v/>
      </c>
      <c r="K74" t="str">
        <f>IFERROR(IF(_xlfn.XLOOKUP(P74,Dados[Nomenclatura Ativo],Dados[Remuneração])="","",_xlfn.XLOOKUP(P74,Dados[Nomenclatura Ativo],Dados[Remuneração])),"")</f>
        <v/>
      </c>
      <c r="L74" t="str">
        <f>IFERROR(IF(_xlfn.XLOOKUP(P74,Dados[Nomenclatura Ativo],Dados[Complemento])="","",_xlfn.XLOOKUP(P74,Dados[Nomenclatura Ativo],Dados[Complemento])),"")</f>
        <v/>
      </c>
      <c r="N74" t="str">
        <f>IFERROR(IF(_xlfn.XLOOKUP(P74,Dados[Nomenclatura Ativo],Dados[Ticker do Ativo])="","",_xlfn.XLOOKUP(P74,Dados[Nomenclatura Ativo],Dados[Ticker do Ativo])),"")</f>
        <v/>
      </c>
    </row>
    <row r="75" spans="3:14">
      <c r="C75" t="s">
        <v>209</v>
      </c>
      <c r="H75" t="str">
        <f>IFERROR(IF(_xlfn.XLOOKUP(P75,Dados[Nomenclatura Ativo],Dados[Tipo do Ativo])="","",_xlfn.XLOOKUP(P75,Dados[Nomenclatura Ativo],Dados[Tipo do Ativo])),"")</f>
        <v/>
      </c>
      <c r="I75" t="str">
        <f>IFERROR(IF(_xlfn.XLOOKUP(P75,Dados[Nomenclatura Ativo],Dados[Emissor])="","",_xlfn.XLOOKUP(P75,Dados[Nomenclatura Ativo],Dados[Emissor])),"")</f>
        <v/>
      </c>
      <c r="J75" s="168" t="str">
        <f>IFERROR(IF(_xlfn.XLOOKUP(P75,Dados[Nomenclatura Ativo],Dados[Vencimento])="","",_xlfn.XLOOKUP(P75,Dados[Nomenclatura Ativo],Dados[Vencimento])),"")</f>
        <v/>
      </c>
      <c r="K75" t="str">
        <f>IFERROR(IF(_xlfn.XLOOKUP(P75,Dados[Nomenclatura Ativo],Dados[Remuneração])="","",_xlfn.XLOOKUP(P75,Dados[Nomenclatura Ativo],Dados[Remuneração])),"")</f>
        <v/>
      </c>
      <c r="L75" t="str">
        <f>IFERROR(IF(_xlfn.XLOOKUP(P75,Dados[Nomenclatura Ativo],Dados[Complemento])="","",_xlfn.XLOOKUP(P75,Dados[Nomenclatura Ativo],Dados[Complemento])),"")</f>
        <v/>
      </c>
      <c r="N75" t="str">
        <f>IFERROR(IF(_xlfn.XLOOKUP(P75,Dados[Nomenclatura Ativo],Dados[Ticker do Ativo])="","",_xlfn.XLOOKUP(P75,Dados[Nomenclatura Ativo],Dados[Ticker do Ativo])),"")</f>
        <v/>
      </c>
    </row>
    <row r="76" spans="3:14">
      <c r="C76" t="s">
        <v>209</v>
      </c>
      <c r="H76" t="str">
        <f>IFERROR(IF(_xlfn.XLOOKUP(P76,Dados[Nomenclatura Ativo],Dados[Tipo do Ativo])="","",_xlfn.XLOOKUP(P76,Dados[Nomenclatura Ativo],Dados[Tipo do Ativo])),"")</f>
        <v/>
      </c>
      <c r="I76" t="str">
        <f>IFERROR(IF(_xlfn.XLOOKUP(P76,Dados[Nomenclatura Ativo],Dados[Emissor])="","",_xlfn.XLOOKUP(P76,Dados[Nomenclatura Ativo],Dados[Emissor])),"")</f>
        <v/>
      </c>
      <c r="J76" s="168" t="str">
        <f>IFERROR(IF(_xlfn.XLOOKUP(P76,Dados[Nomenclatura Ativo],Dados[Vencimento])="","",_xlfn.XLOOKUP(P76,Dados[Nomenclatura Ativo],Dados[Vencimento])),"")</f>
        <v/>
      </c>
      <c r="K76" t="str">
        <f>IFERROR(IF(_xlfn.XLOOKUP(P76,Dados[Nomenclatura Ativo],Dados[Remuneração])="","",_xlfn.XLOOKUP(P76,Dados[Nomenclatura Ativo],Dados[Remuneração])),"")</f>
        <v/>
      </c>
      <c r="L76" t="str">
        <f>IFERROR(IF(_xlfn.XLOOKUP(P76,Dados[Nomenclatura Ativo],Dados[Complemento])="","",_xlfn.XLOOKUP(P76,Dados[Nomenclatura Ativo],Dados[Complemento])),"")</f>
        <v/>
      </c>
      <c r="N76" t="str">
        <f>IFERROR(IF(_xlfn.XLOOKUP(P76,Dados[Nomenclatura Ativo],Dados[Ticker do Ativo])="","",_xlfn.XLOOKUP(P76,Dados[Nomenclatura Ativo],Dados[Ticker do Ativo])),"")</f>
        <v/>
      </c>
    </row>
    <row r="77" spans="3:14">
      <c r="C77" t="s">
        <v>209</v>
      </c>
      <c r="H77" t="str">
        <f>IFERROR(IF(_xlfn.XLOOKUP(P77,Dados[Nomenclatura Ativo],Dados[Tipo do Ativo])="","",_xlfn.XLOOKUP(P77,Dados[Nomenclatura Ativo],Dados[Tipo do Ativo])),"")</f>
        <v/>
      </c>
      <c r="I77" t="str">
        <f>IFERROR(IF(_xlfn.XLOOKUP(P77,Dados[Nomenclatura Ativo],Dados[Emissor])="","",_xlfn.XLOOKUP(P77,Dados[Nomenclatura Ativo],Dados[Emissor])),"")</f>
        <v/>
      </c>
      <c r="J77" s="168" t="str">
        <f>IFERROR(IF(_xlfn.XLOOKUP(P77,Dados[Nomenclatura Ativo],Dados[Vencimento])="","",_xlfn.XLOOKUP(P77,Dados[Nomenclatura Ativo],Dados[Vencimento])),"")</f>
        <v/>
      </c>
      <c r="K77" t="str">
        <f>IFERROR(IF(_xlfn.XLOOKUP(P77,Dados[Nomenclatura Ativo],Dados[Remuneração])="","",_xlfn.XLOOKUP(P77,Dados[Nomenclatura Ativo],Dados[Remuneração])),"")</f>
        <v/>
      </c>
      <c r="L77" t="str">
        <f>IFERROR(IF(_xlfn.XLOOKUP(P77,Dados[Nomenclatura Ativo],Dados[Complemento])="","",_xlfn.XLOOKUP(P77,Dados[Nomenclatura Ativo],Dados[Complemento])),"")</f>
        <v/>
      </c>
      <c r="N77" t="str">
        <f>IFERROR(IF(_xlfn.XLOOKUP(P77,Dados[Nomenclatura Ativo],Dados[Ticker do Ativo])="","",_xlfn.XLOOKUP(P77,Dados[Nomenclatura Ativo],Dados[Ticker do Ativo])),"")</f>
        <v/>
      </c>
    </row>
    <row r="78" spans="3:14">
      <c r="C78" t="s">
        <v>209</v>
      </c>
      <c r="H78" t="str">
        <f>IFERROR(IF(_xlfn.XLOOKUP(P78,Dados[Nomenclatura Ativo],Dados[Tipo do Ativo])="","",_xlfn.XLOOKUP(P78,Dados[Nomenclatura Ativo],Dados[Tipo do Ativo])),"")</f>
        <v/>
      </c>
      <c r="I78" t="str">
        <f>IFERROR(IF(_xlfn.XLOOKUP(P78,Dados[Nomenclatura Ativo],Dados[Emissor])="","",_xlfn.XLOOKUP(P78,Dados[Nomenclatura Ativo],Dados[Emissor])),"")</f>
        <v/>
      </c>
      <c r="J78" s="168" t="str">
        <f>IFERROR(IF(_xlfn.XLOOKUP(P78,Dados[Nomenclatura Ativo],Dados[Vencimento])="","",_xlfn.XLOOKUP(P78,Dados[Nomenclatura Ativo],Dados[Vencimento])),"")</f>
        <v/>
      </c>
      <c r="K78" t="str">
        <f>IFERROR(IF(_xlfn.XLOOKUP(P78,Dados[Nomenclatura Ativo],Dados[Remuneração])="","",_xlfn.XLOOKUP(P78,Dados[Nomenclatura Ativo],Dados[Remuneração])),"")</f>
        <v/>
      </c>
      <c r="L78" t="str">
        <f>IFERROR(IF(_xlfn.XLOOKUP(P78,Dados[Nomenclatura Ativo],Dados[Complemento])="","",_xlfn.XLOOKUP(P78,Dados[Nomenclatura Ativo],Dados[Complemento])),"")</f>
        <v/>
      </c>
      <c r="N78" t="str">
        <f>IFERROR(IF(_xlfn.XLOOKUP(P78,Dados[Nomenclatura Ativo],Dados[Ticker do Ativo])="","",_xlfn.XLOOKUP(P78,Dados[Nomenclatura Ativo],Dados[Ticker do Ativo])),"")</f>
        <v/>
      </c>
    </row>
    <row r="79" spans="3:14">
      <c r="C79" t="s">
        <v>209</v>
      </c>
      <c r="H79" t="str">
        <f>IFERROR(IF(_xlfn.XLOOKUP(P79,Dados[Nomenclatura Ativo],Dados[Tipo do Ativo])="","",_xlfn.XLOOKUP(P79,Dados[Nomenclatura Ativo],Dados[Tipo do Ativo])),"")</f>
        <v/>
      </c>
      <c r="I79" t="str">
        <f>IFERROR(IF(_xlfn.XLOOKUP(P79,Dados[Nomenclatura Ativo],Dados[Emissor])="","",_xlfn.XLOOKUP(P79,Dados[Nomenclatura Ativo],Dados[Emissor])),"")</f>
        <v/>
      </c>
      <c r="J79" s="168" t="str">
        <f>IFERROR(IF(_xlfn.XLOOKUP(P79,Dados[Nomenclatura Ativo],Dados[Vencimento])="","",_xlfn.XLOOKUP(P79,Dados[Nomenclatura Ativo],Dados[Vencimento])),"")</f>
        <v/>
      </c>
      <c r="K79" t="str">
        <f>IFERROR(IF(_xlfn.XLOOKUP(P79,Dados[Nomenclatura Ativo],Dados[Remuneração])="","",_xlfn.XLOOKUP(P79,Dados[Nomenclatura Ativo],Dados[Remuneração])),"")</f>
        <v/>
      </c>
      <c r="L79" t="str">
        <f>IFERROR(IF(_xlfn.XLOOKUP(P79,Dados[Nomenclatura Ativo],Dados[Complemento])="","",_xlfn.XLOOKUP(P79,Dados[Nomenclatura Ativo],Dados[Complemento])),"")</f>
        <v/>
      </c>
      <c r="N79" t="str">
        <f>IFERROR(IF(_xlfn.XLOOKUP(P79,Dados[Nomenclatura Ativo],Dados[Ticker do Ativo])="","",_xlfn.XLOOKUP(P79,Dados[Nomenclatura Ativo],Dados[Ticker do Ativo])),"")</f>
        <v/>
      </c>
    </row>
    <row r="80" spans="3:14">
      <c r="C80" t="s">
        <v>209</v>
      </c>
      <c r="H80" t="str">
        <f>IFERROR(IF(_xlfn.XLOOKUP(P80,Dados[Nomenclatura Ativo],Dados[Tipo do Ativo])="","",_xlfn.XLOOKUP(P80,Dados[Nomenclatura Ativo],Dados[Tipo do Ativo])),"")</f>
        <v/>
      </c>
      <c r="I80" t="str">
        <f>IFERROR(IF(_xlfn.XLOOKUP(P80,Dados[Nomenclatura Ativo],Dados[Emissor])="","",_xlfn.XLOOKUP(P80,Dados[Nomenclatura Ativo],Dados[Emissor])),"")</f>
        <v/>
      </c>
      <c r="J80" s="168" t="str">
        <f>IFERROR(IF(_xlfn.XLOOKUP(P80,Dados[Nomenclatura Ativo],Dados[Vencimento])="","",_xlfn.XLOOKUP(P80,Dados[Nomenclatura Ativo],Dados[Vencimento])),"")</f>
        <v/>
      </c>
      <c r="K80" t="str">
        <f>IFERROR(IF(_xlfn.XLOOKUP(P80,Dados[Nomenclatura Ativo],Dados[Remuneração])="","",_xlfn.XLOOKUP(P80,Dados[Nomenclatura Ativo],Dados[Remuneração])),"")</f>
        <v/>
      </c>
      <c r="L80" t="str">
        <f>IFERROR(IF(_xlfn.XLOOKUP(P80,Dados[Nomenclatura Ativo],Dados[Complemento])="","",_xlfn.XLOOKUP(P80,Dados[Nomenclatura Ativo],Dados[Complemento])),"")</f>
        <v/>
      </c>
      <c r="N80" t="str">
        <f>IFERROR(IF(_xlfn.XLOOKUP(P80,Dados[Nomenclatura Ativo],Dados[Ticker do Ativo])="","",_xlfn.XLOOKUP(P80,Dados[Nomenclatura Ativo],Dados[Ticker do Ativo])),"")</f>
        <v/>
      </c>
    </row>
    <row r="81" spans="3:14">
      <c r="C81" t="s">
        <v>209</v>
      </c>
      <c r="H81" t="str">
        <f>IFERROR(IF(_xlfn.XLOOKUP(P81,Dados[Nomenclatura Ativo],Dados[Tipo do Ativo])="","",_xlfn.XLOOKUP(P81,Dados[Nomenclatura Ativo],Dados[Tipo do Ativo])),"")</f>
        <v/>
      </c>
      <c r="I81" t="str">
        <f>IFERROR(IF(_xlfn.XLOOKUP(P81,Dados[Nomenclatura Ativo],Dados[Emissor])="","",_xlfn.XLOOKUP(P81,Dados[Nomenclatura Ativo],Dados[Emissor])),"")</f>
        <v/>
      </c>
      <c r="J81" s="168" t="str">
        <f>IFERROR(IF(_xlfn.XLOOKUP(P81,Dados[Nomenclatura Ativo],Dados[Vencimento])="","",_xlfn.XLOOKUP(P81,Dados[Nomenclatura Ativo],Dados[Vencimento])),"")</f>
        <v/>
      </c>
      <c r="K81" t="str">
        <f>IFERROR(IF(_xlfn.XLOOKUP(P81,Dados[Nomenclatura Ativo],Dados[Remuneração])="","",_xlfn.XLOOKUP(P81,Dados[Nomenclatura Ativo],Dados[Remuneração])),"")</f>
        <v/>
      </c>
      <c r="L81" t="str">
        <f>IFERROR(IF(_xlfn.XLOOKUP(P81,Dados[Nomenclatura Ativo],Dados[Complemento])="","",_xlfn.XLOOKUP(P81,Dados[Nomenclatura Ativo],Dados[Complemento])),"")</f>
        <v/>
      </c>
      <c r="N81" t="str">
        <f>IFERROR(IF(_xlfn.XLOOKUP(P81,Dados[Nomenclatura Ativo],Dados[Ticker do Ativo])="","",_xlfn.XLOOKUP(P81,Dados[Nomenclatura Ativo],Dados[Ticker do Ativo])),"")</f>
        <v/>
      </c>
    </row>
    <row r="82" spans="3:14">
      <c r="C82" t="s">
        <v>209</v>
      </c>
      <c r="H82" t="str">
        <f>IFERROR(IF(_xlfn.XLOOKUP(P82,Dados[Nomenclatura Ativo],Dados[Tipo do Ativo])="","",_xlfn.XLOOKUP(P82,Dados[Nomenclatura Ativo],Dados[Tipo do Ativo])),"")</f>
        <v/>
      </c>
      <c r="I82" t="str">
        <f>IFERROR(IF(_xlfn.XLOOKUP(P82,Dados[Nomenclatura Ativo],Dados[Emissor])="","",_xlfn.XLOOKUP(P82,Dados[Nomenclatura Ativo],Dados[Emissor])),"")</f>
        <v/>
      </c>
      <c r="J82" s="168" t="str">
        <f>IFERROR(IF(_xlfn.XLOOKUP(P82,Dados[Nomenclatura Ativo],Dados[Vencimento])="","",_xlfn.XLOOKUP(P82,Dados[Nomenclatura Ativo],Dados[Vencimento])),"")</f>
        <v/>
      </c>
      <c r="K82" t="str">
        <f>IFERROR(IF(_xlfn.XLOOKUP(P82,Dados[Nomenclatura Ativo],Dados[Remuneração])="","",_xlfn.XLOOKUP(P82,Dados[Nomenclatura Ativo],Dados[Remuneração])),"")</f>
        <v/>
      </c>
      <c r="L82" t="str">
        <f>IFERROR(IF(_xlfn.XLOOKUP(P82,Dados[Nomenclatura Ativo],Dados[Complemento])="","",_xlfn.XLOOKUP(P82,Dados[Nomenclatura Ativo],Dados[Complemento])),"")</f>
        <v/>
      </c>
      <c r="N82" t="str">
        <f>IFERROR(IF(_xlfn.XLOOKUP(P82,Dados[Nomenclatura Ativo],Dados[Ticker do Ativo])="","",_xlfn.XLOOKUP(P82,Dados[Nomenclatura Ativo],Dados[Ticker do Ativo])),"")</f>
        <v/>
      </c>
    </row>
    <row r="83" spans="3:14">
      <c r="C83" t="s">
        <v>209</v>
      </c>
      <c r="H83" t="str">
        <f>IFERROR(IF(_xlfn.XLOOKUP(P83,Dados[Nomenclatura Ativo],Dados[Tipo do Ativo])="","",_xlfn.XLOOKUP(P83,Dados[Nomenclatura Ativo],Dados[Tipo do Ativo])),"")</f>
        <v/>
      </c>
      <c r="I83" t="str">
        <f>IFERROR(IF(_xlfn.XLOOKUP(P83,Dados[Nomenclatura Ativo],Dados[Emissor])="","",_xlfn.XLOOKUP(P83,Dados[Nomenclatura Ativo],Dados[Emissor])),"")</f>
        <v/>
      </c>
      <c r="J83" s="168" t="str">
        <f>IFERROR(IF(_xlfn.XLOOKUP(P83,Dados[Nomenclatura Ativo],Dados[Vencimento])="","",_xlfn.XLOOKUP(P83,Dados[Nomenclatura Ativo],Dados[Vencimento])),"")</f>
        <v/>
      </c>
      <c r="K83" t="str">
        <f>IFERROR(IF(_xlfn.XLOOKUP(P83,Dados[Nomenclatura Ativo],Dados[Remuneração])="","",_xlfn.XLOOKUP(P83,Dados[Nomenclatura Ativo],Dados[Remuneração])),"")</f>
        <v/>
      </c>
      <c r="L83" t="str">
        <f>IFERROR(IF(_xlfn.XLOOKUP(P83,Dados[Nomenclatura Ativo],Dados[Complemento])="","",_xlfn.XLOOKUP(P83,Dados[Nomenclatura Ativo],Dados[Complemento])),"")</f>
        <v/>
      </c>
      <c r="N83" t="str">
        <f>IFERROR(IF(_xlfn.XLOOKUP(P83,Dados[Nomenclatura Ativo],Dados[Ticker do Ativo])="","",_xlfn.XLOOKUP(P83,Dados[Nomenclatura Ativo],Dados[Ticker do Ativo])),"")</f>
        <v/>
      </c>
    </row>
    <row r="84" spans="3:14">
      <c r="C84" t="s">
        <v>209</v>
      </c>
      <c r="H84" t="str">
        <f>IFERROR(IF(_xlfn.XLOOKUP(P84,Dados[Nomenclatura Ativo],Dados[Tipo do Ativo])="","",_xlfn.XLOOKUP(P84,Dados[Nomenclatura Ativo],Dados[Tipo do Ativo])),"")</f>
        <v/>
      </c>
      <c r="I84" t="str">
        <f>IFERROR(IF(_xlfn.XLOOKUP(P84,Dados[Nomenclatura Ativo],Dados[Emissor])="","",_xlfn.XLOOKUP(P84,Dados[Nomenclatura Ativo],Dados[Emissor])),"")</f>
        <v/>
      </c>
      <c r="J84" s="168" t="str">
        <f>IFERROR(IF(_xlfn.XLOOKUP(P84,Dados[Nomenclatura Ativo],Dados[Vencimento])="","",_xlfn.XLOOKUP(P84,Dados[Nomenclatura Ativo],Dados[Vencimento])),"")</f>
        <v/>
      </c>
      <c r="K84" t="str">
        <f>IFERROR(IF(_xlfn.XLOOKUP(P84,Dados[Nomenclatura Ativo],Dados[Remuneração])="","",_xlfn.XLOOKUP(P84,Dados[Nomenclatura Ativo],Dados[Remuneração])),"")</f>
        <v/>
      </c>
      <c r="L84" t="str">
        <f>IFERROR(IF(_xlfn.XLOOKUP(P84,Dados[Nomenclatura Ativo],Dados[Complemento])="","",_xlfn.XLOOKUP(P84,Dados[Nomenclatura Ativo],Dados[Complemento])),"")</f>
        <v/>
      </c>
      <c r="N84" t="str">
        <f>IFERROR(IF(_xlfn.XLOOKUP(P84,Dados[Nomenclatura Ativo],Dados[Ticker do Ativo])="","",_xlfn.XLOOKUP(P84,Dados[Nomenclatura Ativo],Dados[Ticker do Ativo])),"")</f>
        <v/>
      </c>
    </row>
    <row r="85" spans="3:14">
      <c r="C85" t="s">
        <v>209</v>
      </c>
      <c r="H85" t="str">
        <f>IFERROR(IF(_xlfn.XLOOKUP(P85,Dados[Nomenclatura Ativo],Dados[Tipo do Ativo])="","",_xlfn.XLOOKUP(P85,Dados[Nomenclatura Ativo],Dados[Tipo do Ativo])),"")</f>
        <v/>
      </c>
      <c r="I85" t="str">
        <f>IFERROR(IF(_xlfn.XLOOKUP(P85,Dados[Nomenclatura Ativo],Dados[Emissor])="","",_xlfn.XLOOKUP(P85,Dados[Nomenclatura Ativo],Dados[Emissor])),"")</f>
        <v/>
      </c>
      <c r="J85" s="168" t="str">
        <f>IFERROR(IF(_xlfn.XLOOKUP(P85,Dados[Nomenclatura Ativo],Dados[Vencimento])="","",_xlfn.XLOOKUP(P85,Dados[Nomenclatura Ativo],Dados[Vencimento])),"")</f>
        <v/>
      </c>
      <c r="K85" t="str">
        <f>IFERROR(IF(_xlfn.XLOOKUP(P85,Dados[Nomenclatura Ativo],Dados[Remuneração])="","",_xlfn.XLOOKUP(P85,Dados[Nomenclatura Ativo],Dados[Remuneração])),"")</f>
        <v/>
      </c>
      <c r="L85" t="str">
        <f>IFERROR(IF(_xlfn.XLOOKUP(P85,Dados[Nomenclatura Ativo],Dados[Complemento])="","",_xlfn.XLOOKUP(P85,Dados[Nomenclatura Ativo],Dados[Complemento])),"")</f>
        <v/>
      </c>
      <c r="N85" t="str">
        <f>IFERROR(IF(_xlfn.XLOOKUP(P85,Dados[Nomenclatura Ativo],Dados[Ticker do Ativo])="","",_xlfn.XLOOKUP(P85,Dados[Nomenclatura Ativo],Dados[Ticker do Ativo])),"")</f>
        <v/>
      </c>
    </row>
    <row r="86" spans="3:14">
      <c r="C86" t="s">
        <v>209</v>
      </c>
      <c r="H86" t="str">
        <f>IFERROR(IF(_xlfn.XLOOKUP(P86,Dados[Nomenclatura Ativo],Dados[Tipo do Ativo])="","",_xlfn.XLOOKUP(P86,Dados[Nomenclatura Ativo],Dados[Tipo do Ativo])),"")</f>
        <v/>
      </c>
      <c r="I86" t="str">
        <f>IFERROR(IF(_xlfn.XLOOKUP(P86,Dados[Nomenclatura Ativo],Dados[Emissor])="","",_xlfn.XLOOKUP(P86,Dados[Nomenclatura Ativo],Dados[Emissor])),"")</f>
        <v/>
      </c>
      <c r="J86" s="168" t="str">
        <f>IFERROR(IF(_xlfn.XLOOKUP(P86,Dados[Nomenclatura Ativo],Dados[Vencimento])="","",_xlfn.XLOOKUP(P86,Dados[Nomenclatura Ativo],Dados[Vencimento])),"")</f>
        <v/>
      </c>
      <c r="K86" t="str">
        <f>IFERROR(IF(_xlfn.XLOOKUP(P86,Dados[Nomenclatura Ativo],Dados[Remuneração])="","",_xlfn.XLOOKUP(P86,Dados[Nomenclatura Ativo],Dados[Remuneração])),"")</f>
        <v/>
      </c>
      <c r="L86" t="str">
        <f>IFERROR(IF(_xlfn.XLOOKUP(P86,Dados[Nomenclatura Ativo],Dados[Complemento])="","",_xlfn.XLOOKUP(P86,Dados[Nomenclatura Ativo],Dados[Complemento])),"")</f>
        <v/>
      </c>
      <c r="N86" t="str">
        <f>IFERROR(IF(_xlfn.XLOOKUP(P86,Dados[Nomenclatura Ativo],Dados[Ticker do Ativo])="","",_xlfn.XLOOKUP(P86,Dados[Nomenclatura Ativo],Dados[Ticker do Ativo])),"")</f>
        <v/>
      </c>
    </row>
    <row r="87" spans="3:14">
      <c r="C87" t="s">
        <v>209</v>
      </c>
      <c r="H87" t="str">
        <f>IFERROR(IF(_xlfn.XLOOKUP(P87,Dados[Nomenclatura Ativo],Dados[Tipo do Ativo])="","",_xlfn.XLOOKUP(P87,Dados[Nomenclatura Ativo],Dados[Tipo do Ativo])),"")</f>
        <v/>
      </c>
      <c r="I87" t="str">
        <f>IFERROR(IF(_xlfn.XLOOKUP(P87,Dados[Nomenclatura Ativo],Dados[Emissor])="","",_xlfn.XLOOKUP(P87,Dados[Nomenclatura Ativo],Dados[Emissor])),"")</f>
        <v/>
      </c>
      <c r="J87" s="168" t="str">
        <f>IFERROR(IF(_xlfn.XLOOKUP(P87,Dados[Nomenclatura Ativo],Dados[Vencimento])="","",_xlfn.XLOOKUP(P87,Dados[Nomenclatura Ativo],Dados[Vencimento])),"")</f>
        <v/>
      </c>
      <c r="K87" t="str">
        <f>IFERROR(IF(_xlfn.XLOOKUP(P87,Dados[Nomenclatura Ativo],Dados[Remuneração])="","",_xlfn.XLOOKUP(P87,Dados[Nomenclatura Ativo],Dados[Remuneração])),"")</f>
        <v/>
      </c>
      <c r="L87" t="str">
        <f>IFERROR(IF(_xlfn.XLOOKUP(P87,Dados[Nomenclatura Ativo],Dados[Complemento])="","",_xlfn.XLOOKUP(P87,Dados[Nomenclatura Ativo],Dados[Complemento])),"")</f>
        <v/>
      </c>
      <c r="N87" t="str">
        <f>IFERROR(IF(_xlfn.XLOOKUP(P87,Dados[Nomenclatura Ativo],Dados[Ticker do Ativo])="","",_xlfn.XLOOKUP(P87,Dados[Nomenclatura Ativo],Dados[Ticker do Ativo])),"")</f>
        <v/>
      </c>
    </row>
    <row r="88" spans="3:14">
      <c r="C88" t="s">
        <v>209</v>
      </c>
      <c r="H88" t="str">
        <f>IFERROR(IF(_xlfn.XLOOKUP(P88,Dados[Nomenclatura Ativo],Dados[Tipo do Ativo])="","",_xlfn.XLOOKUP(P88,Dados[Nomenclatura Ativo],Dados[Tipo do Ativo])),"")</f>
        <v/>
      </c>
      <c r="I88" t="str">
        <f>IFERROR(IF(_xlfn.XLOOKUP(P88,Dados[Nomenclatura Ativo],Dados[Emissor])="","",_xlfn.XLOOKUP(P88,Dados[Nomenclatura Ativo],Dados[Emissor])),"")</f>
        <v/>
      </c>
      <c r="J88" s="168" t="str">
        <f>IFERROR(IF(_xlfn.XLOOKUP(P88,Dados[Nomenclatura Ativo],Dados[Vencimento])="","",_xlfn.XLOOKUP(P88,Dados[Nomenclatura Ativo],Dados[Vencimento])),"")</f>
        <v/>
      </c>
      <c r="K88" t="str">
        <f>IFERROR(IF(_xlfn.XLOOKUP(P88,Dados[Nomenclatura Ativo],Dados[Remuneração])="","",_xlfn.XLOOKUP(P88,Dados[Nomenclatura Ativo],Dados[Remuneração])),"")</f>
        <v/>
      </c>
      <c r="L88" t="str">
        <f>IFERROR(IF(_xlfn.XLOOKUP(P88,Dados[Nomenclatura Ativo],Dados[Complemento])="","",_xlfn.XLOOKUP(P88,Dados[Nomenclatura Ativo],Dados[Complemento])),"")</f>
        <v/>
      </c>
      <c r="N88" t="str">
        <f>IFERROR(IF(_xlfn.XLOOKUP(P88,Dados[Nomenclatura Ativo],Dados[Ticker do Ativo])="","",_xlfn.XLOOKUP(P88,Dados[Nomenclatura Ativo],Dados[Ticker do Ativo])),"")</f>
        <v/>
      </c>
    </row>
    <row r="89" spans="3:14">
      <c r="C89" t="s">
        <v>209</v>
      </c>
      <c r="H89" t="str">
        <f>IFERROR(IF(_xlfn.XLOOKUP(P89,Dados[Nomenclatura Ativo],Dados[Tipo do Ativo])="","",_xlfn.XLOOKUP(P89,Dados[Nomenclatura Ativo],Dados[Tipo do Ativo])),"")</f>
        <v/>
      </c>
      <c r="I89" t="str">
        <f>IFERROR(IF(_xlfn.XLOOKUP(P89,Dados[Nomenclatura Ativo],Dados[Emissor])="","",_xlfn.XLOOKUP(P89,Dados[Nomenclatura Ativo],Dados[Emissor])),"")</f>
        <v/>
      </c>
      <c r="J89" s="168" t="str">
        <f>IFERROR(IF(_xlfn.XLOOKUP(P89,Dados[Nomenclatura Ativo],Dados[Vencimento])="","",_xlfn.XLOOKUP(P89,Dados[Nomenclatura Ativo],Dados[Vencimento])),"")</f>
        <v/>
      </c>
      <c r="K89" t="str">
        <f>IFERROR(IF(_xlfn.XLOOKUP(P89,Dados[Nomenclatura Ativo],Dados[Remuneração])="","",_xlfn.XLOOKUP(P89,Dados[Nomenclatura Ativo],Dados[Remuneração])),"")</f>
        <v/>
      </c>
      <c r="L89" t="str">
        <f>IFERROR(IF(_xlfn.XLOOKUP(P89,Dados[Nomenclatura Ativo],Dados[Complemento])="","",_xlfn.XLOOKUP(P89,Dados[Nomenclatura Ativo],Dados[Complemento])),"")</f>
        <v/>
      </c>
      <c r="N89" t="str">
        <f>IFERROR(IF(_xlfn.XLOOKUP(P89,Dados[Nomenclatura Ativo],Dados[Ticker do Ativo])="","",_xlfn.XLOOKUP(P89,Dados[Nomenclatura Ativo],Dados[Ticker do Ativo])),"")</f>
        <v/>
      </c>
    </row>
    <row r="90" spans="3:14">
      <c r="C90" t="s">
        <v>209</v>
      </c>
      <c r="H90" t="str">
        <f>IFERROR(IF(_xlfn.XLOOKUP(P90,Dados[Nomenclatura Ativo],Dados[Tipo do Ativo])="","",_xlfn.XLOOKUP(P90,Dados[Nomenclatura Ativo],Dados[Tipo do Ativo])),"")</f>
        <v/>
      </c>
      <c r="I90" t="str">
        <f>IFERROR(IF(_xlfn.XLOOKUP(P90,Dados[Nomenclatura Ativo],Dados[Emissor])="","",_xlfn.XLOOKUP(P90,Dados[Nomenclatura Ativo],Dados[Emissor])),"")</f>
        <v/>
      </c>
      <c r="J90" s="168" t="str">
        <f>IFERROR(IF(_xlfn.XLOOKUP(P90,Dados[Nomenclatura Ativo],Dados[Vencimento])="","",_xlfn.XLOOKUP(P90,Dados[Nomenclatura Ativo],Dados[Vencimento])),"")</f>
        <v/>
      </c>
      <c r="K90" t="str">
        <f>IFERROR(IF(_xlfn.XLOOKUP(P90,Dados[Nomenclatura Ativo],Dados[Remuneração])="","",_xlfn.XLOOKUP(P90,Dados[Nomenclatura Ativo],Dados[Remuneração])),"")</f>
        <v/>
      </c>
      <c r="L90" t="str">
        <f>IFERROR(IF(_xlfn.XLOOKUP(P90,Dados[Nomenclatura Ativo],Dados[Complemento])="","",_xlfn.XLOOKUP(P90,Dados[Nomenclatura Ativo],Dados[Complemento])),"")</f>
        <v/>
      </c>
      <c r="N90" t="str">
        <f>IFERROR(IF(_xlfn.XLOOKUP(P90,Dados[Nomenclatura Ativo],Dados[Ticker do Ativo])="","",_xlfn.XLOOKUP(P90,Dados[Nomenclatura Ativo],Dados[Ticker do Ativo])),"")</f>
        <v/>
      </c>
    </row>
    <row r="91" spans="3:14">
      <c r="C91" t="s">
        <v>209</v>
      </c>
      <c r="H91" t="str">
        <f>IFERROR(IF(_xlfn.XLOOKUP(P91,Dados[Nomenclatura Ativo],Dados[Tipo do Ativo])="","",_xlfn.XLOOKUP(P91,Dados[Nomenclatura Ativo],Dados[Tipo do Ativo])),"")</f>
        <v/>
      </c>
      <c r="I91" t="str">
        <f>IFERROR(IF(_xlfn.XLOOKUP(P91,Dados[Nomenclatura Ativo],Dados[Emissor])="","",_xlfn.XLOOKUP(P91,Dados[Nomenclatura Ativo],Dados[Emissor])),"")</f>
        <v/>
      </c>
      <c r="J91" s="168" t="str">
        <f>IFERROR(IF(_xlfn.XLOOKUP(P91,Dados[Nomenclatura Ativo],Dados[Vencimento])="","",_xlfn.XLOOKUP(P91,Dados[Nomenclatura Ativo],Dados[Vencimento])),"")</f>
        <v/>
      </c>
      <c r="K91" t="str">
        <f>IFERROR(IF(_xlfn.XLOOKUP(P91,Dados[Nomenclatura Ativo],Dados[Remuneração])="","",_xlfn.XLOOKUP(P91,Dados[Nomenclatura Ativo],Dados[Remuneração])),"")</f>
        <v/>
      </c>
      <c r="L91" t="str">
        <f>IFERROR(IF(_xlfn.XLOOKUP(P91,Dados[Nomenclatura Ativo],Dados[Complemento])="","",_xlfn.XLOOKUP(P91,Dados[Nomenclatura Ativo],Dados[Complemento])),"")</f>
        <v/>
      </c>
      <c r="N91" t="str">
        <f>IFERROR(IF(_xlfn.XLOOKUP(P91,Dados[Nomenclatura Ativo],Dados[Ticker do Ativo])="","",_xlfn.XLOOKUP(P91,Dados[Nomenclatura Ativo],Dados[Ticker do Ativo])),"")</f>
        <v/>
      </c>
    </row>
    <row r="92" spans="3:14">
      <c r="C92" t="s">
        <v>209</v>
      </c>
      <c r="H92" t="str">
        <f>IFERROR(IF(_xlfn.XLOOKUP(P92,Dados[Nomenclatura Ativo],Dados[Tipo do Ativo])="","",_xlfn.XLOOKUP(P92,Dados[Nomenclatura Ativo],Dados[Tipo do Ativo])),"")</f>
        <v/>
      </c>
      <c r="I92" t="str">
        <f>IFERROR(IF(_xlfn.XLOOKUP(P92,Dados[Nomenclatura Ativo],Dados[Emissor])="","",_xlfn.XLOOKUP(P92,Dados[Nomenclatura Ativo],Dados[Emissor])),"")</f>
        <v/>
      </c>
      <c r="J92" s="168" t="str">
        <f>IFERROR(IF(_xlfn.XLOOKUP(P92,Dados[Nomenclatura Ativo],Dados[Vencimento])="","",_xlfn.XLOOKUP(P92,Dados[Nomenclatura Ativo],Dados[Vencimento])),"")</f>
        <v/>
      </c>
      <c r="K92" t="str">
        <f>IFERROR(IF(_xlfn.XLOOKUP(P92,Dados[Nomenclatura Ativo],Dados[Remuneração])="","",_xlfn.XLOOKUP(P92,Dados[Nomenclatura Ativo],Dados[Remuneração])),"")</f>
        <v/>
      </c>
      <c r="L92" t="str">
        <f>IFERROR(IF(_xlfn.XLOOKUP(P92,Dados[Nomenclatura Ativo],Dados[Complemento])="","",_xlfn.XLOOKUP(P92,Dados[Nomenclatura Ativo],Dados[Complemento])),"")</f>
        <v/>
      </c>
      <c r="N92" t="str">
        <f>IFERROR(IF(_xlfn.XLOOKUP(P92,Dados[Nomenclatura Ativo],Dados[Ticker do Ativo])="","",_xlfn.XLOOKUP(P92,Dados[Nomenclatura Ativo],Dados[Ticker do Ativo])),"")</f>
        <v/>
      </c>
    </row>
    <row r="93" spans="3:14">
      <c r="C93" t="s">
        <v>209</v>
      </c>
      <c r="H93" t="str">
        <f>IFERROR(IF(_xlfn.XLOOKUP(P93,Dados[Nomenclatura Ativo],Dados[Tipo do Ativo])="","",_xlfn.XLOOKUP(P93,Dados[Nomenclatura Ativo],Dados[Tipo do Ativo])),"")</f>
        <v/>
      </c>
      <c r="I93" t="str">
        <f>IFERROR(IF(_xlfn.XLOOKUP(P93,Dados[Nomenclatura Ativo],Dados[Emissor])="","",_xlfn.XLOOKUP(P93,Dados[Nomenclatura Ativo],Dados[Emissor])),"")</f>
        <v/>
      </c>
      <c r="J93" s="168" t="str">
        <f>IFERROR(IF(_xlfn.XLOOKUP(P93,Dados[Nomenclatura Ativo],Dados[Vencimento])="","",_xlfn.XLOOKUP(P93,Dados[Nomenclatura Ativo],Dados[Vencimento])),"")</f>
        <v/>
      </c>
      <c r="K93" t="str">
        <f>IFERROR(IF(_xlfn.XLOOKUP(P93,Dados[Nomenclatura Ativo],Dados[Remuneração])="","",_xlfn.XLOOKUP(P93,Dados[Nomenclatura Ativo],Dados[Remuneração])),"")</f>
        <v/>
      </c>
      <c r="L93" t="str">
        <f>IFERROR(IF(_xlfn.XLOOKUP(P93,Dados[Nomenclatura Ativo],Dados[Complemento])="","",_xlfn.XLOOKUP(P93,Dados[Nomenclatura Ativo],Dados[Complemento])),"")</f>
        <v/>
      </c>
      <c r="N93" t="str">
        <f>IFERROR(IF(_xlfn.XLOOKUP(P93,Dados[Nomenclatura Ativo],Dados[Ticker do Ativo])="","",_xlfn.XLOOKUP(P93,Dados[Nomenclatura Ativo],Dados[Ticker do Ativo])),"")</f>
        <v/>
      </c>
    </row>
    <row r="94" spans="3:14">
      <c r="C94" t="s">
        <v>209</v>
      </c>
      <c r="H94" t="str">
        <f>IFERROR(IF(_xlfn.XLOOKUP(P94,Dados[Nomenclatura Ativo],Dados[Tipo do Ativo])="","",_xlfn.XLOOKUP(P94,Dados[Nomenclatura Ativo],Dados[Tipo do Ativo])),"")</f>
        <v/>
      </c>
      <c r="I94" t="str">
        <f>IFERROR(IF(_xlfn.XLOOKUP(P94,Dados[Nomenclatura Ativo],Dados[Emissor])="","",_xlfn.XLOOKUP(P94,Dados[Nomenclatura Ativo],Dados[Emissor])),"")</f>
        <v/>
      </c>
      <c r="J94" s="168" t="str">
        <f>IFERROR(IF(_xlfn.XLOOKUP(P94,Dados[Nomenclatura Ativo],Dados[Vencimento])="","",_xlfn.XLOOKUP(P94,Dados[Nomenclatura Ativo],Dados[Vencimento])),"")</f>
        <v/>
      </c>
      <c r="K94" t="str">
        <f>IFERROR(IF(_xlfn.XLOOKUP(P94,Dados[Nomenclatura Ativo],Dados[Remuneração])="","",_xlfn.XLOOKUP(P94,Dados[Nomenclatura Ativo],Dados[Remuneração])),"")</f>
        <v/>
      </c>
      <c r="L94" t="str">
        <f>IFERROR(IF(_xlfn.XLOOKUP(P94,Dados[Nomenclatura Ativo],Dados[Complemento])="","",_xlfn.XLOOKUP(P94,Dados[Nomenclatura Ativo],Dados[Complemento])),"")</f>
        <v/>
      </c>
      <c r="N94" t="str">
        <f>IFERROR(IF(_xlfn.XLOOKUP(P94,Dados[Nomenclatura Ativo],Dados[Ticker do Ativo])="","",_xlfn.XLOOKUP(P94,Dados[Nomenclatura Ativo],Dados[Ticker do Ativo])),"")</f>
        <v/>
      </c>
    </row>
    <row r="95" spans="3:14">
      <c r="C95" t="s">
        <v>209</v>
      </c>
      <c r="H95" t="str">
        <f>IFERROR(IF(_xlfn.XLOOKUP(P95,Dados[Nomenclatura Ativo],Dados[Tipo do Ativo])="","",_xlfn.XLOOKUP(P95,Dados[Nomenclatura Ativo],Dados[Tipo do Ativo])),"")</f>
        <v/>
      </c>
      <c r="I95" t="str">
        <f>IFERROR(IF(_xlfn.XLOOKUP(P95,Dados[Nomenclatura Ativo],Dados[Emissor])="","",_xlfn.XLOOKUP(P95,Dados[Nomenclatura Ativo],Dados[Emissor])),"")</f>
        <v/>
      </c>
      <c r="J95" s="168" t="str">
        <f>IFERROR(IF(_xlfn.XLOOKUP(P95,Dados[Nomenclatura Ativo],Dados[Vencimento])="","",_xlfn.XLOOKUP(P95,Dados[Nomenclatura Ativo],Dados[Vencimento])),"")</f>
        <v/>
      </c>
      <c r="K95" t="str">
        <f>IFERROR(IF(_xlfn.XLOOKUP(P95,Dados[Nomenclatura Ativo],Dados[Remuneração])="","",_xlfn.XLOOKUP(P95,Dados[Nomenclatura Ativo],Dados[Remuneração])),"")</f>
        <v/>
      </c>
      <c r="L95" t="str">
        <f>IFERROR(IF(_xlfn.XLOOKUP(P95,Dados[Nomenclatura Ativo],Dados[Complemento])="","",_xlfn.XLOOKUP(P95,Dados[Nomenclatura Ativo],Dados[Complemento])),"")</f>
        <v/>
      </c>
      <c r="N95" t="str">
        <f>IFERROR(IF(_xlfn.XLOOKUP(P95,Dados[Nomenclatura Ativo],Dados[Ticker do Ativo])="","",_xlfn.XLOOKUP(P95,Dados[Nomenclatura Ativo],Dados[Ticker do Ativo])),"")</f>
        <v/>
      </c>
    </row>
    <row r="96" spans="3:14">
      <c r="C96" t="s">
        <v>209</v>
      </c>
      <c r="H96" t="str">
        <f>IFERROR(IF(_xlfn.XLOOKUP(P96,Dados[Nomenclatura Ativo],Dados[Tipo do Ativo])="","",_xlfn.XLOOKUP(P96,Dados[Nomenclatura Ativo],Dados[Tipo do Ativo])),"")</f>
        <v/>
      </c>
      <c r="I96" t="str">
        <f>IFERROR(IF(_xlfn.XLOOKUP(P96,Dados[Nomenclatura Ativo],Dados[Emissor])="","",_xlfn.XLOOKUP(P96,Dados[Nomenclatura Ativo],Dados[Emissor])),"")</f>
        <v/>
      </c>
      <c r="J96" s="168" t="str">
        <f>IFERROR(IF(_xlfn.XLOOKUP(P96,Dados[Nomenclatura Ativo],Dados[Vencimento])="","",_xlfn.XLOOKUP(P96,Dados[Nomenclatura Ativo],Dados[Vencimento])),"")</f>
        <v/>
      </c>
      <c r="K96" t="str">
        <f>IFERROR(IF(_xlfn.XLOOKUP(P96,Dados[Nomenclatura Ativo],Dados[Remuneração])="","",_xlfn.XLOOKUP(P96,Dados[Nomenclatura Ativo],Dados[Remuneração])),"")</f>
        <v/>
      </c>
      <c r="L96" t="str">
        <f>IFERROR(IF(_xlfn.XLOOKUP(P96,Dados[Nomenclatura Ativo],Dados[Complemento])="","",_xlfn.XLOOKUP(P96,Dados[Nomenclatura Ativo],Dados[Complemento])),"")</f>
        <v/>
      </c>
      <c r="N96" t="str">
        <f>IFERROR(IF(_xlfn.XLOOKUP(P96,Dados[Nomenclatura Ativo],Dados[Ticker do Ativo])="","",_xlfn.XLOOKUP(P96,Dados[Nomenclatura Ativo],Dados[Ticker do Ativo])),"")</f>
        <v/>
      </c>
    </row>
    <row r="97" spans="3:14">
      <c r="C97" t="s">
        <v>209</v>
      </c>
      <c r="H97" t="str">
        <f>IFERROR(IF(_xlfn.XLOOKUP(P97,Dados[Nomenclatura Ativo],Dados[Tipo do Ativo])="","",_xlfn.XLOOKUP(P97,Dados[Nomenclatura Ativo],Dados[Tipo do Ativo])),"")</f>
        <v/>
      </c>
      <c r="I97" t="str">
        <f>IFERROR(IF(_xlfn.XLOOKUP(P97,Dados[Nomenclatura Ativo],Dados[Emissor])="","",_xlfn.XLOOKUP(P97,Dados[Nomenclatura Ativo],Dados[Emissor])),"")</f>
        <v/>
      </c>
      <c r="J97" s="168" t="str">
        <f>IFERROR(IF(_xlfn.XLOOKUP(P97,Dados[Nomenclatura Ativo],Dados[Vencimento])="","",_xlfn.XLOOKUP(P97,Dados[Nomenclatura Ativo],Dados[Vencimento])),"")</f>
        <v/>
      </c>
      <c r="K97" t="str">
        <f>IFERROR(IF(_xlfn.XLOOKUP(P97,Dados[Nomenclatura Ativo],Dados[Remuneração])="","",_xlfn.XLOOKUP(P97,Dados[Nomenclatura Ativo],Dados[Remuneração])),"")</f>
        <v/>
      </c>
      <c r="L97" t="str">
        <f>IFERROR(IF(_xlfn.XLOOKUP(P97,Dados[Nomenclatura Ativo],Dados[Complemento])="","",_xlfn.XLOOKUP(P97,Dados[Nomenclatura Ativo],Dados[Complemento])),"")</f>
        <v/>
      </c>
      <c r="N97" t="str">
        <f>IFERROR(IF(_xlfn.XLOOKUP(P97,Dados[Nomenclatura Ativo],Dados[Ticker do Ativo])="","",_xlfn.XLOOKUP(P97,Dados[Nomenclatura Ativo],Dados[Ticker do Ativo])),"")</f>
        <v/>
      </c>
    </row>
    <row r="98" spans="3:14">
      <c r="C98" t="s">
        <v>209</v>
      </c>
      <c r="H98" t="str">
        <f>IFERROR(IF(_xlfn.XLOOKUP(P98,Dados[Nomenclatura Ativo],Dados[Tipo do Ativo])="","",_xlfn.XLOOKUP(P98,Dados[Nomenclatura Ativo],Dados[Tipo do Ativo])),"")</f>
        <v/>
      </c>
      <c r="I98" t="str">
        <f>IFERROR(IF(_xlfn.XLOOKUP(P98,Dados[Nomenclatura Ativo],Dados[Emissor])="","",_xlfn.XLOOKUP(P98,Dados[Nomenclatura Ativo],Dados[Emissor])),"")</f>
        <v/>
      </c>
      <c r="J98" s="168" t="str">
        <f>IFERROR(IF(_xlfn.XLOOKUP(P98,Dados[Nomenclatura Ativo],Dados[Vencimento])="","",_xlfn.XLOOKUP(P98,Dados[Nomenclatura Ativo],Dados[Vencimento])),"")</f>
        <v/>
      </c>
      <c r="K98" t="str">
        <f>IFERROR(IF(_xlfn.XLOOKUP(P98,Dados[Nomenclatura Ativo],Dados[Remuneração])="","",_xlfn.XLOOKUP(P98,Dados[Nomenclatura Ativo],Dados[Remuneração])),"")</f>
        <v/>
      </c>
      <c r="L98" t="str">
        <f>IFERROR(IF(_xlfn.XLOOKUP(P98,Dados[Nomenclatura Ativo],Dados[Complemento])="","",_xlfn.XLOOKUP(P98,Dados[Nomenclatura Ativo],Dados[Complemento])),"")</f>
        <v/>
      </c>
      <c r="N98" t="str">
        <f>IFERROR(IF(_xlfn.XLOOKUP(P98,Dados[Nomenclatura Ativo],Dados[Ticker do Ativo])="","",_xlfn.XLOOKUP(P98,Dados[Nomenclatura Ativo],Dados[Ticker do Ativo])),"")</f>
        <v/>
      </c>
    </row>
    <row r="99" spans="3:14">
      <c r="C99" t="s">
        <v>209</v>
      </c>
      <c r="H99" t="str">
        <f>IFERROR(IF(_xlfn.XLOOKUP(P99,Dados[Nomenclatura Ativo],Dados[Tipo do Ativo])="","",_xlfn.XLOOKUP(P99,Dados[Nomenclatura Ativo],Dados[Tipo do Ativo])),"")</f>
        <v/>
      </c>
      <c r="I99" t="str">
        <f>IFERROR(IF(_xlfn.XLOOKUP(P99,Dados[Nomenclatura Ativo],Dados[Emissor])="","",_xlfn.XLOOKUP(P99,Dados[Nomenclatura Ativo],Dados[Emissor])),"")</f>
        <v/>
      </c>
      <c r="J99" s="168" t="str">
        <f>IFERROR(IF(_xlfn.XLOOKUP(P99,Dados[Nomenclatura Ativo],Dados[Vencimento])="","",_xlfn.XLOOKUP(P99,Dados[Nomenclatura Ativo],Dados[Vencimento])),"")</f>
        <v/>
      </c>
      <c r="K99" t="str">
        <f>IFERROR(IF(_xlfn.XLOOKUP(P99,Dados[Nomenclatura Ativo],Dados[Remuneração])="","",_xlfn.XLOOKUP(P99,Dados[Nomenclatura Ativo],Dados[Remuneração])),"")</f>
        <v/>
      </c>
      <c r="L99" t="str">
        <f>IFERROR(IF(_xlfn.XLOOKUP(P99,Dados[Nomenclatura Ativo],Dados[Complemento])="","",_xlfn.XLOOKUP(P99,Dados[Nomenclatura Ativo],Dados[Complemento])),"")</f>
        <v/>
      </c>
      <c r="N99" t="str">
        <f>IFERROR(IF(_xlfn.XLOOKUP(P99,Dados[Nomenclatura Ativo],Dados[Ticker do Ativo])="","",_xlfn.XLOOKUP(P99,Dados[Nomenclatura Ativo],Dados[Ticker do Ativo])),"")</f>
        <v/>
      </c>
    </row>
    <row r="100" spans="3:14">
      <c r="C100" t="s">
        <v>209</v>
      </c>
      <c r="H100" t="str">
        <f>IFERROR(IF(_xlfn.XLOOKUP(P100,Dados[Nomenclatura Ativo],Dados[Tipo do Ativo])="","",_xlfn.XLOOKUP(P100,Dados[Nomenclatura Ativo],Dados[Tipo do Ativo])),"")</f>
        <v/>
      </c>
      <c r="I100" t="str">
        <f>IFERROR(IF(_xlfn.XLOOKUP(P100,Dados[Nomenclatura Ativo],Dados[Emissor])="","",_xlfn.XLOOKUP(P100,Dados[Nomenclatura Ativo],Dados[Emissor])),"")</f>
        <v/>
      </c>
      <c r="J100" s="168" t="str">
        <f>IFERROR(IF(_xlfn.XLOOKUP(P100,Dados[Nomenclatura Ativo],Dados[Vencimento])="","",_xlfn.XLOOKUP(P100,Dados[Nomenclatura Ativo],Dados[Vencimento])),"")</f>
        <v/>
      </c>
      <c r="K100" t="str">
        <f>IFERROR(IF(_xlfn.XLOOKUP(P100,Dados[Nomenclatura Ativo],Dados[Remuneração])="","",_xlfn.XLOOKUP(P100,Dados[Nomenclatura Ativo],Dados[Remuneração])),"")</f>
        <v/>
      </c>
      <c r="L100" t="str">
        <f>IFERROR(IF(_xlfn.XLOOKUP(P100,Dados[Nomenclatura Ativo],Dados[Complemento])="","",_xlfn.XLOOKUP(P100,Dados[Nomenclatura Ativo],Dados[Complemento])),"")</f>
        <v/>
      </c>
      <c r="N100" t="str">
        <f>IFERROR(IF(_xlfn.XLOOKUP(P100,Dados[Nomenclatura Ativo],Dados[Ticker do Ativo])="","",_xlfn.XLOOKUP(P100,Dados[Nomenclatura Ativo],Dados[Ticker do Ativo])),"")</f>
        <v/>
      </c>
    </row>
    <row r="101" spans="3:14">
      <c r="C101" t="s">
        <v>209</v>
      </c>
      <c r="H101" t="str">
        <f>IFERROR(IF(_xlfn.XLOOKUP(P101,Dados[Nomenclatura Ativo],Dados[Tipo do Ativo])="","",_xlfn.XLOOKUP(P101,Dados[Nomenclatura Ativo],Dados[Tipo do Ativo])),"")</f>
        <v/>
      </c>
      <c r="I101" t="str">
        <f>IFERROR(IF(_xlfn.XLOOKUP(P101,Dados[Nomenclatura Ativo],Dados[Emissor])="","",_xlfn.XLOOKUP(P101,Dados[Nomenclatura Ativo],Dados[Emissor])),"")</f>
        <v/>
      </c>
      <c r="J101" s="168" t="str">
        <f>IFERROR(IF(_xlfn.XLOOKUP(P101,Dados[Nomenclatura Ativo],Dados[Vencimento])="","",_xlfn.XLOOKUP(P101,Dados[Nomenclatura Ativo],Dados[Vencimento])),"")</f>
        <v/>
      </c>
      <c r="K101" t="str">
        <f>IFERROR(IF(_xlfn.XLOOKUP(P101,Dados[Nomenclatura Ativo],Dados[Remuneração])="","",_xlfn.XLOOKUP(P101,Dados[Nomenclatura Ativo],Dados[Remuneração])),"")</f>
        <v/>
      </c>
      <c r="L101" t="str">
        <f>IFERROR(IF(_xlfn.XLOOKUP(P101,Dados[Nomenclatura Ativo],Dados[Complemento])="","",_xlfn.XLOOKUP(P101,Dados[Nomenclatura Ativo],Dados[Complemento])),"")</f>
        <v/>
      </c>
      <c r="N101" t="str">
        <f>IFERROR(IF(_xlfn.XLOOKUP(P101,Dados[Nomenclatura Ativo],Dados[Ticker do Ativo])="","",_xlfn.XLOOKUP(P101,Dados[Nomenclatura Ativo],Dados[Ticker do Ativo])),"")</f>
        <v/>
      </c>
    </row>
    <row r="102" spans="3:14">
      <c r="C102" t="s">
        <v>209</v>
      </c>
      <c r="H102" t="str">
        <f>IFERROR(IF(_xlfn.XLOOKUP(P102,Dados[Nomenclatura Ativo],Dados[Tipo do Ativo])="","",_xlfn.XLOOKUP(P102,Dados[Nomenclatura Ativo],Dados[Tipo do Ativo])),"")</f>
        <v/>
      </c>
      <c r="I102" t="str">
        <f>IFERROR(IF(_xlfn.XLOOKUP(P102,Dados[Nomenclatura Ativo],Dados[Emissor])="","",_xlfn.XLOOKUP(P102,Dados[Nomenclatura Ativo],Dados[Emissor])),"")</f>
        <v/>
      </c>
      <c r="J102" s="168" t="str">
        <f>IFERROR(IF(_xlfn.XLOOKUP(P102,Dados[Nomenclatura Ativo],Dados[Vencimento])="","",_xlfn.XLOOKUP(P102,Dados[Nomenclatura Ativo],Dados[Vencimento])),"")</f>
        <v/>
      </c>
      <c r="K102" t="str">
        <f>IFERROR(IF(_xlfn.XLOOKUP(P102,Dados[Nomenclatura Ativo],Dados[Remuneração])="","",_xlfn.XLOOKUP(P102,Dados[Nomenclatura Ativo],Dados[Remuneração])),"")</f>
        <v/>
      </c>
      <c r="L102" t="str">
        <f>IFERROR(IF(_xlfn.XLOOKUP(P102,Dados[Nomenclatura Ativo],Dados[Complemento])="","",_xlfn.XLOOKUP(P102,Dados[Nomenclatura Ativo],Dados[Complemento])),"")</f>
        <v/>
      </c>
      <c r="N102" t="str">
        <f>IFERROR(IF(_xlfn.XLOOKUP(P102,Dados[Nomenclatura Ativo],Dados[Ticker do Ativo])="","",_xlfn.XLOOKUP(P102,Dados[Nomenclatura Ativo],Dados[Ticker do Ativo])),"")</f>
        <v/>
      </c>
    </row>
    <row r="103" spans="3:14">
      <c r="C103" t="s">
        <v>209</v>
      </c>
      <c r="H103" t="str">
        <f>IFERROR(IF(_xlfn.XLOOKUP(P103,Dados[Nomenclatura Ativo],Dados[Tipo do Ativo])="","",_xlfn.XLOOKUP(P103,Dados[Nomenclatura Ativo],Dados[Tipo do Ativo])),"")</f>
        <v/>
      </c>
      <c r="I103" t="str">
        <f>IFERROR(IF(_xlfn.XLOOKUP(P103,Dados[Nomenclatura Ativo],Dados[Emissor])="","",_xlfn.XLOOKUP(P103,Dados[Nomenclatura Ativo],Dados[Emissor])),"")</f>
        <v/>
      </c>
      <c r="J103" s="168" t="str">
        <f>IFERROR(IF(_xlfn.XLOOKUP(P103,Dados[Nomenclatura Ativo],Dados[Vencimento])="","",_xlfn.XLOOKUP(P103,Dados[Nomenclatura Ativo],Dados[Vencimento])),"")</f>
        <v/>
      </c>
      <c r="K103" t="str">
        <f>IFERROR(IF(_xlfn.XLOOKUP(P103,Dados[Nomenclatura Ativo],Dados[Remuneração])="","",_xlfn.XLOOKUP(P103,Dados[Nomenclatura Ativo],Dados[Remuneração])),"")</f>
        <v/>
      </c>
      <c r="L103" t="str">
        <f>IFERROR(IF(_xlfn.XLOOKUP(P103,Dados[Nomenclatura Ativo],Dados[Complemento])="","",_xlfn.XLOOKUP(P103,Dados[Nomenclatura Ativo],Dados[Complemento])),"")</f>
        <v/>
      </c>
      <c r="N103" t="str">
        <f>IFERROR(IF(_xlfn.XLOOKUP(P103,Dados[Nomenclatura Ativo],Dados[Ticker do Ativo])="","",_xlfn.XLOOKUP(P103,Dados[Nomenclatura Ativo],Dados[Ticker do Ativo])),"")</f>
        <v/>
      </c>
    </row>
    <row r="104" spans="3:14">
      <c r="C104" t="s">
        <v>209</v>
      </c>
      <c r="H104" t="str">
        <f>IFERROR(IF(_xlfn.XLOOKUP(P104,Dados[Nomenclatura Ativo],Dados[Tipo do Ativo])="","",_xlfn.XLOOKUP(P104,Dados[Nomenclatura Ativo],Dados[Tipo do Ativo])),"")</f>
        <v/>
      </c>
      <c r="I104" t="str">
        <f>IFERROR(IF(_xlfn.XLOOKUP(P104,Dados[Nomenclatura Ativo],Dados[Emissor])="","",_xlfn.XLOOKUP(P104,Dados[Nomenclatura Ativo],Dados[Emissor])),"")</f>
        <v/>
      </c>
      <c r="J104" s="168" t="str">
        <f>IFERROR(IF(_xlfn.XLOOKUP(P104,Dados[Nomenclatura Ativo],Dados[Vencimento])="","",_xlfn.XLOOKUP(P104,Dados[Nomenclatura Ativo],Dados[Vencimento])),"")</f>
        <v/>
      </c>
      <c r="K104" t="str">
        <f>IFERROR(IF(_xlfn.XLOOKUP(P104,Dados[Nomenclatura Ativo],Dados[Remuneração])="","",_xlfn.XLOOKUP(P104,Dados[Nomenclatura Ativo],Dados[Remuneração])),"")</f>
        <v/>
      </c>
      <c r="L104" t="str">
        <f>IFERROR(IF(_xlfn.XLOOKUP(P104,Dados[Nomenclatura Ativo],Dados[Complemento])="","",_xlfn.XLOOKUP(P104,Dados[Nomenclatura Ativo],Dados[Complemento])),"")</f>
        <v/>
      </c>
      <c r="N104" t="str">
        <f>IFERROR(IF(_xlfn.XLOOKUP(P104,Dados[Nomenclatura Ativo],Dados[Ticker do Ativo])="","",_xlfn.XLOOKUP(P104,Dados[Nomenclatura Ativo],Dados[Ticker do Ativo])),"")</f>
        <v/>
      </c>
    </row>
    <row r="105" spans="3:14">
      <c r="C105" t="s">
        <v>209</v>
      </c>
      <c r="H105" t="str">
        <f>IFERROR(IF(_xlfn.XLOOKUP(P105,Dados[Nomenclatura Ativo],Dados[Tipo do Ativo])="","",_xlfn.XLOOKUP(P105,Dados[Nomenclatura Ativo],Dados[Tipo do Ativo])),"")</f>
        <v/>
      </c>
      <c r="I105" t="str">
        <f>IFERROR(IF(_xlfn.XLOOKUP(P105,Dados[Nomenclatura Ativo],Dados[Emissor])="","",_xlfn.XLOOKUP(P105,Dados[Nomenclatura Ativo],Dados[Emissor])),"")</f>
        <v/>
      </c>
      <c r="J105" s="168" t="str">
        <f>IFERROR(IF(_xlfn.XLOOKUP(P105,Dados[Nomenclatura Ativo],Dados[Vencimento])="","",_xlfn.XLOOKUP(P105,Dados[Nomenclatura Ativo],Dados[Vencimento])),"")</f>
        <v/>
      </c>
      <c r="K105" t="str">
        <f>IFERROR(IF(_xlfn.XLOOKUP(P105,Dados[Nomenclatura Ativo],Dados[Remuneração])="","",_xlfn.XLOOKUP(P105,Dados[Nomenclatura Ativo],Dados[Remuneração])),"")</f>
        <v/>
      </c>
      <c r="L105" t="str">
        <f>IFERROR(IF(_xlfn.XLOOKUP(P105,Dados[Nomenclatura Ativo],Dados[Complemento])="","",_xlfn.XLOOKUP(P105,Dados[Nomenclatura Ativo],Dados[Complemento])),"")</f>
        <v/>
      </c>
      <c r="N105" t="str">
        <f>IFERROR(IF(_xlfn.XLOOKUP(P105,Dados[Nomenclatura Ativo],Dados[Ticker do Ativo])="","",_xlfn.XLOOKUP(P105,Dados[Nomenclatura Ativo],Dados[Ticker do Ativo])),"")</f>
        <v/>
      </c>
    </row>
    <row r="106" spans="3:14">
      <c r="C106" t="s">
        <v>209</v>
      </c>
      <c r="H106" t="str">
        <f>IFERROR(IF(_xlfn.XLOOKUP(P106,Dados[Nomenclatura Ativo],Dados[Tipo do Ativo])="","",_xlfn.XLOOKUP(P106,Dados[Nomenclatura Ativo],Dados[Tipo do Ativo])),"")</f>
        <v/>
      </c>
      <c r="I106" t="str">
        <f>IFERROR(IF(_xlfn.XLOOKUP(P106,Dados[Nomenclatura Ativo],Dados[Emissor])="","",_xlfn.XLOOKUP(P106,Dados[Nomenclatura Ativo],Dados[Emissor])),"")</f>
        <v/>
      </c>
      <c r="J106" s="168" t="str">
        <f>IFERROR(IF(_xlfn.XLOOKUP(P106,Dados[Nomenclatura Ativo],Dados[Vencimento])="","",_xlfn.XLOOKUP(P106,Dados[Nomenclatura Ativo],Dados[Vencimento])),"")</f>
        <v/>
      </c>
      <c r="K106" t="str">
        <f>IFERROR(IF(_xlfn.XLOOKUP(P106,Dados[Nomenclatura Ativo],Dados[Remuneração])="","",_xlfn.XLOOKUP(P106,Dados[Nomenclatura Ativo],Dados[Remuneração])),"")</f>
        <v/>
      </c>
      <c r="L106" t="str">
        <f>IFERROR(IF(_xlfn.XLOOKUP(P106,Dados[Nomenclatura Ativo],Dados[Complemento])="","",_xlfn.XLOOKUP(P106,Dados[Nomenclatura Ativo],Dados[Complemento])),"")</f>
        <v/>
      </c>
      <c r="N106" t="str">
        <f>IFERROR(IF(_xlfn.XLOOKUP(P106,Dados[Nomenclatura Ativo],Dados[Ticker do Ativo])="","",_xlfn.XLOOKUP(P106,Dados[Nomenclatura Ativo],Dados[Ticker do Ativo])),"")</f>
        <v/>
      </c>
    </row>
    <row r="107" spans="3:14">
      <c r="C107" t="s">
        <v>209</v>
      </c>
      <c r="H107" t="str">
        <f>IFERROR(IF(_xlfn.XLOOKUP(P107,Dados[Nomenclatura Ativo],Dados[Tipo do Ativo])="","",_xlfn.XLOOKUP(P107,Dados[Nomenclatura Ativo],Dados[Tipo do Ativo])),"")</f>
        <v/>
      </c>
      <c r="I107" t="str">
        <f>IFERROR(IF(_xlfn.XLOOKUP(P107,Dados[Nomenclatura Ativo],Dados[Emissor])="","",_xlfn.XLOOKUP(P107,Dados[Nomenclatura Ativo],Dados[Emissor])),"")</f>
        <v/>
      </c>
      <c r="J107" s="168" t="str">
        <f>IFERROR(IF(_xlfn.XLOOKUP(P107,Dados[Nomenclatura Ativo],Dados[Vencimento])="","",_xlfn.XLOOKUP(P107,Dados[Nomenclatura Ativo],Dados[Vencimento])),"")</f>
        <v/>
      </c>
      <c r="K107" t="str">
        <f>IFERROR(IF(_xlfn.XLOOKUP(P107,Dados[Nomenclatura Ativo],Dados[Remuneração])="","",_xlfn.XLOOKUP(P107,Dados[Nomenclatura Ativo],Dados[Remuneração])),"")</f>
        <v/>
      </c>
      <c r="L107" t="str">
        <f>IFERROR(IF(_xlfn.XLOOKUP(P107,Dados[Nomenclatura Ativo],Dados[Complemento])="","",_xlfn.XLOOKUP(P107,Dados[Nomenclatura Ativo],Dados[Complemento])),"")</f>
        <v/>
      </c>
      <c r="N107" t="str">
        <f>IFERROR(IF(_xlfn.XLOOKUP(P107,Dados[Nomenclatura Ativo],Dados[Ticker do Ativo])="","",_xlfn.XLOOKUP(P107,Dados[Nomenclatura Ativo],Dados[Ticker do Ativo])),"")</f>
        <v/>
      </c>
    </row>
    <row r="108" spans="3:14">
      <c r="C108" t="s">
        <v>209</v>
      </c>
      <c r="H108" t="str">
        <f>IFERROR(IF(_xlfn.XLOOKUP(P108,Dados[Nomenclatura Ativo],Dados[Tipo do Ativo])="","",_xlfn.XLOOKUP(P108,Dados[Nomenclatura Ativo],Dados[Tipo do Ativo])),"")</f>
        <v/>
      </c>
      <c r="I108" t="str">
        <f>IFERROR(IF(_xlfn.XLOOKUP(P108,Dados[Nomenclatura Ativo],Dados[Emissor])="","",_xlfn.XLOOKUP(P108,Dados[Nomenclatura Ativo],Dados[Emissor])),"")</f>
        <v/>
      </c>
      <c r="J108" s="168" t="str">
        <f>IFERROR(IF(_xlfn.XLOOKUP(P108,Dados[Nomenclatura Ativo],Dados[Vencimento])="","",_xlfn.XLOOKUP(P108,Dados[Nomenclatura Ativo],Dados[Vencimento])),"")</f>
        <v/>
      </c>
      <c r="K108" t="str">
        <f>IFERROR(IF(_xlfn.XLOOKUP(P108,Dados[Nomenclatura Ativo],Dados[Remuneração])="","",_xlfn.XLOOKUP(P108,Dados[Nomenclatura Ativo],Dados[Remuneração])),"")</f>
        <v/>
      </c>
      <c r="L108" t="str">
        <f>IFERROR(IF(_xlfn.XLOOKUP(P108,Dados[Nomenclatura Ativo],Dados[Complemento])="","",_xlfn.XLOOKUP(P108,Dados[Nomenclatura Ativo],Dados[Complemento])),"")</f>
        <v/>
      </c>
      <c r="N108" t="str">
        <f>IFERROR(IF(_xlfn.XLOOKUP(P108,Dados[Nomenclatura Ativo],Dados[Ticker do Ativo])="","",_xlfn.XLOOKUP(P108,Dados[Nomenclatura Ativo],Dados[Ticker do Ativo])),"")</f>
        <v/>
      </c>
    </row>
    <row r="109" spans="3:14">
      <c r="C109" t="s">
        <v>209</v>
      </c>
      <c r="H109" t="str">
        <f>IFERROR(IF(_xlfn.XLOOKUP(P109,Dados[Nomenclatura Ativo],Dados[Tipo do Ativo])="","",_xlfn.XLOOKUP(P109,Dados[Nomenclatura Ativo],Dados[Tipo do Ativo])),"")</f>
        <v/>
      </c>
      <c r="I109" t="str">
        <f>IFERROR(IF(_xlfn.XLOOKUP(P109,Dados[Nomenclatura Ativo],Dados[Emissor])="","",_xlfn.XLOOKUP(P109,Dados[Nomenclatura Ativo],Dados[Emissor])),"")</f>
        <v/>
      </c>
      <c r="J109" s="168" t="str">
        <f>IFERROR(IF(_xlfn.XLOOKUP(P109,Dados[Nomenclatura Ativo],Dados[Vencimento])="","",_xlfn.XLOOKUP(P109,Dados[Nomenclatura Ativo],Dados[Vencimento])),"")</f>
        <v/>
      </c>
      <c r="K109" t="str">
        <f>IFERROR(IF(_xlfn.XLOOKUP(P109,Dados[Nomenclatura Ativo],Dados[Remuneração])="","",_xlfn.XLOOKUP(P109,Dados[Nomenclatura Ativo],Dados[Remuneração])),"")</f>
        <v/>
      </c>
      <c r="L109" t="str">
        <f>IFERROR(IF(_xlfn.XLOOKUP(P109,Dados[Nomenclatura Ativo],Dados[Complemento])="","",_xlfn.XLOOKUP(P109,Dados[Nomenclatura Ativo],Dados[Complemento])),"")</f>
        <v/>
      </c>
      <c r="N109" t="str">
        <f>IFERROR(IF(_xlfn.XLOOKUP(P109,Dados[Nomenclatura Ativo],Dados[Ticker do Ativo])="","",_xlfn.XLOOKUP(P109,Dados[Nomenclatura Ativo],Dados[Ticker do Ativo])),"")</f>
        <v/>
      </c>
    </row>
    <row r="110" spans="3:14">
      <c r="C110" t="s">
        <v>209</v>
      </c>
      <c r="H110" t="str">
        <f>IFERROR(IF(_xlfn.XLOOKUP(P110,Dados[Nomenclatura Ativo],Dados[Tipo do Ativo])="","",_xlfn.XLOOKUP(P110,Dados[Nomenclatura Ativo],Dados[Tipo do Ativo])),"")</f>
        <v/>
      </c>
      <c r="I110" t="str">
        <f>IFERROR(IF(_xlfn.XLOOKUP(P110,Dados[Nomenclatura Ativo],Dados[Emissor])="","",_xlfn.XLOOKUP(P110,Dados[Nomenclatura Ativo],Dados[Emissor])),"")</f>
        <v/>
      </c>
      <c r="J110" s="168" t="str">
        <f>IFERROR(IF(_xlfn.XLOOKUP(P110,Dados[Nomenclatura Ativo],Dados[Vencimento])="","",_xlfn.XLOOKUP(P110,Dados[Nomenclatura Ativo],Dados[Vencimento])),"")</f>
        <v/>
      </c>
      <c r="K110" t="str">
        <f>IFERROR(IF(_xlfn.XLOOKUP(P110,Dados[Nomenclatura Ativo],Dados[Remuneração])="","",_xlfn.XLOOKUP(P110,Dados[Nomenclatura Ativo],Dados[Remuneração])),"")</f>
        <v/>
      </c>
      <c r="L110" t="str">
        <f>IFERROR(IF(_xlfn.XLOOKUP(P110,Dados[Nomenclatura Ativo],Dados[Complemento])="","",_xlfn.XLOOKUP(P110,Dados[Nomenclatura Ativo],Dados[Complemento])),"")</f>
        <v/>
      </c>
      <c r="N110" t="str">
        <f>IFERROR(IF(_xlfn.XLOOKUP(P110,Dados[Nomenclatura Ativo],Dados[Ticker do Ativo])="","",_xlfn.XLOOKUP(P110,Dados[Nomenclatura Ativo],Dados[Ticker do Ativo])),"")</f>
        <v/>
      </c>
    </row>
    <row r="111" spans="3:14">
      <c r="C111" t="s">
        <v>209</v>
      </c>
      <c r="H111" t="str">
        <f>IFERROR(IF(_xlfn.XLOOKUP(P111,Dados[Nomenclatura Ativo],Dados[Tipo do Ativo])="","",_xlfn.XLOOKUP(P111,Dados[Nomenclatura Ativo],Dados[Tipo do Ativo])),"")</f>
        <v/>
      </c>
      <c r="I111" t="str">
        <f>IFERROR(IF(_xlfn.XLOOKUP(P111,Dados[Nomenclatura Ativo],Dados[Emissor])="","",_xlfn.XLOOKUP(P111,Dados[Nomenclatura Ativo],Dados[Emissor])),"")</f>
        <v/>
      </c>
      <c r="J111" s="168" t="str">
        <f>IFERROR(IF(_xlfn.XLOOKUP(P111,Dados[Nomenclatura Ativo],Dados[Vencimento])="","",_xlfn.XLOOKUP(P111,Dados[Nomenclatura Ativo],Dados[Vencimento])),"")</f>
        <v/>
      </c>
      <c r="K111" t="str">
        <f>IFERROR(IF(_xlfn.XLOOKUP(P111,Dados[Nomenclatura Ativo],Dados[Remuneração])="","",_xlfn.XLOOKUP(P111,Dados[Nomenclatura Ativo],Dados[Remuneração])),"")</f>
        <v/>
      </c>
      <c r="L111" t="str">
        <f>IFERROR(IF(_xlfn.XLOOKUP(P111,Dados[Nomenclatura Ativo],Dados[Complemento])="","",_xlfn.XLOOKUP(P111,Dados[Nomenclatura Ativo],Dados[Complemento])),"")</f>
        <v/>
      </c>
      <c r="N111" t="str">
        <f>IFERROR(IF(_xlfn.XLOOKUP(P111,Dados[Nomenclatura Ativo],Dados[Ticker do Ativo])="","",_xlfn.XLOOKUP(P111,Dados[Nomenclatura Ativo],Dados[Ticker do Ativo])),"")</f>
        <v/>
      </c>
    </row>
    <row r="112" spans="3:14">
      <c r="C112" t="s">
        <v>209</v>
      </c>
      <c r="H112" t="str">
        <f>IFERROR(IF(_xlfn.XLOOKUP(P112,Dados[Nomenclatura Ativo],Dados[Tipo do Ativo])="","",_xlfn.XLOOKUP(P112,Dados[Nomenclatura Ativo],Dados[Tipo do Ativo])),"")</f>
        <v/>
      </c>
      <c r="I112" t="str">
        <f>IFERROR(IF(_xlfn.XLOOKUP(P112,Dados[Nomenclatura Ativo],Dados[Emissor])="","",_xlfn.XLOOKUP(P112,Dados[Nomenclatura Ativo],Dados[Emissor])),"")</f>
        <v/>
      </c>
      <c r="J112" s="168" t="str">
        <f>IFERROR(IF(_xlfn.XLOOKUP(P112,Dados[Nomenclatura Ativo],Dados[Vencimento])="","",_xlfn.XLOOKUP(P112,Dados[Nomenclatura Ativo],Dados[Vencimento])),"")</f>
        <v/>
      </c>
      <c r="K112" t="str">
        <f>IFERROR(IF(_xlfn.XLOOKUP(P112,Dados[Nomenclatura Ativo],Dados[Remuneração])="","",_xlfn.XLOOKUP(P112,Dados[Nomenclatura Ativo],Dados[Remuneração])),"")</f>
        <v/>
      </c>
      <c r="L112" t="str">
        <f>IFERROR(IF(_xlfn.XLOOKUP(P112,Dados[Nomenclatura Ativo],Dados[Complemento])="","",_xlfn.XLOOKUP(P112,Dados[Nomenclatura Ativo],Dados[Complemento])),"")</f>
        <v/>
      </c>
      <c r="N112" t="str">
        <f>IFERROR(IF(_xlfn.XLOOKUP(P112,Dados[Nomenclatura Ativo],Dados[Ticker do Ativo])="","",_xlfn.XLOOKUP(P112,Dados[Nomenclatura Ativo],Dados[Ticker do Ativo])),"")</f>
        <v/>
      </c>
    </row>
    <row r="113" spans="3:14">
      <c r="C113" t="s">
        <v>209</v>
      </c>
      <c r="H113" t="str">
        <f>IFERROR(IF(_xlfn.XLOOKUP(P113,Dados[Nomenclatura Ativo],Dados[Tipo do Ativo])="","",_xlfn.XLOOKUP(P113,Dados[Nomenclatura Ativo],Dados[Tipo do Ativo])),"")</f>
        <v/>
      </c>
      <c r="I113" t="str">
        <f>IFERROR(IF(_xlfn.XLOOKUP(P113,Dados[Nomenclatura Ativo],Dados[Emissor])="","",_xlfn.XLOOKUP(P113,Dados[Nomenclatura Ativo],Dados[Emissor])),"")</f>
        <v/>
      </c>
      <c r="J113" s="168" t="str">
        <f>IFERROR(IF(_xlfn.XLOOKUP(P113,Dados[Nomenclatura Ativo],Dados[Vencimento])="","",_xlfn.XLOOKUP(P113,Dados[Nomenclatura Ativo],Dados[Vencimento])),"")</f>
        <v/>
      </c>
      <c r="K113" t="str">
        <f>IFERROR(IF(_xlfn.XLOOKUP(P113,Dados[Nomenclatura Ativo],Dados[Remuneração])="","",_xlfn.XLOOKUP(P113,Dados[Nomenclatura Ativo],Dados[Remuneração])),"")</f>
        <v/>
      </c>
      <c r="L113" t="str">
        <f>IFERROR(IF(_xlfn.XLOOKUP(P113,Dados[Nomenclatura Ativo],Dados[Complemento])="","",_xlfn.XLOOKUP(P113,Dados[Nomenclatura Ativo],Dados[Complemento])),"")</f>
        <v/>
      </c>
      <c r="N113" t="str">
        <f>IFERROR(IF(_xlfn.XLOOKUP(P113,Dados[Nomenclatura Ativo],Dados[Ticker do Ativo])="","",_xlfn.XLOOKUP(P113,Dados[Nomenclatura Ativo],Dados[Ticker do Ativo])),"")</f>
        <v/>
      </c>
    </row>
    <row r="114" spans="3:14">
      <c r="C114" t="s">
        <v>209</v>
      </c>
      <c r="H114" t="str">
        <f>IFERROR(IF(_xlfn.XLOOKUP(P114,Dados[Nomenclatura Ativo],Dados[Tipo do Ativo])="","",_xlfn.XLOOKUP(P114,Dados[Nomenclatura Ativo],Dados[Tipo do Ativo])),"")</f>
        <v/>
      </c>
      <c r="I114" t="str">
        <f>IFERROR(IF(_xlfn.XLOOKUP(P114,Dados[Nomenclatura Ativo],Dados[Emissor])="","",_xlfn.XLOOKUP(P114,Dados[Nomenclatura Ativo],Dados[Emissor])),"")</f>
        <v/>
      </c>
      <c r="J114" s="168" t="str">
        <f>IFERROR(IF(_xlfn.XLOOKUP(P114,Dados[Nomenclatura Ativo],Dados[Vencimento])="","",_xlfn.XLOOKUP(P114,Dados[Nomenclatura Ativo],Dados[Vencimento])),"")</f>
        <v/>
      </c>
      <c r="K114" t="str">
        <f>IFERROR(IF(_xlfn.XLOOKUP(P114,Dados[Nomenclatura Ativo],Dados[Remuneração])="","",_xlfn.XLOOKUP(P114,Dados[Nomenclatura Ativo],Dados[Remuneração])),"")</f>
        <v/>
      </c>
      <c r="L114" t="str">
        <f>IFERROR(IF(_xlfn.XLOOKUP(P114,Dados[Nomenclatura Ativo],Dados[Complemento])="","",_xlfn.XLOOKUP(P114,Dados[Nomenclatura Ativo],Dados[Complemento])),"")</f>
        <v/>
      </c>
      <c r="N114" t="str">
        <f>IFERROR(IF(_xlfn.XLOOKUP(P114,Dados[Nomenclatura Ativo],Dados[Ticker do Ativo])="","",_xlfn.XLOOKUP(P114,Dados[Nomenclatura Ativo],Dados[Ticker do Ativo])),"")</f>
        <v/>
      </c>
    </row>
    <row r="115" spans="3:14">
      <c r="C115" t="s">
        <v>209</v>
      </c>
      <c r="H115" t="str">
        <f>IFERROR(IF(_xlfn.XLOOKUP(P115,Dados[Nomenclatura Ativo],Dados[Tipo do Ativo])="","",_xlfn.XLOOKUP(P115,Dados[Nomenclatura Ativo],Dados[Tipo do Ativo])),"")</f>
        <v/>
      </c>
      <c r="I115" t="str">
        <f>IFERROR(IF(_xlfn.XLOOKUP(P115,Dados[Nomenclatura Ativo],Dados[Emissor])="","",_xlfn.XLOOKUP(P115,Dados[Nomenclatura Ativo],Dados[Emissor])),"")</f>
        <v/>
      </c>
      <c r="J115" s="168" t="str">
        <f>IFERROR(IF(_xlfn.XLOOKUP(P115,Dados[Nomenclatura Ativo],Dados[Vencimento])="","",_xlfn.XLOOKUP(P115,Dados[Nomenclatura Ativo],Dados[Vencimento])),"")</f>
        <v/>
      </c>
      <c r="K115" t="str">
        <f>IFERROR(IF(_xlfn.XLOOKUP(P115,Dados[Nomenclatura Ativo],Dados[Remuneração])="","",_xlfn.XLOOKUP(P115,Dados[Nomenclatura Ativo],Dados[Remuneração])),"")</f>
        <v/>
      </c>
      <c r="L115" t="str">
        <f>IFERROR(IF(_xlfn.XLOOKUP(P115,Dados[Nomenclatura Ativo],Dados[Complemento])="","",_xlfn.XLOOKUP(P115,Dados[Nomenclatura Ativo],Dados[Complemento])),"")</f>
        <v/>
      </c>
      <c r="N115" t="str">
        <f>IFERROR(IF(_xlfn.XLOOKUP(P115,Dados[Nomenclatura Ativo],Dados[Ticker do Ativo])="","",_xlfn.XLOOKUP(P115,Dados[Nomenclatura Ativo],Dados[Ticker do Ativo])),"")</f>
        <v/>
      </c>
    </row>
    <row r="116" spans="3:14">
      <c r="C116" t="s">
        <v>209</v>
      </c>
      <c r="H116" t="str">
        <f>IFERROR(IF(_xlfn.XLOOKUP(P116,Dados[Nomenclatura Ativo],Dados[Tipo do Ativo])="","",_xlfn.XLOOKUP(P116,Dados[Nomenclatura Ativo],Dados[Tipo do Ativo])),"")</f>
        <v/>
      </c>
      <c r="I116" t="str">
        <f>IFERROR(IF(_xlfn.XLOOKUP(P116,Dados[Nomenclatura Ativo],Dados[Emissor])="","",_xlfn.XLOOKUP(P116,Dados[Nomenclatura Ativo],Dados[Emissor])),"")</f>
        <v/>
      </c>
      <c r="J116" s="168" t="str">
        <f>IFERROR(IF(_xlfn.XLOOKUP(P116,Dados[Nomenclatura Ativo],Dados[Vencimento])="","",_xlfn.XLOOKUP(P116,Dados[Nomenclatura Ativo],Dados[Vencimento])),"")</f>
        <v/>
      </c>
      <c r="K116" t="str">
        <f>IFERROR(IF(_xlfn.XLOOKUP(P116,Dados[Nomenclatura Ativo],Dados[Remuneração])="","",_xlfn.XLOOKUP(P116,Dados[Nomenclatura Ativo],Dados[Remuneração])),"")</f>
        <v/>
      </c>
      <c r="L116" t="str">
        <f>IFERROR(IF(_xlfn.XLOOKUP(P116,Dados[Nomenclatura Ativo],Dados[Complemento])="","",_xlfn.XLOOKUP(P116,Dados[Nomenclatura Ativo],Dados[Complemento])),"")</f>
        <v/>
      </c>
      <c r="N116" t="str">
        <f>IFERROR(IF(_xlfn.XLOOKUP(P116,Dados[Nomenclatura Ativo],Dados[Ticker do Ativo])="","",_xlfn.XLOOKUP(P116,Dados[Nomenclatura Ativo],Dados[Ticker do Ativo])),"")</f>
        <v/>
      </c>
    </row>
    <row r="117" spans="3:14">
      <c r="C117" t="s">
        <v>209</v>
      </c>
      <c r="H117" t="str">
        <f>IFERROR(IF(_xlfn.XLOOKUP(P117,Dados[Nomenclatura Ativo],Dados[Tipo do Ativo])="","",_xlfn.XLOOKUP(P117,Dados[Nomenclatura Ativo],Dados[Tipo do Ativo])),"")</f>
        <v/>
      </c>
      <c r="I117" t="str">
        <f>IFERROR(IF(_xlfn.XLOOKUP(P117,Dados[Nomenclatura Ativo],Dados[Emissor])="","",_xlfn.XLOOKUP(P117,Dados[Nomenclatura Ativo],Dados[Emissor])),"")</f>
        <v/>
      </c>
      <c r="J117" s="168" t="str">
        <f>IFERROR(IF(_xlfn.XLOOKUP(P117,Dados[Nomenclatura Ativo],Dados[Vencimento])="","",_xlfn.XLOOKUP(P117,Dados[Nomenclatura Ativo],Dados[Vencimento])),"")</f>
        <v/>
      </c>
      <c r="K117" t="str">
        <f>IFERROR(IF(_xlfn.XLOOKUP(P117,Dados[Nomenclatura Ativo],Dados[Remuneração])="","",_xlfn.XLOOKUP(P117,Dados[Nomenclatura Ativo],Dados[Remuneração])),"")</f>
        <v/>
      </c>
      <c r="L117" t="str">
        <f>IFERROR(IF(_xlfn.XLOOKUP(P117,Dados[Nomenclatura Ativo],Dados[Complemento])="","",_xlfn.XLOOKUP(P117,Dados[Nomenclatura Ativo],Dados[Complemento])),"")</f>
        <v/>
      </c>
      <c r="N117" t="str">
        <f>IFERROR(IF(_xlfn.XLOOKUP(P117,Dados[Nomenclatura Ativo],Dados[Ticker do Ativo])="","",_xlfn.XLOOKUP(P117,Dados[Nomenclatura Ativo],Dados[Ticker do Ativo])),"")</f>
        <v/>
      </c>
    </row>
    <row r="118" spans="3:14">
      <c r="C118" t="s">
        <v>209</v>
      </c>
      <c r="H118" t="str">
        <f>IFERROR(IF(_xlfn.XLOOKUP(P118,Dados[Nomenclatura Ativo],Dados[Tipo do Ativo])="","",_xlfn.XLOOKUP(P118,Dados[Nomenclatura Ativo],Dados[Tipo do Ativo])),"")</f>
        <v/>
      </c>
      <c r="I118" t="str">
        <f>IFERROR(IF(_xlfn.XLOOKUP(P118,Dados[Nomenclatura Ativo],Dados[Emissor])="","",_xlfn.XLOOKUP(P118,Dados[Nomenclatura Ativo],Dados[Emissor])),"")</f>
        <v/>
      </c>
      <c r="J118" s="168" t="str">
        <f>IFERROR(IF(_xlfn.XLOOKUP(P118,Dados[Nomenclatura Ativo],Dados[Vencimento])="","",_xlfn.XLOOKUP(P118,Dados[Nomenclatura Ativo],Dados[Vencimento])),"")</f>
        <v/>
      </c>
      <c r="K118" t="str">
        <f>IFERROR(IF(_xlfn.XLOOKUP(P118,Dados[Nomenclatura Ativo],Dados[Remuneração])="","",_xlfn.XLOOKUP(P118,Dados[Nomenclatura Ativo],Dados[Remuneração])),"")</f>
        <v/>
      </c>
      <c r="L118" t="str">
        <f>IFERROR(IF(_xlfn.XLOOKUP(P118,Dados[Nomenclatura Ativo],Dados[Complemento])="","",_xlfn.XLOOKUP(P118,Dados[Nomenclatura Ativo],Dados[Complemento])),"")</f>
        <v/>
      </c>
      <c r="N118" t="str">
        <f>IFERROR(IF(_xlfn.XLOOKUP(P118,Dados[Nomenclatura Ativo],Dados[Ticker do Ativo])="","",_xlfn.XLOOKUP(P118,Dados[Nomenclatura Ativo],Dados[Ticker do Ativo])),"")</f>
        <v/>
      </c>
    </row>
    <row r="119" spans="3:14">
      <c r="C119" t="s">
        <v>209</v>
      </c>
      <c r="H119" t="str">
        <f>IFERROR(IF(_xlfn.XLOOKUP(P119,Dados[Nomenclatura Ativo],Dados[Tipo do Ativo])="","",_xlfn.XLOOKUP(P119,Dados[Nomenclatura Ativo],Dados[Tipo do Ativo])),"")</f>
        <v/>
      </c>
      <c r="I119" t="str">
        <f>IFERROR(IF(_xlfn.XLOOKUP(P119,Dados[Nomenclatura Ativo],Dados[Emissor])="","",_xlfn.XLOOKUP(P119,Dados[Nomenclatura Ativo],Dados[Emissor])),"")</f>
        <v/>
      </c>
      <c r="J119" s="168" t="str">
        <f>IFERROR(IF(_xlfn.XLOOKUP(P119,Dados[Nomenclatura Ativo],Dados[Vencimento])="","",_xlfn.XLOOKUP(P119,Dados[Nomenclatura Ativo],Dados[Vencimento])),"")</f>
        <v/>
      </c>
      <c r="K119" t="str">
        <f>IFERROR(IF(_xlfn.XLOOKUP(P119,Dados[Nomenclatura Ativo],Dados[Remuneração])="","",_xlfn.XLOOKUP(P119,Dados[Nomenclatura Ativo],Dados[Remuneração])),"")</f>
        <v/>
      </c>
      <c r="L119" t="str">
        <f>IFERROR(IF(_xlfn.XLOOKUP(P119,Dados[Nomenclatura Ativo],Dados[Complemento])="","",_xlfn.XLOOKUP(P119,Dados[Nomenclatura Ativo],Dados[Complemento])),"")</f>
        <v/>
      </c>
      <c r="N119" t="str">
        <f>IFERROR(IF(_xlfn.XLOOKUP(P119,Dados[Nomenclatura Ativo],Dados[Ticker do Ativo])="","",_xlfn.XLOOKUP(P119,Dados[Nomenclatura Ativo],Dados[Ticker do Ativo])),"")</f>
        <v/>
      </c>
    </row>
    <row r="120" spans="3:14">
      <c r="C120" t="s">
        <v>209</v>
      </c>
      <c r="H120" t="str">
        <f>IFERROR(IF(_xlfn.XLOOKUP(P120,Dados[Nomenclatura Ativo],Dados[Tipo do Ativo])="","",_xlfn.XLOOKUP(P120,Dados[Nomenclatura Ativo],Dados[Tipo do Ativo])),"")</f>
        <v/>
      </c>
      <c r="I120" t="str">
        <f>IFERROR(IF(_xlfn.XLOOKUP(P120,Dados[Nomenclatura Ativo],Dados[Emissor])="","",_xlfn.XLOOKUP(P120,Dados[Nomenclatura Ativo],Dados[Emissor])),"")</f>
        <v/>
      </c>
      <c r="J120" s="168" t="str">
        <f>IFERROR(IF(_xlfn.XLOOKUP(P120,Dados[Nomenclatura Ativo],Dados[Vencimento])="","",_xlfn.XLOOKUP(P120,Dados[Nomenclatura Ativo],Dados[Vencimento])),"")</f>
        <v/>
      </c>
      <c r="K120" t="str">
        <f>IFERROR(IF(_xlfn.XLOOKUP(P120,Dados[Nomenclatura Ativo],Dados[Remuneração])="","",_xlfn.XLOOKUP(P120,Dados[Nomenclatura Ativo],Dados[Remuneração])),"")</f>
        <v/>
      </c>
      <c r="L120" t="str">
        <f>IFERROR(IF(_xlfn.XLOOKUP(P120,Dados[Nomenclatura Ativo],Dados[Complemento])="","",_xlfn.XLOOKUP(P120,Dados[Nomenclatura Ativo],Dados[Complemento])),"")</f>
        <v/>
      </c>
      <c r="N120" t="str">
        <f>IFERROR(IF(_xlfn.XLOOKUP(P120,Dados[Nomenclatura Ativo],Dados[Ticker do Ativo])="","",_xlfn.XLOOKUP(P120,Dados[Nomenclatura Ativo],Dados[Ticker do Ativo])),"")</f>
        <v/>
      </c>
    </row>
    <row r="121" spans="3:14">
      <c r="C121" t="s">
        <v>209</v>
      </c>
      <c r="H121" t="str">
        <f>IFERROR(IF(_xlfn.XLOOKUP(P121,Dados[Nomenclatura Ativo],Dados[Tipo do Ativo])="","",_xlfn.XLOOKUP(P121,Dados[Nomenclatura Ativo],Dados[Tipo do Ativo])),"")</f>
        <v/>
      </c>
      <c r="I121" t="str">
        <f>IFERROR(IF(_xlfn.XLOOKUP(P121,Dados[Nomenclatura Ativo],Dados[Emissor])="","",_xlfn.XLOOKUP(P121,Dados[Nomenclatura Ativo],Dados[Emissor])),"")</f>
        <v/>
      </c>
      <c r="J121" s="168" t="str">
        <f>IFERROR(IF(_xlfn.XLOOKUP(P121,Dados[Nomenclatura Ativo],Dados[Vencimento])="","",_xlfn.XLOOKUP(P121,Dados[Nomenclatura Ativo],Dados[Vencimento])),"")</f>
        <v/>
      </c>
      <c r="K121" t="str">
        <f>IFERROR(IF(_xlfn.XLOOKUP(P121,Dados[Nomenclatura Ativo],Dados[Remuneração])="","",_xlfn.XLOOKUP(P121,Dados[Nomenclatura Ativo],Dados[Remuneração])),"")</f>
        <v/>
      </c>
      <c r="L121" t="str">
        <f>IFERROR(IF(_xlfn.XLOOKUP(P121,Dados[Nomenclatura Ativo],Dados[Complemento])="","",_xlfn.XLOOKUP(P121,Dados[Nomenclatura Ativo],Dados[Complemento])),"")</f>
        <v/>
      </c>
      <c r="N121" t="str">
        <f>IFERROR(IF(_xlfn.XLOOKUP(P121,Dados[Nomenclatura Ativo],Dados[Ticker do Ativo])="","",_xlfn.XLOOKUP(P121,Dados[Nomenclatura Ativo],Dados[Ticker do Ativo])),"")</f>
        <v/>
      </c>
    </row>
    <row r="122" spans="3:14">
      <c r="C122" t="s">
        <v>209</v>
      </c>
      <c r="H122" t="str">
        <f>IFERROR(IF(_xlfn.XLOOKUP(P122,Dados[Nomenclatura Ativo],Dados[Tipo do Ativo])="","",_xlfn.XLOOKUP(P122,Dados[Nomenclatura Ativo],Dados[Tipo do Ativo])),"")</f>
        <v/>
      </c>
      <c r="I122" t="str">
        <f>IFERROR(IF(_xlfn.XLOOKUP(P122,Dados[Nomenclatura Ativo],Dados[Emissor])="","",_xlfn.XLOOKUP(P122,Dados[Nomenclatura Ativo],Dados[Emissor])),"")</f>
        <v/>
      </c>
      <c r="J122" s="168" t="str">
        <f>IFERROR(IF(_xlfn.XLOOKUP(P122,Dados[Nomenclatura Ativo],Dados[Vencimento])="","",_xlfn.XLOOKUP(P122,Dados[Nomenclatura Ativo],Dados[Vencimento])),"")</f>
        <v/>
      </c>
      <c r="K122" t="str">
        <f>IFERROR(IF(_xlfn.XLOOKUP(P122,Dados[Nomenclatura Ativo],Dados[Remuneração])="","",_xlfn.XLOOKUP(P122,Dados[Nomenclatura Ativo],Dados[Remuneração])),"")</f>
        <v/>
      </c>
      <c r="L122" t="str">
        <f>IFERROR(IF(_xlfn.XLOOKUP(P122,Dados[Nomenclatura Ativo],Dados[Complemento])="","",_xlfn.XLOOKUP(P122,Dados[Nomenclatura Ativo],Dados[Complemento])),"")</f>
        <v/>
      </c>
      <c r="N122" t="str">
        <f>IFERROR(IF(_xlfn.XLOOKUP(P122,Dados[Nomenclatura Ativo],Dados[Ticker do Ativo])="","",_xlfn.XLOOKUP(P122,Dados[Nomenclatura Ativo],Dados[Ticker do Ativo])),"")</f>
        <v/>
      </c>
    </row>
    <row r="123" spans="3:14">
      <c r="C123" t="s">
        <v>209</v>
      </c>
      <c r="H123" t="str">
        <f>IFERROR(IF(_xlfn.XLOOKUP(P123,Dados[Nomenclatura Ativo],Dados[Tipo do Ativo])="","",_xlfn.XLOOKUP(P123,Dados[Nomenclatura Ativo],Dados[Tipo do Ativo])),"")</f>
        <v/>
      </c>
      <c r="I123" t="str">
        <f>IFERROR(IF(_xlfn.XLOOKUP(P123,Dados[Nomenclatura Ativo],Dados[Emissor])="","",_xlfn.XLOOKUP(P123,Dados[Nomenclatura Ativo],Dados[Emissor])),"")</f>
        <v/>
      </c>
      <c r="J123" s="168" t="str">
        <f>IFERROR(IF(_xlfn.XLOOKUP(P123,Dados[Nomenclatura Ativo],Dados[Vencimento])="","",_xlfn.XLOOKUP(P123,Dados[Nomenclatura Ativo],Dados[Vencimento])),"")</f>
        <v/>
      </c>
      <c r="K123" t="str">
        <f>IFERROR(IF(_xlfn.XLOOKUP(P123,Dados[Nomenclatura Ativo],Dados[Remuneração])="","",_xlfn.XLOOKUP(P123,Dados[Nomenclatura Ativo],Dados[Remuneração])),"")</f>
        <v/>
      </c>
      <c r="L123" t="str">
        <f>IFERROR(IF(_xlfn.XLOOKUP(P123,Dados[Nomenclatura Ativo],Dados[Complemento])="","",_xlfn.XLOOKUP(P123,Dados[Nomenclatura Ativo],Dados[Complemento])),"")</f>
        <v/>
      </c>
      <c r="N123" t="str">
        <f>IFERROR(IF(_xlfn.XLOOKUP(P123,Dados[Nomenclatura Ativo],Dados[Ticker do Ativo])="","",_xlfn.XLOOKUP(P123,Dados[Nomenclatura Ativo],Dados[Ticker do Ativo])),"")</f>
        <v/>
      </c>
    </row>
    <row r="124" spans="3:14">
      <c r="C124" t="s">
        <v>209</v>
      </c>
      <c r="H124" t="str">
        <f>IFERROR(IF(_xlfn.XLOOKUP(P124,Dados[Nomenclatura Ativo],Dados[Tipo do Ativo])="","",_xlfn.XLOOKUP(P124,Dados[Nomenclatura Ativo],Dados[Tipo do Ativo])),"")</f>
        <v/>
      </c>
      <c r="I124" t="str">
        <f>IFERROR(IF(_xlfn.XLOOKUP(P124,Dados[Nomenclatura Ativo],Dados[Emissor])="","",_xlfn.XLOOKUP(P124,Dados[Nomenclatura Ativo],Dados[Emissor])),"")</f>
        <v/>
      </c>
      <c r="J124" s="168" t="str">
        <f>IFERROR(IF(_xlfn.XLOOKUP(P124,Dados[Nomenclatura Ativo],Dados[Vencimento])="","",_xlfn.XLOOKUP(P124,Dados[Nomenclatura Ativo],Dados[Vencimento])),"")</f>
        <v/>
      </c>
      <c r="K124" t="str">
        <f>IFERROR(IF(_xlfn.XLOOKUP(P124,Dados[Nomenclatura Ativo],Dados[Remuneração])="","",_xlfn.XLOOKUP(P124,Dados[Nomenclatura Ativo],Dados[Remuneração])),"")</f>
        <v/>
      </c>
      <c r="L124" t="str">
        <f>IFERROR(IF(_xlfn.XLOOKUP(P124,Dados[Nomenclatura Ativo],Dados[Complemento])="","",_xlfn.XLOOKUP(P124,Dados[Nomenclatura Ativo],Dados[Complemento])),"")</f>
        <v/>
      </c>
      <c r="N124" t="str">
        <f>IFERROR(IF(_xlfn.XLOOKUP(P124,Dados[Nomenclatura Ativo],Dados[Ticker do Ativo])="","",_xlfn.XLOOKUP(P124,Dados[Nomenclatura Ativo],Dados[Ticker do Ativo])),"")</f>
        <v/>
      </c>
    </row>
    <row r="125" spans="3:14">
      <c r="C125" t="s">
        <v>209</v>
      </c>
      <c r="H125" t="str">
        <f>IFERROR(IF(_xlfn.XLOOKUP(P125,Dados[Nomenclatura Ativo],Dados[Tipo do Ativo])="","",_xlfn.XLOOKUP(P125,Dados[Nomenclatura Ativo],Dados[Tipo do Ativo])),"")</f>
        <v/>
      </c>
      <c r="I125" t="str">
        <f>IFERROR(IF(_xlfn.XLOOKUP(P125,Dados[Nomenclatura Ativo],Dados[Emissor])="","",_xlfn.XLOOKUP(P125,Dados[Nomenclatura Ativo],Dados[Emissor])),"")</f>
        <v/>
      </c>
      <c r="J125" s="168" t="str">
        <f>IFERROR(IF(_xlfn.XLOOKUP(P125,Dados[Nomenclatura Ativo],Dados[Vencimento])="","",_xlfn.XLOOKUP(P125,Dados[Nomenclatura Ativo],Dados[Vencimento])),"")</f>
        <v/>
      </c>
      <c r="K125" t="str">
        <f>IFERROR(IF(_xlfn.XLOOKUP(P125,Dados[Nomenclatura Ativo],Dados[Remuneração])="","",_xlfn.XLOOKUP(P125,Dados[Nomenclatura Ativo],Dados[Remuneração])),"")</f>
        <v/>
      </c>
      <c r="L125" t="str">
        <f>IFERROR(IF(_xlfn.XLOOKUP(P125,Dados[Nomenclatura Ativo],Dados[Complemento])="","",_xlfn.XLOOKUP(P125,Dados[Nomenclatura Ativo],Dados[Complemento])),"")</f>
        <v/>
      </c>
      <c r="N125" t="str">
        <f>IFERROR(IF(_xlfn.XLOOKUP(P125,Dados[Nomenclatura Ativo],Dados[Ticker do Ativo])="","",_xlfn.XLOOKUP(P125,Dados[Nomenclatura Ativo],Dados[Ticker do Ativo])),"")</f>
        <v/>
      </c>
    </row>
    <row r="126" spans="3:14">
      <c r="C126" t="s">
        <v>209</v>
      </c>
      <c r="H126" t="str">
        <f>IFERROR(IF(_xlfn.XLOOKUP(P126,Dados[Nomenclatura Ativo],Dados[Tipo do Ativo])="","",_xlfn.XLOOKUP(P126,Dados[Nomenclatura Ativo],Dados[Tipo do Ativo])),"")</f>
        <v/>
      </c>
      <c r="I126" t="str">
        <f>IFERROR(IF(_xlfn.XLOOKUP(P126,Dados[Nomenclatura Ativo],Dados[Emissor])="","",_xlfn.XLOOKUP(P126,Dados[Nomenclatura Ativo],Dados[Emissor])),"")</f>
        <v/>
      </c>
      <c r="J126" s="168" t="str">
        <f>IFERROR(IF(_xlfn.XLOOKUP(P126,Dados[Nomenclatura Ativo],Dados[Vencimento])="","",_xlfn.XLOOKUP(P126,Dados[Nomenclatura Ativo],Dados[Vencimento])),"")</f>
        <v/>
      </c>
      <c r="K126" t="str">
        <f>IFERROR(IF(_xlfn.XLOOKUP(P126,Dados[Nomenclatura Ativo],Dados[Remuneração])="","",_xlfn.XLOOKUP(P126,Dados[Nomenclatura Ativo],Dados[Remuneração])),"")</f>
        <v/>
      </c>
      <c r="L126" t="str">
        <f>IFERROR(IF(_xlfn.XLOOKUP(P126,Dados[Nomenclatura Ativo],Dados[Complemento])="","",_xlfn.XLOOKUP(P126,Dados[Nomenclatura Ativo],Dados[Complemento])),"")</f>
        <v/>
      </c>
      <c r="N126" t="str">
        <f>IFERROR(IF(_xlfn.XLOOKUP(P126,Dados[Nomenclatura Ativo],Dados[Ticker do Ativo])="","",_xlfn.XLOOKUP(P126,Dados[Nomenclatura Ativo],Dados[Ticker do Ativo])),"")</f>
        <v/>
      </c>
    </row>
    <row r="127" spans="3:14">
      <c r="C127" t="s">
        <v>209</v>
      </c>
      <c r="H127" t="str">
        <f>IFERROR(IF(_xlfn.XLOOKUP(P127,Dados[Nomenclatura Ativo],Dados[Tipo do Ativo])="","",_xlfn.XLOOKUP(P127,Dados[Nomenclatura Ativo],Dados[Tipo do Ativo])),"")</f>
        <v/>
      </c>
      <c r="I127" t="str">
        <f>IFERROR(IF(_xlfn.XLOOKUP(P127,Dados[Nomenclatura Ativo],Dados[Emissor])="","",_xlfn.XLOOKUP(P127,Dados[Nomenclatura Ativo],Dados[Emissor])),"")</f>
        <v/>
      </c>
      <c r="J127" s="168" t="str">
        <f>IFERROR(IF(_xlfn.XLOOKUP(P127,Dados[Nomenclatura Ativo],Dados[Vencimento])="","",_xlfn.XLOOKUP(P127,Dados[Nomenclatura Ativo],Dados[Vencimento])),"")</f>
        <v/>
      </c>
      <c r="K127" t="str">
        <f>IFERROR(IF(_xlfn.XLOOKUP(P127,Dados[Nomenclatura Ativo],Dados[Remuneração])="","",_xlfn.XLOOKUP(P127,Dados[Nomenclatura Ativo],Dados[Remuneração])),"")</f>
        <v/>
      </c>
      <c r="L127" t="str">
        <f>IFERROR(IF(_xlfn.XLOOKUP(P127,Dados[Nomenclatura Ativo],Dados[Complemento])="","",_xlfn.XLOOKUP(P127,Dados[Nomenclatura Ativo],Dados[Complemento])),"")</f>
        <v/>
      </c>
      <c r="N127" t="str">
        <f>IFERROR(IF(_xlfn.XLOOKUP(P127,Dados[Nomenclatura Ativo],Dados[Ticker do Ativo])="","",_xlfn.XLOOKUP(P127,Dados[Nomenclatura Ativo],Dados[Ticker do Ativo])),"")</f>
        <v/>
      </c>
    </row>
    <row r="128" spans="3:14">
      <c r="C128" t="s">
        <v>209</v>
      </c>
      <c r="H128" t="str">
        <f>IFERROR(IF(_xlfn.XLOOKUP(P128,Dados[Nomenclatura Ativo],Dados[Tipo do Ativo])="","",_xlfn.XLOOKUP(P128,Dados[Nomenclatura Ativo],Dados[Tipo do Ativo])),"")</f>
        <v/>
      </c>
      <c r="I128" t="str">
        <f>IFERROR(IF(_xlfn.XLOOKUP(P128,Dados[Nomenclatura Ativo],Dados[Emissor])="","",_xlfn.XLOOKUP(P128,Dados[Nomenclatura Ativo],Dados[Emissor])),"")</f>
        <v/>
      </c>
      <c r="J128" s="168" t="str">
        <f>IFERROR(IF(_xlfn.XLOOKUP(P128,Dados[Nomenclatura Ativo],Dados[Vencimento])="","",_xlfn.XLOOKUP(P128,Dados[Nomenclatura Ativo],Dados[Vencimento])),"")</f>
        <v/>
      </c>
      <c r="K128" t="str">
        <f>IFERROR(IF(_xlfn.XLOOKUP(P128,Dados[Nomenclatura Ativo],Dados[Remuneração])="","",_xlfn.XLOOKUP(P128,Dados[Nomenclatura Ativo],Dados[Remuneração])),"")</f>
        <v/>
      </c>
      <c r="L128" t="str">
        <f>IFERROR(IF(_xlfn.XLOOKUP(P128,Dados[Nomenclatura Ativo],Dados[Complemento])="","",_xlfn.XLOOKUP(P128,Dados[Nomenclatura Ativo],Dados[Complemento])),"")</f>
        <v/>
      </c>
      <c r="N128" t="str">
        <f>IFERROR(IF(_xlfn.XLOOKUP(P128,Dados[Nomenclatura Ativo],Dados[Ticker do Ativo])="","",_xlfn.XLOOKUP(P128,Dados[Nomenclatura Ativo],Dados[Ticker do Ativo])),"")</f>
        <v/>
      </c>
    </row>
    <row r="129" spans="3:14">
      <c r="C129" t="s">
        <v>209</v>
      </c>
      <c r="H129" t="str">
        <f>IFERROR(IF(_xlfn.XLOOKUP(P129,Dados[Nomenclatura Ativo],Dados[Tipo do Ativo])="","",_xlfn.XLOOKUP(P129,Dados[Nomenclatura Ativo],Dados[Tipo do Ativo])),"")</f>
        <v/>
      </c>
      <c r="I129" t="str">
        <f>IFERROR(IF(_xlfn.XLOOKUP(P129,Dados[Nomenclatura Ativo],Dados[Emissor])="","",_xlfn.XLOOKUP(P129,Dados[Nomenclatura Ativo],Dados[Emissor])),"")</f>
        <v/>
      </c>
      <c r="J129" s="168" t="str">
        <f>IFERROR(IF(_xlfn.XLOOKUP(P129,Dados[Nomenclatura Ativo],Dados[Vencimento])="","",_xlfn.XLOOKUP(P129,Dados[Nomenclatura Ativo],Dados[Vencimento])),"")</f>
        <v/>
      </c>
      <c r="K129" t="str">
        <f>IFERROR(IF(_xlfn.XLOOKUP(P129,Dados[Nomenclatura Ativo],Dados[Remuneração])="","",_xlfn.XLOOKUP(P129,Dados[Nomenclatura Ativo],Dados[Remuneração])),"")</f>
        <v/>
      </c>
      <c r="L129" t="str">
        <f>IFERROR(IF(_xlfn.XLOOKUP(P129,Dados[Nomenclatura Ativo],Dados[Complemento])="","",_xlfn.XLOOKUP(P129,Dados[Nomenclatura Ativo],Dados[Complemento])),"")</f>
        <v/>
      </c>
      <c r="N129" t="str">
        <f>IFERROR(IF(_xlfn.XLOOKUP(P129,Dados[Nomenclatura Ativo],Dados[Ticker do Ativo])="","",_xlfn.XLOOKUP(P129,Dados[Nomenclatura Ativo],Dados[Ticker do Ativo])),"")</f>
        <v/>
      </c>
    </row>
    <row r="130" spans="3:14">
      <c r="C130" t="s">
        <v>209</v>
      </c>
      <c r="H130" t="str">
        <f>IFERROR(IF(_xlfn.XLOOKUP(P130,Dados[Nomenclatura Ativo],Dados[Tipo do Ativo])="","",_xlfn.XLOOKUP(P130,Dados[Nomenclatura Ativo],Dados[Tipo do Ativo])),"")</f>
        <v/>
      </c>
      <c r="I130" t="str">
        <f>IFERROR(IF(_xlfn.XLOOKUP(P130,Dados[Nomenclatura Ativo],Dados[Emissor])="","",_xlfn.XLOOKUP(P130,Dados[Nomenclatura Ativo],Dados[Emissor])),"")</f>
        <v/>
      </c>
      <c r="J130" s="168" t="str">
        <f>IFERROR(IF(_xlfn.XLOOKUP(P130,Dados[Nomenclatura Ativo],Dados[Vencimento])="","",_xlfn.XLOOKUP(P130,Dados[Nomenclatura Ativo],Dados[Vencimento])),"")</f>
        <v/>
      </c>
      <c r="K130" t="str">
        <f>IFERROR(IF(_xlfn.XLOOKUP(P130,Dados[Nomenclatura Ativo],Dados[Remuneração])="","",_xlfn.XLOOKUP(P130,Dados[Nomenclatura Ativo],Dados[Remuneração])),"")</f>
        <v/>
      </c>
      <c r="L130" t="str">
        <f>IFERROR(IF(_xlfn.XLOOKUP(P130,Dados[Nomenclatura Ativo],Dados[Complemento])="","",_xlfn.XLOOKUP(P130,Dados[Nomenclatura Ativo],Dados[Complemento])),"")</f>
        <v/>
      </c>
      <c r="N130" t="str">
        <f>IFERROR(IF(_xlfn.XLOOKUP(P130,Dados[Nomenclatura Ativo],Dados[Ticker do Ativo])="","",_xlfn.XLOOKUP(P130,Dados[Nomenclatura Ativo],Dados[Ticker do Ativo])),"")</f>
        <v/>
      </c>
    </row>
    <row r="131" spans="3:14">
      <c r="C131" t="s">
        <v>209</v>
      </c>
      <c r="H131" t="str">
        <f>IFERROR(IF(_xlfn.XLOOKUP(P131,Dados[Nomenclatura Ativo],Dados[Tipo do Ativo])="","",_xlfn.XLOOKUP(P131,Dados[Nomenclatura Ativo],Dados[Tipo do Ativo])),"")</f>
        <v/>
      </c>
      <c r="I131" t="str">
        <f>IFERROR(IF(_xlfn.XLOOKUP(P131,Dados[Nomenclatura Ativo],Dados[Emissor])="","",_xlfn.XLOOKUP(P131,Dados[Nomenclatura Ativo],Dados[Emissor])),"")</f>
        <v/>
      </c>
      <c r="J131" s="168" t="str">
        <f>IFERROR(IF(_xlfn.XLOOKUP(P131,Dados[Nomenclatura Ativo],Dados[Vencimento])="","",_xlfn.XLOOKUP(P131,Dados[Nomenclatura Ativo],Dados[Vencimento])),"")</f>
        <v/>
      </c>
      <c r="K131" t="str">
        <f>IFERROR(IF(_xlfn.XLOOKUP(P131,Dados[Nomenclatura Ativo],Dados[Remuneração])="","",_xlfn.XLOOKUP(P131,Dados[Nomenclatura Ativo],Dados[Remuneração])),"")</f>
        <v/>
      </c>
      <c r="L131" t="str">
        <f>IFERROR(IF(_xlfn.XLOOKUP(P131,Dados[Nomenclatura Ativo],Dados[Complemento])="","",_xlfn.XLOOKUP(P131,Dados[Nomenclatura Ativo],Dados[Complemento])),"")</f>
        <v/>
      </c>
      <c r="N131" t="str">
        <f>IFERROR(IF(_xlfn.XLOOKUP(P131,Dados[Nomenclatura Ativo],Dados[Ticker do Ativo])="","",_xlfn.XLOOKUP(P131,Dados[Nomenclatura Ativo],Dados[Ticker do Ativo])),"")</f>
        <v/>
      </c>
    </row>
    <row r="132" spans="3:14">
      <c r="C132" t="s">
        <v>209</v>
      </c>
      <c r="H132" t="str">
        <f>IFERROR(IF(_xlfn.XLOOKUP(P132,Dados[Nomenclatura Ativo],Dados[Tipo do Ativo])="","",_xlfn.XLOOKUP(P132,Dados[Nomenclatura Ativo],Dados[Tipo do Ativo])),"")</f>
        <v/>
      </c>
      <c r="I132" t="str">
        <f>IFERROR(IF(_xlfn.XLOOKUP(P132,Dados[Nomenclatura Ativo],Dados[Emissor])="","",_xlfn.XLOOKUP(P132,Dados[Nomenclatura Ativo],Dados[Emissor])),"")</f>
        <v/>
      </c>
      <c r="J132" s="168" t="str">
        <f>IFERROR(IF(_xlfn.XLOOKUP(P132,Dados[Nomenclatura Ativo],Dados[Vencimento])="","",_xlfn.XLOOKUP(P132,Dados[Nomenclatura Ativo],Dados[Vencimento])),"")</f>
        <v/>
      </c>
      <c r="K132" t="str">
        <f>IFERROR(IF(_xlfn.XLOOKUP(P132,Dados[Nomenclatura Ativo],Dados[Remuneração])="","",_xlfn.XLOOKUP(P132,Dados[Nomenclatura Ativo],Dados[Remuneração])),"")</f>
        <v/>
      </c>
      <c r="L132" t="str">
        <f>IFERROR(IF(_xlfn.XLOOKUP(P132,Dados[Nomenclatura Ativo],Dados[Complemento])="","",_xlfn.XLOOKUP(P132,Dados[Nomenclatura Ativo],Dados[Complemento])),"")</f>
        <v/>
      </c>
      <c r="N132" t="str">
        <f>IFERROR(IF(_xlfn.XLOOKUP(P132,Dados[Nomenclatura Ativo],Dados[Ticker do Ativo])="","",_xlfn.XLOOKUP(P132,Dados[Nomenclatura Ativo],Dados[Ticker do Ativo])),"")</f>
        <v/>
      </c>
    </row>
    <row r="133" spans="3:14">
      <c r="C133" t="s">
        <v>209</v>
      </c>
      <c r="H133" t="str">
        <f>IFERROR(IF(_xlfn.XLOOKUP(P133,Dados[Nomenclatura Ativo],Dados[Tipo do Ativo])="","",_xlfn.XLOOKUP(P133,Dados[Nomenclatura Ativo],Dados[Tipo do Ativo])),"")</f>
        <v/>
      </c>
      <c r="I133" t="str">
        <f>IFERROR(IF(_xlfn.XLOOKUP(P133,Dados[Nomenclatura Ativo],Dados[Emissor])="","",_xlfn.XLOOKUP(P133,Dados[Nomenclatura Ativo],Dados[Emissor])),"")</f>
        <v/>
      </c>
      <c r="J133" s="168" t="str">
        <f>IFERROR(IF(_xlfn.XLOOKUP(P133,Dados[Nomenclatura Ativo],Dados[Vencimento])="","",_xlfn.XLOOKUP(P133,Dados[Nomenclatura Ativo],Dados[Vencimento])),"")</f>
        <v/>
      </c>
      <c r="K133" t="str">
        <f>IFERROR(IF(_xlfn.XLOOKUP(P133,Dados[Nomenclatura Ativo],Dados[Remuneração])="","",_xlfn.XLOOKUP(P133,Dados[Nomenclatura Ativo],Dados[Remuneração])),"")</f>
        <v/>
      </c>
      <c r="L133" t="str">
        <f>IFERROR(IF(_xlfn.XLOOKUP(P133,Dados[Nomenclatura Ativo],Dados[Complemento])="","",_xlfn.XLOOKUP(P133,Dados[Nomenclatura Ativo],Dados[Complemento])),"")</f>
        <v/>
      </c>
      <c r="N133" t="str">
        <f>IFERROR(IF(_xlfn.XLOOKUP(P133,Dados[Nomenclatura Ativo],Dados[Ticker do Ativo])="","",_xlfn.XLOOKUP(P133,Dados[Nomenclatura Ativo],Dados[Ticker do Ativo])),"")</f>
        <v/>
      </c>
    </row>
    <row r="134" spans="3:14">
      <c r="C134" t="s">
        <v>209</v>
      </c>
      <c r="H134" t="str">
        <f>IFERROR(IF(_xlfn.XLOOKUP(P134,Dados[Nomenclatura Ativo],Dados[Tipo do Ativo])="","",_xlfn.XLOOKUP(P134,Dados[Nomenclatura Ativo],Dados[Tipo do Ativo])),"")</f>
        <v/>
      </c>
      <c r="I134" t="str">
        <f>IFERROR(IF(_xlfn.XLOOKUP(P134,Dados[Nomenclatura Ativo],Dados[Emissor])="","",_xlfn.XLOOKUP(P134,Dados[Nomenclatura Ativo],Dados[Emissor])),"")</f>
        <v/>
      </c>
      <c r="J134" s="168" t="str">
        <f>IFERROR(IF(_xlfn.XLOOKUP(P134,Dados[Nomenclatura Ativo],Dados[Vencimento])="","",_xlfn.XLOOKUP(P134,Dados[Nomenclatura Ativo],Dados[Vencimento])),"")</f>
        <v/>
      </c>
      <c r="K134" t="str">
        <f>IFERROR(IF(_xlfn.XLOOKUP(P134,Dados[Nomenclatura Ativo],Dados[Remuneração])="","",_xlfn.XLOOKUP(P134,Dados[Nomenclatura Ativo],Dados[Remuneração])),"")</f>
        <v/>
      </c>
      <c r="L134" t="str">
        <f>IFERROR(IF(_xlfn.XLOOKUP(P134,Dados[Nomenclatura Ativo],Dados[Complemento])="","",_xlfn.XLOOKUP(P134,Dados[Nomenclatura Ativo],Dados[Complemento])),"")</f>
        <v/>
      </c>
      <c r="N134" t="str">
        <f>IFERROR(IF(_xlfn.XLOOKUP(P134,Dados[Nomenclatura Ativo],Dados[Ticker do Ativo])="","",_xlfn.XLOOKUP(P134,Dados[Nomenclatura Ativo],Dados[Ticker do Ativo])),"")</f>
        <v/>
      </c>
    </row>
    <row r="135" spans="3:14">
      <c r="C135" t="s">
        <v>209</v>
      </c>
      <c r="H135" t="str">
        <f>IFERROR(IF(_xlfn.XLOOKUP(P135,Dados[Nomenclatura Ativo],Dados[Tipo do Ativo])="","",_xlfn.XLOOKUP(P135,Dados[Nomenclatura Ativo],Dados[Tipo do Ativo])),"")</f>
        <v/>
      </c>
      <c r="I135" t="str">
        <f>IFERROR(IF(_xlfn.XLOOKUP(P135,Dados[Nomenclatura Ativo],Dados[Emissor])="","",_xlfn.XLOOKUP(P135,Dados[Nomenclatura Ativo],Dados[Emissor])),"")</f>
        <v/>
      </c>
      <c r="J135" s="168" t="str">
        <f>IFERROR(IF(_xlfn.XLOOKUP(P135,Dados[Nomenclatura Ativo],Dados[Vencimento])="","",_xlfn.XLOOKUP(P135,Dados[Nomenclatura Ativo],Dados[Vencimento])),"")</f>
        <v/>
      </c>
      <c r="K135" t="str">
        <f>IFERROR(IF(_xlfn.XLOOKUP(P135,Dados[Nomenclatura Ativo],Dados[Remuneração])="","",_xlfn.XLOOKUP(P135,Dados[Nomenclatura Ativo],Dados[Remuneração])),"")</f>
        <v/>
      </c>
      <c r="L135" t="str">
        <f>IFERROR(IF(_xlfn.XLOOKUP(P135,Dados[Nomenclatura Ativo],Dados[Complemento])="","",_xlfn.XLOOKUP(P135,Dados[Nomenclatura Ativo],Dados[Complemento])),"")</f>
        <v/>
      </c>
      <c r="N135" t="str">
        <f>IFERROR(IF(_xlfn.XLOOKUP(P135,Dados[Nomenclatura Ativo],Dados[Ticker do Ativo])="","",_xlfn.XLOOKUP(P135,Dados[Nomenclatura Ativo],Dados[Ticker do Ativo])),"")</f>
        <v/>
      </c>
    </row>
    <row r="136" spans="3:14">
      <c r="C136" t="s">
        <v>209</v>
      </c>
      <c r="H136" t="str">
        <f>IFERROR(IF(_xlfn.XLOOKUP(P136,Dados[Nomenclatura Ativo],Dados[Tipo do Ativo])="","",_xlfn.XLOOKUP(P136,Dados[Nomenclatura Ativo],Dados[Tipo do Ativo])),"")</f>
        <v/>
      </c>
      <c r="I136" t="str">
        <f>IFERROR(IF(_xlfn.XLOOKUP(P136,Dados[Nomenclatura Ativo],Dados[Emissor])="","",_xlfn.XLOOKUP(P136,Dados[Nomenclatura Ativo],Dados[Emissor])),"")</f>
        <v/>
      </c>
      <c r="J136" s="168" t="str">
        <f>IFERROR(IF(_xlfn.XLOOKUP(P136,Dados[Nomenclatura Ativo],Dados[Vencimento])="","",_xlfn.XLOOKUP(P136,Dados[Nomenclatura Ativo],Dados[Vencimento])),"")</f>
        <v/>
      </c>
      <c r="K136" t="str">
        <f>IFERROR(IF(_xlfn.XLOOKUP(P136,Dados[Nomenclatura Ativo],Dados[Remuneração])="","",_xlfn.XLOOKUP(P136,Dados[Nomenclatura Ativo],Dados[Remuneração])),"")</f>
        <v/>
      </c>
      <c r="L136" t="str">
        <f>IFERROR(IF(_xlfn.XLOOKUP(P136,Dados[Nomenclatura Ativo],Dados[Complemento])="","",_xlfn.XLOOKUP(P136,Dados[Nomenclatura Ativo],Dados[Complemento])),"")</f>
        <v/>
      </c>
      <c r="N136" t="str">
        <f>IFERROR(IF(_xlfn.XLOOKUP(P136,Dados[Nomenclatura Ativo],Dados[Ticker do Ativo])="","",_xlfn.XLOOKUP(P136,Dados[Nomenclatura Ativo],Dados[Ticker do Ativo])),"")</f>
        <v/>
      </c>
    </row>
    <row r="137" spans="3:14">
      <c r="C137" t="s">
        <v>209</v>
      </c>
      <c r="H137" t="str">
        <f>IFERROR(IF(_xlfn.XLOOKUP(P137,Dados[Nomenclatura Ativo],Dados[Tipo do Ativo])="","",_xlfn.XLOOKUP(P137,Dados[Nomenclatura Ativo],Dados[Tipo do Ativo])),"")</f>
        <v/>
      </c>
      <c r="I137" t="str">
        <f>IFERROR(IF(_xlfn.XLOOKUP(P137,Dados[Nomenclatura Ativo],Dados[Emissor])="","",_xlfn.XLOOKUP(P137,Dados[Nomenclatura Ativo],Dados[Emissor])),"")</f>
        <v/>
      </c>
      <c r="J137" s="168" t="str">
        <f>IFERROR(IF(_xlfn.XLOOKUP(P137,Dados[Nomenclatura Ativo],Dados[Vencimento])="","",_xlfn.XLOOKUP(P137,Dados[Nomenclatura Ativo],Dados[Vencimento])),"")</f>
        <v/>
      </c>
      <c r="K137" t="str">
        <f>IFERROR(IF(_xlfn.XLOOKUP(P137,Dados[Nomenclatura Ativo],Dados[Remuneração])="","",_xlfn.XLOOKUP(P137,Dados[Nomenclatura Ativo],Dados[Remuneração])),"")</f>
        <v/>
      </c>
      <c r="L137" t="str">
        <f>IFERROR(IF(_xlfn.XLOOKUP(P137,Dados[Nomenclatura Ativo],Dados[Complemento])="","",_xlfn.XLOOKUP(P137,Dados[Nomenclatura Ativo],Dados[Complemento])),"")</f>
        <v/>
      </c>
      <c r="N137" t="str">
        <f>IFERROR(IF(_xlfn.XLOOKUP(P137,Dados[Nomenclatura Ativo],Dados[Ticker do Ativo])="","",_xlfn.XLOOKUP(P137,Dados[Nomenclatura Ativo],Dados[Ticker do Ativo])),"")</f>
        <v/>
      </c>
    </row>
    <row r="138" spans="3:14">
      <c r="C138" t="s">
        <v>209</v>
      </c>
      <c r="H138" t="str">
        <f>IFERROR(IF(_xlfn.XLOOKUP(P138,Dados[Nomenclatura Ativo],Dados[Tipo do Ativo])="","",_xlfn.XLOOKUP(P138,Dados[Nomenclatura Ativo],Dados[Tipo do Ativo])),"")</f>
        <v/>
      </c>
      <c r="I138" t="str">
        <f>IFERROR(IF(_xlfn.XLOOKUP(P138,Dados[Nomenclatura Ativo],Dados[Emissor])="","",_xlfn.XLOOKUP(P138,Dados[Nomenclatura Ativo],Dados[Emissor])),"")</f>
        <v/>
      </c>
      <c r="J138" s="168" t="str">
        <f>IFERROR(IF(_xlfn.XLOOKUP(P138,Dados[Nomenclatura Ativo],Dados[Vencimento])="","",_xlfn.XLOOKUP(P138,Dados[Nomenclatura Ativo],Dados[Vencimento])),"")</f>
        <v/>
      </c>
      <c r="K138" t="str">
        <f>IFERROR(IF(_xlfn.XLOOKUP(P138,Dados[Nomenclatura Ativo],Dados[Remuneração])="","",_xlfn.XLOOKUP(P138,Dados[Nomenclatura Ativo],Dados[Remuneração])),"")</f>
        <v/>
      </c>
      <c r="L138" t="str">
        <f>IFERROR(IF(_xlfn.XLOOKUP(P138,Dados[Nomenclatura Ativo],Dados[Complemento])="","",_xlfn.XLOOKUP(P138,Dados[Nomenclatura Ativo],Dados[Complemento])),"")</f>
        <v/>
      </c>
      <c r="N138" t="str">
        <f>IFERROR(IF(_xlfn.XLOOKUP(P138,Dados[Nomenclatura Ativo],Dados[Ticker do Ativo])="","",_xlfn.XLOOKUP(P138,Dados[Nomenclatura Ativo],Dados[Ticker do Ativo])),"")</f>
        <v/>
      </c>
    </row>
    <row r="139" spans="3:14">
      <c r="C139" t="s">
        <v>209</v>
      </c>
      <c r="H139" t="str">
        <f>IFERROR(IF(_xlfn.XLOOKUP(P139,Dados[Nomenclatura Ativo],Dados[Tipo do Ativo])="","",_xlfn.XLOOKUP(P139,Dados[Nomenclatura Ativo],Dados[Tipo do Ativo])),"")</f>
        <v/>
      </c>
      <c r="I139" t="str">
        <f>IFERROR(IF(_xlfn.XLOOKUP(P139,Dados[Nomenclatura Ativo],Dados[Emissor])="","",_xlfn.XLOOKUP(P139,Dados[Nomenclatura Ativo],Dados[Emissor])),"")</f>
        <v/>
      </c>
      <c r="J139" s="168" t="str">
        <f>IFERROR(IF(_xlfn.XLOOKUP(P139,Dados[Nomenclatura Ativo],Dados[Vencimento])="","",_xlfn.XLOOKUP(P139,Dados[Nomenclatura Ativo],Dados[Vencimento])),"")</f>
        <v/>
      </c>
      <c r="K139" t="str">
        <f>IFERROR(IF(_xlfn.XLOOKUP(P139,Dados[Nomenclatura Ativo],Dados[Remuneração])="","",_xlfn.XLOOKUP(P139,Dados[Nomenclatura Ativo],Dados[Remuneração])),"")</f>
        <v/>
      </c>
      <c r="L139" t="str">
        <f>IFERROR(IF(_xlfn.XLOOKUP(P139,Dados[Nomenclatura Ativo],Dados[Complemento])="","",_xlfn.XLOOKUP(P139,Dados[Nomenclatura Ativo],Dados[Complemento])),"")</f>
        <v/>
      </c>
      <c r="N139" t="str">
        <f>IFERROR(IF(_xlfn.XLOOKUP(P139,Dados[Nomenclatura Ativo],Dados[Ticker do Ativo])="","",_xlfn.XLOOKUP(P139,Dados[Nomenclatura Ativo],Dados[Ticker do Ativo])),"")</f>
        <v/>
      </c>
    </row>
    <row r="140" spans="3:14">
      <c r="C140" t="s">
        <v>209</v>
      </c>
      <c r="H140" t="str">
        <f>IFERROR(IF(_xlfn.XLOOKUP(P140,Dados[Nomenclatura Ativo],Dados[Tipo do Ativo])="","",_xlfn.XLOOKUP(P140,Dados[Nomenclatura Ativo],Dados[Tipo do Ativo])),"")</f>
        <v/>
      </c>
      <c r="I140" t="str">
        <f>IFERROR(IF(_xlfn.XLOOKUP(P140,Dados[Nomenclatura Ativo],Dados[Emissor])="","",_xlfn.XLOOKUP(P140,Dados[Nomenclatura Ativo],Dados[Emissor])),"")</f>
        <v/>
      </c>
      <c r="J140" s="168" t="str">
        <f>IFERROR(IF(_xlfn.XLOOKUP(P140,Dados[Nomenclatura Ativo],Dados[Vencimento])="","",_xlfn.XLOOKUP(P140,Dados[Nomenclatura Ativo],Dados[Vencimento])),"")</f>
        <v/>
      </c>
      <c r="K140" t="str">
        <f>IFERROR(IF(_xlfn.XLOOKUP(P140,Dados[Nomenclatura Ativo],Dados[Remuneração])="","",_xlfn.XLOOKUP(P140,Dados[Nomenclatura Ativo],Dados[Remuneração])),"")</f>
        <v/>
      </c>
      <c r="L140" t="str">
        <f>IFERROR(IF(_xlfn.XLOOKUP(P140,Dados[Nomenclatura Ativo],Dados[Complemento])="","",_xlfn.XLOOKUP(P140,Dados[Nomenclatura Ativo],Dados[Complemento])),"")</f>
        <v/>
      </c>
      <c r="N140" t="str">
        <f>IFERROR(IF(_xlfn.XLOOKUP(P140,Dados[Nomenclatura Ativo],Dados[Ticker do Ativo])="","",_xlfn.XLOOKUP(P140,Dados[Nomenclatura Ativo],Dados[Ticker do Ativo])),"")</f>
        <v/>
      </c>
    </row>
    <row r="141" spans="3:14">
      <c r="C141" t="s">
        <v>209</v>
      </c>
      <c r="H141" t="str">
        <f>IFERROR(IF(_xlfn.XLOOKUP(P141,Dados[Nomenclatura Ativo],Dados[Tipo do Ativo])="","",_xlfn.XLOOKUP(P141,Dados[Nomenclatura Ativo],Dados[Tipo do Ativo])),"")</f>
        <v/>
      </c>
      <c r="I141" t="str">
        <f>IFERROR(IF(_xlfn.XLOOKUP(P141,Dados[Nomenclatura Ativo],Dados[Emissor])="","",_xlfn.XLOOKUP(P141,Dados[Nomenclatura Ativo],Dados[Emissor])),"")</f>
        <v/>
      </c>
      <c r="J141" s="168" t="str">
        <f>IFERROR(IF(_xlfn.XLOOKUP(P141,Dados[Nomenclatura Ativo],Dados[Vencimento])="","",_xlfn.XLOOKUP(P141,Dados[Nomenclatura Ativo],Dados[Vencimento])),"")</f>
        <v/>
      </c>
      <c r="K141" t="str">
        <f>IFERROR(IF(_xlfn.XLOOKUP(P141,Dados[Nomenclatura Ativo],Dados[Remuneração])="","",_xlfn.XLOOKUP(P141,Dados[Nomenclatura Ativo],Dados[Remuneração])),"")</f>
        <v/>
      </c>
      <c r="L141" t="str">
        <f>IFERROR(IF(_xlfn.XLOOKUP(P141,Dados[Nomenclatura Ativo],Dados[Complemento])="","",_xlfn.XLOOKUP(P141,Dados[Nomenclatura Ativo],Dados[Complemento])),"")</f>
        <v/>
      </c>
      <c r="N141" t="str">
        <f>IFERROR(IF(_xlfn.XLOOKUP(P141,Dados[Nomenclatura Ativo],Dados[Ticker do Ativo])="","",_xlfn.XLOOKUP(P141,Dados[Nomenclatura Ativo],Dados[Ticker do Ativo])),"")</f>
        <v/>
      </c>
    </row>
    <row r="142" spans="3:14">
      <c r="C142" t="s">
        <v>209</v>
      </c>
      <c r="H142" t="str">
        <f>IFERROR(IF(_xlfn.XLOOKUP(P142,Dados[Nomenclatura Ativo],Dados[Tipo do Ativo])="","",_xlfn.XLOOKUP(P142,Dados[Nomenclatura Ativo],Dados[Tipo do Ativo])),"")</f>
        <v/>
      </c>
      <c r="I142" t="str">
        <f>IFERROR(IF(_xlfn.XLOOKUP(P142,Dados[Nomenclatura Ativo],Dados[Emissor])="","",_xlfn.XLOOKUP(P142,Dados[Nomenclatura Ativo],Dados[Emissor])),"")</f>
        <v/>
      </c>
      <c r="J142" s="168" t="str">
        <f>IFERROR(IF(_xlfn.XLOOKUP(P142,Dados[Nomenclatura Ativo],Dados[Vencimento])="","",_xlfn.XLOOKUP(P142,Dados[Nomenclatura Ativo],Dados[Vencimento])),"")</f>
        <v/>
      </c>
      <c r="K142" t="str">
        <f>IFERROR(IF(_xlfn.XLOOKUP(P142,Dados[Nomenclatura Ativo],Dados[Remuneração])="","",_xlfn.XLOOKUP(P142,Dados[Nomenclatura Ativo],Dados[Remuneração])),"")</f>
        <v/>
      </c>
      <c r="L142" t="str">
        <f>IFERROR(IF(_xlfn.XLOOKUP(P142,Dados[Nomenclatura Ativo],Dados[Complemento])="","",_xlfn.XLOOKUP(P142,Dados[Nomenclatura Ativo],Dados[Complemento])),"")</f>
        <v/>
      </c>
      <c r="N142" t="str">
        <f>IFERROR(IF(_xlfn.XLOOKUP(P142,Dados[Nomenclatura Ativo],Dados[Ticker do Ativo])="","",_xlfn.XLOOKUP(P142,Dados[Nomenclatura Ativo],Dados[Ticker do Ativo])),"")</f>
        <v/>
      </c>
    </row>
    <row r="143" spans="3:14">
      <c r="C143" t="s">
        <v>209</v>
      </c>
      <c r="H143" t="str">
        <f>IFERROR(IF(_xlfn.XLOOKUP(P143,Dados[Nomenclatura Ativo],Dados[Tipo do Ativo])="","",_xlfn.XLOOKUP(P143,Dados[Nomenclatura Ativo],Dados[Tipo do Ativo])),"")</f>
        <v/>
      </c>
      <c r="I143" t="str">
        <f>IFERROR(IF(_xlfn.XLOOKUP(P143,Dados[Nomenclatura Ativo],Dados[Emissor])="","",_xlfn.XLOOKUP(P143,Dados[Nomenclatura Ativo],Dados[Emissor])),"")</f>
        <v/>
      </c>
      <c r="J143" s="168" t="str">
        <f>IFERROR(IF(_xlfn.XLOOKUP(P143,Dados[Nomenclatura Ativo],Dados[Vencimento])="","",_xlfn.XLOOKUP(P143,Dados[Nomenclatura Ativo],Dados[Vencimento])),"")</f>
        <v/>
      </c>
      <c r="K143" t="str">
        <f>IFERROR(IF(_xlfn.XLOOKUP(P143,Dados[Nomenclatura Ativo],Dados[Remuneração])="","",_xlfn.XLOOKUP(P143,Dados[Nomenclatura Ativo],Dados[Remuneração])),"")</f>
        <v/>
      </c>
      <c r="L143" t="str">
        <f>IFERROR(IF(_xlfn.XLOOKUP(P143,Dados[Nomenclatura Ativo],Dados[Complemento])="","",_xlfn.XLOOKUP(P143,Dados[Nomenclatura Ativo],Dados[Complemento])),"")</f>
        <v/>
      </c>
      <c r="N143" t="str">
        <f>IFERROR(IF(_xlfn.XLOOKUP(P143,Dados[Nomenclatura Ativo],Dados[Ticker do Ativo])="","",_xlfn.XLOOKUP(P143,Dados[Nomenclatura Ativo],Dados[Ticker do Ativo])),"")</f>
        <v/>
      </c>
    </row>
    <row r="144" spans="3:14">
      <c r="C144" t="s">
        <v>209</v>
      </c>
      <c r="H144" t="str">
        <f>IFERROR(IF(_xlfn.XLOOKUP(P144,Dados[Nomenclatura Ativo],Dados[Tipo do Ativo])="","",_xlfn.XLOOKUP(P144,Dados[Nomenclatura Ativo],Dados[Tipo do Ativo])),"")</f>
        <v/>
      </c>
      <c r="I144" t="str">
        <f>IFERROR(IF(_xlfn.XLOOKUP(P144,Dados[Nomenclatura Ativo],Dados[Emissor])="","",_xlfn.XLOOKUP(P144,Dados[Nomenclatura Ativo],Dados[Emissor])),"")</f>
        <v/>
      </c>
      <c r="J144" s="168" t="str">
        <f>IFERROR(IF(_xlfn.XLOOKUP(P144,Dados[Nomenclatura Ativo],Dados[Vencimento])="","",_xlfn.XLOOKUP(P144,Dados[Nomenclatura Ativo],Dados[Vencimento])),"")</f>
        <v/>
      </c>
      <c r="K144" t="str">
        <f>IFERROR(IF(_xlfn.XLOOKUP(P144,Dados[Nomenclatura Ativo],Dados[Remuneração])="","",_xlfn.XLOOKUP(P144,Dados[Nomenclatura Ativo],Dados[Remuneração])),"")</f>
        <v/>
      </c>
      <c r="L144" t="str">
        <f>IFERROR(IF(_xlfn.XLOOKUP(P144,Dados[Nomenclatura Ativo],Dados[Complemento])="","",_xlfn.XLOOKUP(P144,Dados[Nomenclatura Ativo],Dados[Complemento])),"")</f>
        <v/>
      </c>
      <c r="N144" t="str">
        <f>IFERROR(IF(_xlfn.XLOOKUP(P144,Dados[Nomenclatura Ativo],Dados[Ticker do Ativo])="","",_xlfn.XLOOKUP(P144,Dados[Nomenclatura Ativo],Dados[Ticker do Ativo])),"")</f>
        <v/>
      </c>
    </row>
    <row r="145" spans="3:14">
      <c r="C145" t="s">
        <v>209</v>
      </c>
      <c r="H145" t="str">
        <f>IFERROR(IF(_xlfn.XLOOKUP(P145,Dados[Nomenclatura Ativo],Dados[Tipo do Ativo])="","",_xlfn.XLOOKUP(P145,Dados[Nomenclatura Ativo],Dados[Tipo do Ativo])),"")</f>
        <v/>
      </c>
      <c r="I145" t="str">
        <f>IFERROR(IF(_xlfn.XLOOKUP(P145,Dados[Nomenclatura Ativo],Dados[Emissor])="","",_xlfn.XLOOKUP(P145,Dados[Nomenclatura Ativo],Dados[Emissor])),"")</f>
        <v/>
      </c>
      <c r="J145" s="168" t="str">
        <f>IFERROR(IF(_xlfn.XLOOKUP(P145,Dados[Nomenclatura Ativo],Dados[Vencimento])="","",_xlfn.XLOOKUP(P145,Dados[Nomenclatura Ativo],Dados[Vencimento])),"")</f>
        <v/>
      </c>
      <c r="K145" t="str">
        <f>IFERROR(IF(_xlfn.XLOOKUP(P145,Dados[Nomenclatura Ativo],Dados[Remuneração])="","",_xlfn.XLOOKUP(P145,Dados[Nomenclatura Ativo],Dados[Remuneração])),"")</f>
        <v/>
      </c>
      <c r="L145" t="str">
        <f>IFERROR(IF(_xlfn.XLOOKUP(P145,Dados[Nomenclatura Ativo],Dados[Complemento])="","",_xlfn.XLOOKUP(P145,Dados[Nomenclatura Ativo],Dados[Complemento])),"")</f>
        <v/>
      </c>
      <c r="N145" t="str">
        <f>IFERROR(IF(_xlfn.XLOOKUP(P145,Dados[Nomenclatura Ativo],Dados[Ticker do Ativo])="","",_xlfn.XLOOKUP(P145,Dados[Nomenclatura Ativo],Dados[Ticker do Ativo])),"")</f>
        <v/>
      </c>
    </row>
    <row r="146" spans="3:14">
      <c r="C146" t="s">
        <v>209</v>
      </c>
      <c r="H146" t="str">
        <f>IFERROR(IF(_xlfn.XLOOKUP(P146,Dados[Nomenclatura Ativo],Dados[Tipo do Ativo])="","",_xlfn.XLOOKUP(P146,Dados[Nomenclatura Ativo],Dados[Tipo do Ativo])),"")</f>
        <v/>
      </c>
      <c r="I146" t="str">
        <f>IFERROR(IF(_xlfn.XLOOKUP(P146,Dados[Nomenclatura Ativo],Dados[Emissor])="","",_xlfn.XLOOKUP(P146,Dados[Nomenclatura Ativo],Dados[Emissor])),"")</f>
        <v/>
      </c>
      <c r="J146" s="168" t="str">
        <f>IFERROR(IF(_xlfn.XLOOKUP(P146,Dados[Nomenclatura Ativo],Dados[Vencimento])="","",_xlfn.XLOOKUP(P146,Dados[Nomenclatura Ativo],Dados[Vencimento])),"")</f>
        <v/>
      </c>
      <c r="K146" t="str">
        <f>IFERROR(IF(_xlfn.XLOOKUP(P146,Dados[Nomenclatura Ativo],Dados[Remuneração])="","",_xlfn.XLOOKUP(P146,Dados[Nomenclatura Ativo],Dados[Remuneração])),"")</f>
        <v/>
      </c>
      <c r="L146" t="str">
        <f>IFERROR(IF(_xlfn.XLOOKUP(P146,Dados[Nomenclatura Ativo],Dados[Complemento])="","",_xlfn.XLOOKUP(P146,Dados[Nomenclatura Ativo],Dados[Complemento])),"")</f>
        <v/>
      </c>
      <c r="N146" t="str">
        <f>IFERROR(IF(_xlfn.XLOOKUP(P146,Dados[Nomenclatura Ativo],Dados[Ticker do Ativo])="","",_xlfn.XLOOKUP(P146,Dados[Nomenclatura Ativo],Dados[Ticker do Ativo])),"")</f>
        <v/>
      </c>
    </row>
    <row r="147" spans="3:14">
      <c r="C147" t="s">
        <v>209</v>
      </c>
      <c r="H147" t="str">
        <f>IFERROR(IF(_xlfn.XLOOKUP(P147,Dados[Nomenclatura Ativo],Dados[Tipo do Ativo])="","",_xlfn.XLOOKUP(P147,Dados[Nomenclatura Ativo],Dados[Tipo do Ativo])),"")</f>
        <v/>
      </c>
      <c r="I147" t="str">
        <f>IFERROR(IF(_xlfn.XLOOKUP(P147,Dados[Nomenclatura Ativo],Dados[Emissor])="","",_xlfn.XLOOKUP(P147,Dados[Nomenclatura Ativo],Dados[Emissor])),"")</f>
        <v/>
      </c>
      <c r="J147" s="168" t="str">
        <f>IFERROR(IF(_xlfn.XLOOKUP(P147,Dados[Nomenclatura Ativo],Dados[Vencimento])="","",_xlfn.XLOOKUP(P147,Dados[Nomenclatura Ativo],Dados[Vencimento])),"")</f>
        <v/>
      </c>
      <c r="K147" t="str">
        <f>IFERROR(IF(_xlfn.XLOOKUP(P147,Dados[Nomenclatura Ativo],Dados[Remuneração])="","",_xlfn.XLOOKUP(P147,Dados[Nomenclatura Ativo],Dados[Remuneração])),"")</f>
        <v/>
      </c>
      <c r="L147" t="str">
        <f>IFERROR(IF(_xlfn.XLOOKUP(P147,Dados[Nomenclatura Ativo],Dados[Complemento])="","",_xlfn.XLOOKUP(P147,Dados[Nomenclatura Ativo],Dados[Complemento])),"")</f>
        <v/>
      </c>
      <c r="N147" t="str">
        <f>IFERROR(IF(_xlfn.XLOOKUP(P147,Dados[Nomenclatura Ativo],Dados[Ticker do Ativo])="","",_xlfn.XLOOKUP(P147,Dados[Nomenclatura Ativo],Dados[Ticker do Ativo])),"")</f>
        <v/>
      </c>
    </row>
    <row r="148" spans="3:14">
      <c r="C148" t="s">
        <v>209</v>
      </c>
      <c r="H148" t="str">
        <f>IFERROR(IF(_xlfn.XLOOKUP(P148,Dados[Nomenclatura Ativo],Dados[Tipo do Ativo])="","",_xlfn.XLOOKUP(P148,Dados[Nomenclatura Ativo],Dados[Tipo do Ativo])),"")</f>
        <v/>
      </c>
      <c r="I148" t="str">
        <f>IFERROR(IF(_xlfn.XLOOKUP(P148,Dados[Nomenclatura Ativo],Dados[Emissor])="","",_xlfn.XLOOKUP(P148,Dados[Nomenclatura Ativo],Dados[Emissor])),"")</f>
        <v/>
      </c>
      <c r="J148" s="168" t="str">
        <f>IFERROR(IF(_xlfn.XLOOKUP(P148,Dados[Nomenclatura Ativo],Dados[Vencimento])="","",_xlfn.XLOOKUP(P148,Dados[Nomenclatura Ativo],Dados[Vencimento])),"")</f>
        <v/>
      </c>
      <c r="K148" t="str">
        <f>IFERROR(IF(_xlfn.XLOOKUP(P148,Dados[Nomenclatura Ativo],Dados[Remuneração])="","",_xlfn.XLOOKUP(P148,Dados[Nomenclatura Ativo],Dados[Remuneração])),"")</f>
        <v/>
      </c>
      <c r="L148" t="str">
        <f>IFERROR(IF(_xlfn.XLOOKUP(P148,Dados[Nomenclatura Ativo],Dados[Complemento])="","",_xlfn.XLOOKUP(P148,Dados[Nomenclatura Ativo],Dados[Complemento])),"")</f>
        <v/>
      </c>
      <c r="N148" t="str">
        <f>IFERROR(IF(_xlfn.XLOOKUP(P148,Dados[Nomenclatura Ativo],Dados[Ticker do Ativo])="","",_xlfn.XLOOKUP(P148,Dados[Nomenclatura Ativo],Dados[Ticker do Ativo])),"")</f>
        <v/>
      </c>
    </row>
    <row r="149" spans="3:14">
      <c r="C149" t="s">
        <v>209</v>
      </c>
      <c r="H149" t="str">
        <f>IFERROR(IF(_xlfn.XLOOKUP(P149,Dados[Nomenclatura Ativo],Dados[Tipo do Ativo])="","",_xlfn.XLOOKUP(P149,Dados[Nomenclatura Ativo],Dados[Tipo do Ativo])),"")</f>
        <v/>
      </c>
      <c r="I149" t="str">
        <f>IFERROR(IF(_xlfn.XLOOKUP(P149,Dados[Nomenclatura Ativo],Dados[Emissor])="","",_xlfn.XLOOKUP(P149,Dados[Nomenclatura Ativo],Dados[Emissor])),"")</f>
        <v/>
      </c>
      <c r="J149" s="168" t="str">
        <f>IFERROR(IF(_xlfn.XLOOKUP(P149,Dados[Nomenclatura Ativo],Dados[Vencimento])="","",_xlfn.XLOOKUP(P149,Dados[Nomenclatura Ativo],Dados[Vencimento])),"")</f>
        <v/>
      </c>
      <c r="K149" t="str">
        <f>IFERROR(IF(_xlfn.XLOOKUP(P149,Dados[Nomenclatura Ativo],Dados[Remuneração])="","",_xlfn.XLOOKUP(P149,Dados[Nomenclatura Ativo],Dados[Remuneração])),"")</f>
        <v/>
      </c>
      <c r="L149" t="str">
        <f>IFERROR(IF(_xlfn.XLOOKUP(P149,Dados[Nomenclatura Ativo],Dados[Complemento])="","",_xlfn.XLOOKUP(P149,Dados[Nomenclatura Ativo],Dados[Complemento])),"")</f>
        <v/>
      </c>
      <c r="N149" t="str">
        <f>IFERROR(IF(_xlfn.XLOOKUP(P149,Dados[Nomenclatura Ativo],Dados[Ticker do Ativo])="","",_xlfn.XLOOKUP(P149,Dados[Nomenclatura Ativo],Dados[Ticker do Ativo])),"")</f>
        <v/>
      </c>
    </row>
    <row r="150" spans="3:14">
      <c r="C150" t="s">
        <v>209</v>
      </c>
      <c r="H150" t="str">
        <f>IFERROR(IF(_xlfn.XLOOKUP(P150,Dados[Nomenclatura Ativo],Dados[Tipo do Ativo])="","",_xlfn.XLOOKUP(P150,Dados[Nomenclatura Ativo],Dados[Tipo do Ativo])),"")</f>
        <v/>
      </c>
      <c r="I150" t="str">
        <f>IFERROR(IF(_xlfn.XLOOKUP(P150,Dados[Nomenclatura Ativo],Dados[Emissor])="","",_xlfn.XLOOKUP(P150,Dados[Nomenclatura Ativo],Dados[Emissor])),"")</f>
        <v/>
      </c>
      <c r="J150" s="168" t="str">
        <f>IFERROR(IF(_xlfn.XLOOKUP(P150,Dados[Nomenclatura Ativo],Dados[Vencimento])="","",_xlfn.XLOOKUP(P150,Dados[Nomenclatura Ativo],Dados[Vencimento])),"")</f>
        <v/>
      </c>
      <c r="K150" t="str">
        <f>IFERROR(IF(_xlfn.XLOOKUP(P150,Dados[Nomenclatura Ativo],Dados[Remuneração])="","",_xlfn.XLOOKUP(P150,Dados[Nomenclatura Ativo],Dados[Remuneração])),"")</f>
        <v/>
      </c>
      <c r="L150" t="str">
        <f>IFERROR(IF(_xlfn.XLOOKUP(P150,Dados[Nomenclatura Ativo],Dados[Complemento])="","",_xlfn.XLOOKUP(P150,Dados[Nomenclatura Ativo],Dados[Complemento])),"")</f>
        <v/>
      </c>
      <c r="N150" t="str">
        <f>IFERROR(IF(_xlfn.XLOOKUP(P150,Dados[Nomenclatura Ativo],Dados[Ticker do Ativo])="","",_xlfn.XLOOKUP(P150,Dados[Nomenclatura Ativo],Dados[Ticker do Ativo])),"")</f>
        <v/>
      </c>
    </row>
  </sheetData>
  <autoFilter ref="B2:V2" xr:uid="{D6C8121D-06CB-4C6B-8FDE-9C120A8240BD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Visão Global</vt:lpstr>
      <vt:lpstr>Resumo | Onshore</vt:lpstr>
      <vt:lpstr>Resumo por Classes | Onshore</vt:lpstr>
      <vt:lpstr>Resumo Carteira | Onshore</vt:lpstr>
      <vt:lpstr>Carteira Atualizada</vt:lpstr>
      <vt:lpstr>Dados</vt:lpstr>
      <vt:lpstr>Informações Complementares</vt:lpstr>
      <vt:lpstr>BancoDeDados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Incontri</dc:creator>
  <cp:lastModifiedBy>Victor Valezim</cp:lastModifiedBy>
  <dcterms:created xsi:type="dcterms:W3CDTF">2023-12-20T11:44:51Z</dcterms:created>
  <dcterms:modified xsi:type="dcterms:W3CDTF">2024-08-07T20:16:28Z</dcterms:modified>
</cp:coreProperties>
</file>